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still/Desktop/"/>
    </mc:Choice>
  </mc:AlternateContent>
  <xr:revisionPtr revIDLastSave="0" documentId="8_{80BB95E8-6748-3C4F-AD6B-7123709FDD14}" xr6:coauthVersionLast="45" xr6:coauthVersionMax="45" xr10:uidLastSave="{00000000-0000-0000-0000-000000000000}"/>
  <bookViews>
    <workbookView xWindow="3720" yWindow="2840" windowWidth="27640" windowHeight="16940" xr2:uid="{832640B7-98E1-884A-8208-78BAB8EBCB97}"/>
  </bookViews>
  <sheets>
    <sheet name="CASHFLOW" sheetId="1" r:id="rId1"/>
    <sheet name="WORKING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4" i="2" l="1"/>
  <c r="B41" i="2"/>
  <c r="AM39" i="2"/>
  <c r="AL39" i="2"/>
  <c r="AK39" i="2"/>
  <c r="AJ39" i="2"/>
  <c r="AJ42" i="2" s="1"/>
  <c r="Y39" i="2"/>
  <c r="X39" i="2"/>
  <c r="M39" i="2"/>
  <c r="M42" i="2" s="1"/>
  <c r="L39" i="2"/>
  <c r="B37" i="2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AN36" i="2"/>
  <c r="AM36" i="2"/>
  <c r="AL36" i="2"/>
  <c r="AK36" i="2"/>
  <c r="AJ36" i="2"/>
  <c r="AI36" i="2"/>
  <c r="AH36" i="2"/>
  <c r="AG36" i="2"/>
  <c r="AG37" i="2" s="1"/>
  <c r="AH37" i="2" s="1"/>
  <c r="AI37" i="2" s="1"/>
  <c r="AJ37" i="2" s="1"/>
  <c r="AK37" i="2" s="1"/>
  <c r="AL37" i="2" s="1"/>
  <c r="AM37" i="2" s="1"/>
  <c r="AF36" i="2"/>
  <c r="AF37" i="2" s="1"/>
  <c r="AE36" i="2"/>
  <c r="AD36" i="2"/>
  <c r="AC36" i="2"/>
  <c r="AB36" i="2"/>
  <c r="AA36" i="2"/>
  <c r="Z36" i="2"/>
  <c r="Y36" i="2"/>
  <c r="X36" i="2"/>
  <c r="X37" i="2" s="1"/>
  <c r="Y37" i="2" s="1"/>
  <c r="Z37" i="2" s="1"/>
  <c r="AA37" i="2" s="1"/>
  <c r="AB37" i="2" s="1"/>
  <c r="AC37" i="2" s="1"/>
  <c r="AD37" i="2" s="1"/>
  <c r="AE37" i="2" s="1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I35" i="2"/>
  <c r="AH35" i="2"/>
  <c r="AG35" i="2"/>
  <c r="AF35" i="2"/>
  <c r="AD35" i="2"/>
  <c r="AC35" i="2"/>
  <c r="AB35" i="2"/>
  <c r="AB39" i="2" s="1"/>
  <c r="AA35" i="2"/>
  <c r="AA39" i="2" s="1"/>
  <c r="Z35" i="2"/>
  <c r="Z39" i="2" s="1"/>
  <c r="Y35" i="2"/>
  <c r="X35" i="2"/>
  <c r="W35" i="2"/>
  <c r="V35" i="2"/>
  <c r="U35" i="2"/>
  <c r="T35" i="2"/>
  <c r="S35" i="2"/>
  <c r="R35" i="2"/>
  <c r="Q35" i="2"/>
  <c r="P35" i="2"/>
  <c r="P39" i="2" s="1"/>
  <c r="P42" i="2" s="1"/>
  <c r="O35" i="2"/>
  <c r="O39" i="2" s="1"/>
  <c r="O42" i="2" s="1"/>
  <c r="N35" i="2"/>
  <c r="N39" i="2" s="1"/>
  <c r="N42" i="2" s="1"/>
  <c r="M35" i="2"/>
  <c r="L35" i="2"/>
  <c r="K35" i="2"/>
  <c r="J35" i="2"/>
  <c r="I35" i="2"/>
  <c r="H35" i="2"/>
  <c r="G35" i="2"/>
  <c r="F35" i="2"/>
  <c r="E35" i="2"/>
  <c r="D35" i="2"/>
  <c r="D39" i="2" s="1"/>
  <c r="D42" i="2" s="1"/>
  <c r="C35" i="2"/>
  <c r="C39" i="2" s="1"/>
  <c r="C42" i="2" s="1"/>
  <c r="B35" i="2"/>
  <c r="B39" i="2" s="1"/>
  <c r="AM34" i="2"/>
  <c r="AL34" i="2"/>
  <c r="AK34" i="2"/>
  <c r="AJ34" i="2"/>
  <c r="AI34" i="2"/>
  <c r="AI39" i="2" s="1"/>
  <c r="AH34" i="2"/>
  <c r="AH39" i="2" s="1"/>
  <c r="AG34" i="2"/>
  <c r="AG39" i="2" s="1"/>
  <c r="AF34" i="2"/>
  <c r="AE34" i="2"/>
  <c r="AE39" i="2" s="1"/>
  <c r="AD34" i="2"/>
  <c r="AD39" i="2" s="1"/>
  <c r="AC34" i="2"/>
  <c r="AC39" i="2" s="1"/>
  <c r="AB34" i="2"/>
  <c r="AA34" i="2"/>
  <c r="Z34" i="2"/>
  <c r="Y34" i="2"/>
  <c r="X34" i="2"/>
  <c r="W34" i="2"/>
  <c r="V34" i="2"/>
  <c r="V39" i="2" s="1"/>
  <c r="U34" i="2"/>
  <c r="U39" i="2" s="1"/>
  <c r="T34" i="2"/>
  <c r="T39" i="2" s="1"/>
  <c r="S34" i="2"/>
  <c r="S39" i="2" s="1"/>
  <c r="R34" i="2"/>
  <c r="R39" i="2" s="1"/>
  <c r="Q34" i="2"/>
  <c r="Q39" i="2" s="1"/>
  <c r="P34" i="2"/>
  <c r="O34" i="2"/>
  <c r="N34" i="2"/>
  <c r="M34" i="2"/>
  <c r="L34" i="2"/>
  <c r="K34" i="2"/>
  <c r="K39" i="2" s="1"/>
  <c r="J34" i="2"/>
  <c r="J39" i="2" s="1"/>
  <c r="I34" i="2"/>
  <c r="I39" i="2" s="1"/>
  <c r="H34" i="2"/>
  <c r="H39" i="2" s="1"/>
  <c r="G34" i="2"/>
  <c r="G39" i="2" s="1"/>
  <c r="F34" i="2"/>
  <c r="F39" i="2" s="1"/>
  <c r="E34" i="2"/>
  <c r="E39" i="2" s="1"/>
  <c r="D34" i="2"/>
  <c r="C34" i="2"/>
  <c r="B34" i="2"/>
  <c r="AN34" i="2" s="1"/>
  <c r="AJ32" i="2"/>
  <c r="V31" i="2"/>
  <c r="W31" i="2" s="1"/>
  <c r="X29" i="2"/>
  <c r="Y29" i="2" s="1"/>
  <c r="Z29" i="2" s="1"/>
  <c r="AA29" i="2" s="1"/>
  <c r="AB29" i="2" s="1"/>
  <c r="AC29" i="2" s="1"/>
  <c r="AD29" i="2" s="1"/>
  <c r="AE29" i="2" s="1"/>
  <c r="B29" i="2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AJ27" i="2"/>
  <c r="AK27" i="2" s="1"/>
  <c r="AL27" i="2" s="1"/>
  <c r="AM27" i="2" s="1"/>
  <c r="Z27" i="2"/>
  <c r="AA27" i="2" s="1"/>
  <c r="AB27" i="2" s="1"/>
  <c r="AC27" i="2" s="1"/>
  <c r="AD27" i="2" s="1"/>
  <c r="AE27" i="2" s="1"/>
  <c r="AF27" i="2" s="1"/>
  <c r="AG27" i="2" s="1"/>
  <c r="AH27" i="2" s="1"/>
  <c r="AI27" i="2" s="1"/>
  <c r="V27" i="2"/>
  <c r="W27" i="2" s="1"/>
  <c r="X27" i="2" s="1"/>
  <c r="Y27" i="2" s="1"/>
  <c r="L27" i="2"/>
  <c r="M27" i="2" s="1"/>
  <c r="N27" i="2" s="1"/>
  <c r="O27" i="2" s="1"/>
  <c r="P27" i="2" s="1"/>
  <c r="Q27" i="2" s="1"/>
  <c r="R27" i="2" s="1"/>
  <c r="S27" i="2" s="1"/>
  <c r="T27" i="2" s="1"/>
  <c r="U27" i="2" s="1"/>
  <c r="H27" i="2"/>
  <c r="I27" i="2" s="1"/>
  <c r="J27" i="2" s="1"/>
  <c r="K27" i="2" s="1"/>
  <c r="B27" i="2"/>
  <c r="C27" i="2" s="1"/>
  <c r="D27" i="2" s="1"/>
  <c r="E27" i="2" s="1"/>
  <c r="F27" i="2" s="1"/>
  <c r="G27" i="2" s="1"/>
  <c r="AJ25" i="2"/>
  <c r="AK25" i="2" s="1"/>
  <c r="AL25" i="2" s="1"/>
  <c r="AM25" i="2" s="1"/>
  <c r="Z25" i="2"/>
  <c r="AA25" i="2" s="1"/>
  <c r="AB25" i="2" s="1"/>
  <c r="AC25" i="2" s="1"/>
  <c r="AD25" i="2" s="1"/>
  <c r="AE25" i="2" s="1"/>
  <c r="AF25" i="2" s="1"/>
  <c r="AG25" i="2" s="1"/>
  <c r="AH25" i="2" s="1"/>
  <c r="AI25" i="2" s="1"/>
  <c r="V25" i="2"/>
  <c r="W25" i="2" s="1"/>
  <c r="X25" i="2" s="1"/>
  <c r="Y25" i="2" s="1"/>
  <c r="L25" i="2"/>
  <c r="M25" i="2" s="1"/>
  <c r="N25" i="2" s="1"/>
  <c r="O25" i="2" s="1"/>
  <c r="P25" i="2" s="1"/>
  <c r="Q25" i="2" s="1"/>
  <c r="R25" i="2" s="1"/>
  <c r="S25" i="2" s="1"/>
  <c r="T25" i="2" s="1"/>
  <c r="U25" i="2" s="1"/>
  <c r="H25" i="2"/>
  <c r="I25" i="2" s="1"/>
  <c r="J25" i="2" s="1"/>
  <c r="K25" i="2" s="1"/>
  <c r="B25" i="2"/>
  <c r="C25" i="2" s="1"/>
  <c r="D25" i="2" s="1"/>
  <c r="E25" i="2" s="1"/>
  <c r="F25" i="2" s="1"/>
  <c r="G25" i="2" s="1"/>
  <c r="AJ23" i="2"/>
  <c r="AK23" i="2" s="1"/>
  <c r="AL23" i="2" s="1"/>
  <c r="AM23" i="2" s="1"/>
  <c r="AH23" i="2"/>
  <c r="AI23" i="2" s="1"/>
  <c r="Z23" i="2"/>
  <c r="AA23" i="2" s="1"/>
  <c r="AB23" i="2" s="1"/>
  <c r="AC23" i="2" s="1"/>
  <c r="AD23" i="2" s="1"/>
  <c r="AE23" i="2" s="1"/>
  <c r="AF23" i="2" s="1"/>
  <c r="AG23" i="2" s="1"/>
  <c r="W23" i="2"/>
  <c r="X23" i="2" s="1"/>
  <c r="Y23" i="2" s="1"/>
  <c r="T23" i="2"/>
  <c r="U23" i="2" s="1"/>
  <c r="V23" i="2" s="1"/>
  <c r="L23" i="2"/>
  <c r="M23" i="2" s="1"/>
  <c r="N23" i="2" s="1"/>
  <c r="O23" i="2" s="1"/>
  <c r="P23" i="2" s="1"/>
  <c r="Q23" i="2" s="1"/>
  <c r="R23" i="2" s="1"/>
  <c r="S23" i="2" s="1"/>
  <c r="J23" i="2"/>
  <c r="K23" i="2" s="1"/>
  <c r="I23" i="2"/>
  <c r="F23" i="2"/>
  <c r="G23" i="2" s="1"/>
  <c r="H23" i="2" s="1"/>
  <c r="B23" i="2"/>
  <c r="C23" i="2" s="1"/>
  <c r="D23" i="2" s="1"/>
  <c r="E23" i="2" s="1"/>
  <c r="AN22" i="2"/>
  <c r="AI22" i="2"/>
  <c r="AH22" i="2"/>
  <c r="AG22" i="2"/>
  <c r="AG29" i="2" s="1"/>
  <c r="AH29" i="2" s="1"/>
  <c r="AI29" i="2" s="1"/>
  <c r="AJ29" i="2" s="1"/>
  <c r="AK29" i="2" s="1"/>
  <c r="AL29" i="2" s="1"/>
  <c r="AM29" i="2" s="1"/>
  <c r="AF22" i="2"/>
  <c r="AF29" i="2" s="1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N21" i="2"/>
  <c r="AI21" i="2"/>
  <c r="AI20" i="2"/>
  <c r="AN20" i="2" s="1"/>
  <c r="AN19" i="2"/>
  <c r="AI19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V32" i="2" s="1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M16" i="2"/>
  <c r="AL16" i="2"/>
  <c r="AK16" i="2"/>
  <c r="AJ16" i="2"/>
  <c r="AA16" i="2"/>
  <c r="Z16" i="2"/>
  <c r="Y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5" i="2"/>
  <c r="AM14" i="2"/>
  <c r="AM32" i="2" s="1"/>
  <c r="AL14" i="2"/>
  <c r="AL32" i="2" s="1"/>
  <c r="AK14" i="2"/>
  <c r="AK32" i="2" s="1"/>
  <c r="AI16" i="2"/>
  <c r="AH14" i="2"/>
  <c r="AH16" i="2" s="1"/>
  <c r="AG14" i="2"/>
  <c r="AG16" i="2" s="1"/>
  <c r="AF14" i="2"/>
  <c r="AF16" i="2" s="1"/>
  <c r="AE14" i="2"/>
  <c r="AD14" i="2"/>
  <c r="AC14" i="2"/>
  <c r="AB14" i="2"/>
  <c r="AA14" i="2"/>
  <c r="Z14" i="2"/>
  <c r="Y14" i="2"/>
  <c r="X14" i="2"/>
  <c r="X16" i="2" s="1"/>
  <c r="W14" i="2"/>
  <c r="W16" i="2" s="1"/>
  <c r="V14" i="2"/>
  <c r="V16" i="2" s="1"/>
  <c r="U14" i="2"/>
  <c r="D14" i="2"/>
  <c r="D32" i="2" s="1"/>
  <c r="C14" i="2"/>
  <c r="C32" i="2" s="1"/>
  <c r="B14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N12" i="2" s="1"/>
  <c r="T11" i="2"/>
  <c r="S11" i="2"/>
  <c r="R11" i="2"/>
  <c r="Q11" i="2"/>
  <c r="P11" i="2"/>
  <c r="P14" i="2" s="1"/>
  <c r="P32" i="2" s="1"/>
  <c r="O11" i="2"/>
  <c r="N11" i="2"/>
  <c r="M11" i="2"/>
  <c r="L11" i="2"/>
  <c r="K11" i="2"/>
  <c r="J11" i="2"/>
  <c r="I11" i="2"/>
  <c r="H11" i="2"/>
  <c r="G11" i="2"/>
  <c r="F11" i="2"/>
  <c r="AN11" i="2" s="1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H14" i="2" s="1"/>
  <c r="H32" i="2" s="1"/>
  <c r="G10" i="2"/>
  <c r="F10" i="2"/>
  <c r="T9" i="2"/>
  <c r="S9" i="2"/>
  <c r="Q9" i="2"/>
  <c r="P9" i="2"/>
  <c r="O9" i="2"/>
  <c r="N9" i="2"/>
  <c r="M9" i="2"/>
  <c r="L9" i="2"/>
  <c r="K9" i="2"/>
  <c r="J9" i="2"/>
  <c r="I9" i="2"/>
  <c r="H9" i="2"/>
  <c r="G9" i="2"/>
  <c r="F9" i="2"/>
  <c r="AN9" i="2" s="1"/>
  <c r="T8" i="2"/>
  <c r="T14" i="2" s="1"/>
  <c r="T32" i="2" s="1"/>
  <c r="Q8" i="2"/>
  <c r="P8" i="2"/>
  <c r="O8" i="2"/>
  <c r="N8" i="2"/>
  <c r="M8" i="2"/>
  <c r="L8" i="2"/>
  <c r="K8" i="2"/>
  <c r="J8" i="2"/>
  <c r="I8" i="2"/>
  <c r="H8" i="2"/>
  <c r="G8" i="2"/>
  <c r="F8" i="2"/>
  <c r="AN8" i="2" s="1"/>
  <c r="T7" i="2"/>
  <c r="S7" i="2"/>
  <c r="S14" i="2" s="1"/>
  <c r="R7" i="2"/>
  <c r="R14" i="2" s="1"/>
  <c r="R32" i="2" s="1"/>
  <c r="Q7" i="2"/>
  <c r="Q14" i="2" s="1"/>
  <c r="Q32" i="2" s="1"/>
  <c r="P7" i="2"/>
  <c r="O7" i="2"/>
  <c r="N7" i="2"/>
  <c r="M7" i="2"/>
  <c r="L7" i="2"/>
  <c r="K7" i="2"/>
  <c r="J7" i="2"/>
  <c r="I7" i="2"/>
  <c r="I14" i="2" s="1"/>
  <c r="I32" i="2" s="1"/>
  <c r="H7" i="2"/>
  <c r="G7" i="2"/>
  <c r="G14" i="2" s="1"/>
  <c r="F7" i="2"/>
  <c r="F14" i="2" s="1"/>
  <c r="F32" i="2" s="1"/>
  <c r="E7" i="2"/>
  <c r="E14" i="2" s="1"/>
  <c r="E32" i="2" s="1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N6" i="2" s="1"/>
  <c r="S5" i="2"/>
  <c r="Q5" i="2"/>
  <c r="P5" i="2"/>
  <c r="O5" i="2"/>
  <c r="O14" i="2" s="1"/>
  <c r="O32" i="2" s="1"/>
  <c r="N5" i="2"/>
  <c r="N14" i="2" s="1"/>
  <c r="N32" i="2" s="1"/>
  <c r="M5" i="2"/>
  <c r="M14" i="2" s="1"/>
  <c r="M32" i="2" s="1"/>
  <c r="L5" i="2"/>
  <c r="L14" i="2" s="1"/>
  <c r="L32" i="2" s="1"/>
  <c r="K5" i="2"/>
  <c r="K14" i="2" s="1"/>
  <c r="J5" i="2"/>
  <c r="J14" i="2" s="1"/>
  <c r="J32" i="2" s="1"/>
  <c r="I5" i="2"/>
  <c r="H5" i="2"/>
  <c r="G5" i="2"/>
  <c r="F5" i="2"/>
  <c r="AN5" i="2" s="1"/>
  <c r="D6" i="1"/>
  <c r="E6" i="1" s="1"/>
  <c r="F6" i="1" s="1"/>
  <c r="G6" i="1" s="1"/>
  <c r="H6" i="1" s="1"/>
  <c r="I6" i="1" s="1"/>
  <c r="J6" i="1" s="1"/>
  <c r="K6" i="1" s="1"/>
  <c r="L6" i="1" s="1"/>
  <c r="N6" i="1" s="1"/>
  <c r="O6" i="1" s="1"/>
  <c r="P6" i="1" s="1"/>
  <c r="Q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D6" i="1" s="1"/>
  <c r="AE6" i="1" s="1"/>
  <c r="AF6" i="1" s="1"/>
  <c r="AG6" i="1" s="1"/>
  <c r="AI6" i="1" s="1"/>
  <c r="AJ6" i="1" s="1"/>
  <c r="AK6" i="1" s="1"/>
  <c r="AL6" i="1" s="1"/>
  <c r="AM6" i="1" s="1"/>
  <c r="AN6" i="1" s="1"/>
  <c r="AO6" i="1" s="1"/>
  <c r="AP6" i="1" s="1"/>
  <c r="C10" i="1"/>
  <c r="D10" i="1"/>
  <c r="E10" i="1"/>
  <c r="F10" i="1"/>
  <c r="F13" i="1" s="1"/>
  <c r="F26" i="1" s="1"/>
  <c r="F29" i="1" s="1"/>
  <c r="G10" i="1"/>
  <c r="H10" i="1"/>
  <c r="H13" i="1" s="1"/>
  <c r="H26" i="1" s="1"/>
  <c r="H29" i="1" s="1"/>
  <c r="I10" i="1"/>
  <c r="I13" i="1" s="1"/>
  <c r="I26" i="1" s="1"/>
  <c r="I29" i="1" s="1"/>
  <c r="J10" i="1"/>
  <c r="J13" i="1" s="1"/>
  <c r="J26" i="1" s="1"/>
  <c r="J29" i="1" s="1"/>
  <c r="K10" i="1"/>
  <c r="K13" i="1" s="1"/>
  <c r="K26" i="1" s="1"/>
  <c r="K29" i="1" s="1"/>
  <c r="L10" i="1"/>
  <c r="N10" i="1"/>
  <c r="N13" i="1" s="1"/>
  <c r="N26" i="1" s="1"/>
  <c r="N29" i="1" s="1"/>
  <c r="O10" i="1"/>
  <c r="P10" i="1"/>
  <c r="Q10" i="1"/>
  <c r="S10" i="1"/>
  <c r="T10" i="1"/>
  <c r="T13" i="1" s="1"/>
  <c r="T26" i="1" s="1"/>
  <c r="T29" i="1" s="1"/>
  <c r="U10" i="1"/>
  <c r="V10" i="1"/>
  <c r="V13" i="1" s="1"/>
  <c r="V26" i="1" s="1"/>
  <c r="V29" i="1" s="1"/>
  <c r="W10" i="1"/>
  <c r="W13" i="1" s="1"/>
  <c r="W26" i="1" s="1"/>
  <c r="W29" i="1" s="1"/>
  <c r="X10" i="1"/>
  <c r="X13" i="1" s="1"/>
  <c r="X26" i="1" s="1"/>
  <c r="X29" i="1" s="1"/>
  <c r="Y10" i="1"/>
  <c r="Y13" i="1" s="1"/>
  <c r="Y26" i="1" s="1"/>
  <c r="Y29" i="1" s="1"/>
  <c r="AA10" i="1"/>
  <c r="AB10" i="1"/>
  <c r="AB13" i="1" s="1"/>
  <c r="C11" i="1"/>
  <c r="D11" i="1"/>
  <c r="E11" i="1"/>
  <c r="E13" i="1" s="1"/>
  <c r="E26" i="1" s="1"/>
  <c r="E29" i="1" s="1"/>
  <c r="F11" i="1"/>
  <c r="G11" i="1"/>
  <c r="H11" i="1"/>
  <c r="I11" i="1"/>
  <c r="J11" i="1"/>
  <c r="K11" i="1"/>
  <c r="L11" i="1"/>
  <c r="N11" i="1"/>
  <c r="O11" i="1"/>
  <c r="O13" i="1" s="1"/>
  <c r="O26" i="1" s="1"/>
  <c r="O29" i="1" s="1"/>
  <c r="P11" i="1"/>
  <c r="Q11" i="1"/>
  <c r="S11" i="1"/>
  <c r="S13" i="1" s="1"/>
  <c r="S26" i="1" s="1"/>
  <c r="S29" i="1" s="1"/>
  <c r="T11" i="1"/>
  <c r="U11" i="1"/>
  <c r="V11" i="1"/>
  <c r="W11" i="1"/>
  <c r="Y11" i="1"/>
  <c r="AA11" i="1"/>
  <c r="AB11" i="1"/>
  <c r="C13" i="1"/>
  <c r="C26" i="1" s="1"/>
  <c r="C29" i="1" s="1"/>
  <c r="D13" i="1"/>
  <c r="D26" i="1" s="1"/>
  <c r="D29" i="1" s="1"/>
  <c r="D30" i="1" s="1"/>
  <c r="E28" i="1" s="1"/>
  <c r="G13" i="1"/>
  <c r="L13" i="1"/>
  <c r="L26" i="1" s="1"/>
  <c r="L29" i="1" s="1"/>
  <c r="P13" i="1"/>
  <c r="P26" i="1" s="1"/>
  <c r="P29" i="1" s="1"/>
  <c r="Q13" i="1"/>
  <c r="Q26" i="1" s="1"/>
  <c r="Q29" i="1" s="1"/>
  <c r="U13" i="1"/>
  <c r="Z13" i="1"/>
  <c r="Z26" i="1" s="1"/>
  <c r="Z29" i="1" s="1"/>
  <c r="AA13" i="1"/>
  <c r="AA26" i="1" s="1"/>
  <c r="AA29" i="1" s="1"/>
  <c r="AD13" i="1"/>
  <c r="AD26" i="1" s="1"/>
  <c r="AD29" i="1" s="1"/>
  <c r="AE13" i="1"/>
  <c r="AE26" i="1" s="1"/>
  <c r="AE29" i="1" s="1"/>
  <c r="AF13" i="1"/>
  <c r="AG13" i="1"/>
  <c r="AI13" i="1"/>
  <c r="AJ13" i="1"/>
  <c r="AK13" i="1"/>
  <c r="AL13" i="1"/>
  <c r="AM13" i="1"/>
  <c r="AN13" i="1"/>
  <c r="AO13" i="1"/>
  <c r="AO26" i="1" s="1"/>
  <c r="AO29" i="1" s="1"/>
  <c r="AP13" i="1"/>
  <c r="AP26" i="1" s="1"/>
  <c r="AP29" i="1" s="1"/>
  <c r="AQ13" i="1"/>
  <c r="AQ26" i="1" s="1"/>
  <c r="AQ29" i="1" s="1"/>
  <c r="AR13" i="1"/>
  <c r="AR26" i="1" s="1"/>
  <c r="AR29" i="1" s="1"/>
  <c r="Z21" i="1"/>
  <c r="AA21" i="1"/>
  <c r="AB21" i="1"/>
  <c r="AB23" i="1" s="1"/>
  <c r="AD21" i="1"/>
  <c r="AE21" i="1"/>
  <c r="AF21" i="1"/>
  <c r="AF23" i="1" s="1"/>
  <c r="AF26" i="1" s="1"/>
  <c r="AF29" i="1" s="1"/>
  <c r="AG21" i="1"/>
  <c r="AG23" i="1" s="1"/>
  <c r="AG26" i="1" s="1"/>
  <c r="AG29" i="1" s="1"/>
  <c r="AI21" i="1"/>
  <c r="AI23" i="1" s="1"/>
  <c r="AI26" i="1" s="1"/>
  <c r="AI29" i="1" s="1"/>
  <c r="AJ21" i="1"/>
  <c r="AJ23" i="1" s="1"/>
  <c r="AJ26" i="1" s="1"/>
  <c r="AJ29" i="1" s="1"/>
  <c r="AK21" i="1"/>
  <c r="AL21" i="1"/>
  <c r="AM21" i="1"/>
  <c r="AM23" i="1" s="1"/>
  <c r="AM26" i="1" s="1"/>
  <c r="AM29" i="1" s="1"/>
  <c r="AN21" i="1"/>
  <c r="C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S23" i="1"/>
  <c r="T23" i="1"/>
  <c r="U23" i="1"/>
  <c r="V23" i="1"/>
  <c r="W23" i="1"/>
  <c r="X23" i="1"/>
  <c r="Y23" i="1"/>
  <c r="Z23" i="1"/>
  <c r="AA23" i="1"/>
  <c r="AD23" i="1"/>
  <c r="AE23" i="1"/>
  <c r="AK23" i="1"/>
  <c r="AL23" i="1"/>
  <c r="AN23" i="1"/>
  <c r="AO23" i="1"/>
  <c r="AP23" i="1"/>
  <c r="AQ23" i="1"/>
  <c r="AR23" i="1"/>
  <c r="G26" i="1"/>
  <c r="U26" i="1"/>
  <c r="AK26" i="1"/>
  <c r="AK29" i="1" s="1"/>
  <c r="AL26" i="1"/>
  <c r="AL29" i="1" s="1"/>
  <c r="D28" i="1"/>
  <c r="G29" i="1"/>
  <c r="U29" i="1"/>
  <c r="AN26" i="1" l="1"/>
  <c r="AN29" i="1" s="1"/>
  <c r="E42" i="2"/>
  <c r="Q42" i="2"/>
  <c r="L42" i="2"/>
  <c r="R42" i="2"/>
  <c r="F42" i="2"/>
  <c r="G32" i="2"/>
  <c r="G42" i="2" s="1"/>
  <c r="H42" i="2"/>
  <c r="T42" i="2"/>
  <c r="AF39" i="2"/>
  <c r="S32" i="2"/>
  <c r="S42" i="2" s="1"/>
  <c r="AN14" i="2"/>
  <c r="I42" i="2"/>
  <c r="AN39" i="2"/>
  <c r="J42" i="2"/>
  <c r="V42" i="2"/>
  <c r="AK42" i="2"/>
  <c r="W39" i="2"/>
  <c r="AL42" i="2"/>
  <c r="K32" i="2"/>
  <c r="K42" i="2" s="1"/>
  <c r="U32" i="2"/>
  <c r="U42" i="2" s="1"/>
  <c r="X18" i="2"/>
  <c r="AM42" i="2"/>
  <c r="AB16" i="2"/>
  <c r="AN16" i="2" s="1"/>
  <c r="W32" i="2"/>
  <c r="AN10" i="2"/>
  <c r="AN7" i="2"/>
  <c r="AC16" i="2"/>
  <c r="AD16" i="2"/>
  <c r="AE16" i="2"/>
  <c r="B32" i="2"/>
  <c r="B43" i="2" s="1"/>
  <c r="C41" i="2" s="1"/>
  <c r="C43" i="2" s="1"/>
  <c r="D41" i="2" s="1"/>
  <c r="D43" i="2" s="1"/>
  <c r="E41" i="2" s="1"/>
  <c r="E43" i="2" s="1"/>
  <c r="F41" i="2" s="1"/>
  <c r="F43" i="2" s="1"/>
  <c r="G41" i="2" s="1"/>
  <c r="G43" i="2" s="1"/>
  <c r="H41" i="2" s="1"/>
  <c r="H43" i="2" s="1"/>
  <c r="I41" i="2" s="1"/>
  <c r="I43" i="2" s="1"/>
  <c r="J41" i="2" s="1"/>
  <c r="J43" i="2" s="1"/>
  <c r="K41" i="2" s="1"/>
  <c r="K43" i="2" s="1"/>
  <c r="L41" i="2" s="1"/>
  <c r="L43" i="2" s="1"/>
  <c r="M41" i="2" s="1"/>
  <c r="M43" i="2" s="1"/>
  <c r="N41" i="2" s="1"/>
  <c r="N43" i="2" s="1"/>
  <c r="O41" i="2" s="1"/>
  <c r="O43" i="2" s="1"/>
  <c r="P41" i="2" s="1"/>
  <c r="P43" i="2" s="1"/>
  <c r="Q41" i="2" s="1"/>
  <c r="Q43" i="2" s="1"/>
  <c r="R41" i="2" s="1"/>
  <c r="R43" i="2" s="1"/>
  <c r="S41" i="2" s="1"/>
  <c r="S43" i="2" s="1"/>
  <c r="T41" i="2" s="1"/>
  <c r="T43" i="2" s="1"/>
  <c r="U41" i="2" s="1"/>
  <c r="U43" i="2" s="1"/>
  <c r="V41" i="2" s="1"/>
  <c r="V43" i="2" s="1"/>
  <c r="W41" i="2" s="1"/>
  <c r="W43" i="2" s="1"/>
  <c r="X41" i="2" s="1"/>
  <c r="E30" i="1"/>
  <c r="F28" i="1" s="1"/>
  <c r="F30" i="1" s="1"/>
  <c r="G28" i="1" s="1"/>
  <c r="G30" i="1" s="1"/>
  <c r="H28" i="1" s="1"/>
  <c r="H30" i="1" s="1"/>
  <c r="I28" i="1" s="1"/>
  <c r="I30" i="1" s="1"/>
  <c r="J28" i="1" s="1"/>
  <c r="J30" i="1" s="1"/>
  <c r="K28" i="1" s="1"/>
  <c r="K30" i="1" s="1"/>
  <c r="L28" i="1" s="1"/>
  <c r="L30" i="1" s="1"/>
  <c r="N28" i="1" s="1"/>
  <c r="N30" i="1" s="1"/>
  <c r="O28" i="1" s="1"/>
  <c r="O30" i="1" s="1"/>
  <c r="P28" i="1" s="1"/>
  <c r="P30" i="1" s="1"/>
  <c r="Q28" i="1" s="1"/>
  <c r="Q30" i="1" s="1"/>
  <c r="S28" i="1" s="1"/>
  <c r="S30" i="1" s="1"/>
  <c r="T28" i="1" s="1"/>
  <c r="T30" i="1" s="1"/>
  <c r="U28" i="1" s="1"/>
  <c r="U30" i="1" s="1"/>
  <c r="V28" i="1" s="1"/>
  <c r="V30" i="1" s="1"/>
  <c r="W28" i="1" s="1"/>
  <c r="W30" i="1" s="1"/>
  <c r="X28" i="1" s="1"/>
  <c r="X30" i="1" s="1"/>
  <c r="Y28" i="1" s="1"/>
  <c r="Y30" i="1" s="1"/>
  <c r="Z28" i="1" s="1"/>
  <c r="Z30" i="1" s="1"/>
  <c r="AA28" i="1" s="1"/>
  <c r="AA30" i="1" s="1"/>
  <c r="AB28" i="1" s="1"/>
  <c r="AB26" i="1"/>
  <c r="AB29" i="1" s="1"/>
  <c r="AR6" i="1"/>
  <c r="AQ6" i="1"/>
  <c r="W42" i="2" l="1"/>
  <c r="B42" i="2"/>
  <c r="X31" i="2"/>
  <c r="X32" i="2"/>
  <c r="X42" i="2" s="1"/>
  <c r="AB30" i="1"/>
  <c r="AD28" i="1" s="1"/>
  <c r="AD30" i="1" s="1"/>
  <c r="AE28" i="1" s="1"/>
  <c r="AE30" i="1" s="1"/>
  <c r="AF28" i="1" s="1"/>
  <c r="AF30" i="1" s="1"/>
  <c r="AG28" i="1" s="1"/>
  <c r="AG30" i="1" s="1"/>
  <c r="AI28" i="1" s="1"/>
  <c r="AI30" i="1" s="1"/>
  <c r="AJ28" i="1" s="1"/>
  <c r="AJ30" i="1" s="1"/>
  <c r="AK28" i="1" s="1"/>
  <c r="AK30" i="1" s="1"/>
  <c r="AL28" i="1" s="1"/>
  <c r="AL30" i="1" s="1"/>
  <c r="AM28" i="1" s="1"/>
  <c r="AM30" i="1" s="1"/>
  <c r="AN28" i="1" s="1"/>
  <c r="AN30" i="1" s="1"/>
  <c r="AO28" i="1" s="1"/>
  <c r="AO30" i="1" s="1"/>
  <c r="AP28" i="1" s="1"/>
  <c r="AP30" i="1" s="1"/>
  <c r="AQ28" i="1" s="1"/>
  <c r="AQ30" i="1" s="1"/>
  <c r="AR28" i="1" s="1"/>
  <c r="AR30" i="1" s="1"/>
  <c r="Y18" i="2" l="1"/>
  <c r="X43" i="2"/>
  <c r="Y41" i="2" s="1"/>
  <c r="Y32" i="2" l="1"/>
  <c r="Y42" i="2" s="1"/>
  <c r="Y31" i="2"/>
  <c r="Z18" i="2" l="1"/>
  <c r="Y43" i="2"/>
  <c r="Z41" i="2" s="1"/>
  <c r="Z32" i="2" l="1"/>
  <c r="Z42" i="2" s="1"/>
  <c r="Z31" i="2"/>
  <c r="AA18" i="2" l="1"/>
  <c r="Z43" i="2"/>
  <c r="AA41" i="2" s="1"/>
  <c r="AA32" i="2" l="1"/>
  <c r="AA42" i="2" s="1"/>
  <c r="AA31" i="2"/>
  <c r="AB18" i="2" l="1"/>
  <c r="AB32" i="2" s="1"/>
  <c r="AB42" i="2" s="1"/>
  <c r="AA43" i="2"/>
  <c r="AB41" i="2" s="1"/>
  <c r="AB43" i="2" s="1"/>
  <c r="AC41" i="2" s="1"/>
  <c r="AB31" i="2" l="1"/>
  <c r="AC18" i="2" l="1"/>
  <c r="AC32" i="2" s="1"/>
  <c r="AC42" i="2" l="1"/>
  <c r="AC43" i="2"/>
  <c r="AD41" i="2" s="1"/>
  <c r="AC31" i="2"/>
  <c r="AD18" i="2" l="1"/>
  <c r="AD32" i="2" s="1"/>
  <c r="AD42" i="2" s="1"/>
  <c r="AD31" i="2"/>
  <c r="AE18" i="2" l="1"/>
  <c r="AE32" i="2" s="1"/>
  <c r="AE42" i="2" s="1"/>
  <c r="AD43" i="2"/>
  <c r="AE41" i="2" s="1"/>
  <c r="AE43" i="2" s="1"/>
  <c r="AF41" i="2" s="1"/>
  <c r="AE31" i="2" l="1"/>
  <c r="AF18" i="2" l="1"/>
  <c r="AF32" i="2" s="1"/>
  <c r="AF42" i="2" l="1"/>
  <c r="AF43" i="2"/>
  <c r="AG41" i="2" s="1"/>
  <c r="AF31" i="2"/>
  <c r="AG18" i="2" l="1"/>
  <c r="AG32" i="2" s="1"/>
  <c r="AG42" i="2" s="1"/>
  <c r="AG31" i="2" l="1"/>
  <c r="AG43" i="2"/>
  <c r="AH41" i="2" s="1"/>
  <c r="AH18" i="2" l="1"/>
  <c r="AH32" i="2" s="1"/>
  <c r="AH42" i="2" s="1"/>
  <c r="AH31" i="2"/>
  <c r="AI18" i="2" l="1"/>
  <c r="AI31" i="2"/>
  <c r="AH43" i="2"/>
  <c r="AI41" i="2" s="1"/>
  <c r="AI32" i="2" l="1"/>
  <c r="AI42" i="2" s="1"/>
  <c r="AN41" i="2" s="1"/>
  <c r="AN18" i="2"/>
  <c r="AN32" i="2" s="1"/>
  <c r="AI43" i="2" l="1"/>
  <c r="AJ41" i="2" s="1"/>
  <c r="AJ43" i="2" s="1"/>
  <c r="AK41" i="2" s="1"/>
  <c r="AK43" i="2" s="1"/>
  <c r="AL41" i="2" s="1"/>
  <c r="AL43" i="2" s="1"/>
  <c r="AM41" i="2" s="1"/>
  <c r="AM43" i="2" s="1"/>
</calcChain>
</file>

<file path=xl/sharedStrings.xml><?xml version="1.0" encoding="utf-8"?>
<sst xmlns="http://schemas.openxmlformats.org/spreadsheetml/2006/main" count="186" uniqueCount="77">
  <si>
    <t>Closing Balance</t>
  </si>
  <si>
    <t>Total Inflow/Outflow</t>
  </si>
  <si>
    <t>Opening Balance</t>
  </si>
  <si>
    <t>Total Outflow</t>
  </si>
  <si>
    <t>Loan APR Payment</t>
  </si>
  <si>
    <t>Wages</t>
  </si>
  <si>
    <t>IT Infrastructure</t>
  </si>
  <si>
    <t>Utilities</t>
  </si>
  <si>
    <t>Rent</t>
  </si>
  <si>
    <t>Contracts</t>
  </si>
  <si>
    <t>Cash Outflows</t>
  </si>
  <si>
    <t>Total Inflows</t>
  </si>
  <si>
    <t>Capital injection</t>
  </si>
  <si>
    <t>Cash Inflows</t>
  </si>
  <si>
    <t>£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</si>
  <si>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</si>
  <si>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</si>
  <si>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</si>
  <si>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</si>
  <si>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</si>
  <si>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</si>
  <si>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</si>
  <si>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</si>
  <si>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</si>
  <si>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</si>
  <si>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Break 4</t>
  </si>
  <si>
    <t>Break 3</t>
  </si>
  <si>
    <t>Break 2</t>
  </si>
  <si>
    <t>Break 1</t>
  </si>
  <si>
    <t>TERM THREE</t>
  </si>
  <si>
    <t>EASTER BREAK</t>
  </si>
  <si>
    <t>TERM TWO</t>
  </si>
  <si>
    <t>CRISTMAS BREAK</t>
  </si>
  <si>
    <t>TERM ONE</t>
  </si>
  <si>
    <t>SEPTEMBER 2019 TO JUNE 2020</t>
  </si>
  <si>
    <t>CASHFLOW</t>
  </si>
  <si>
    <t>CASHFLOW SUPPORTING DOCUMENT</t>
  </si>
  <si>
    <t>CHRISTMAS BREAK</t>
  </si>
  <si>
    <t>TOTAL</t>
  </si>
  <si>
    <t>(CF 2019/2020)</t>
  </si>
  <si>
    <t>Week Commencing</t>
  </si>
  <si>
    <t>Salaries / hrs</t>
  </si>
  <si>
    <t>Daniel Bishop</t>
  </si>
  <si>
    <t>Oliver Clarke</t>
  </si>
  <si>
    <t>James Gardner</t>
  </si>
  <si>
    <t>Stijn Marynissen</t>
  </si>
  <si>
    <t>Che McKirgan</t>
  </si>
  <si>
    <t>Cameron Smith</t>
  </si>
  <si>
    <t>Oliver Still</t>
  </si>
  <si>
    <t>Eric Walker</t>
  </si>
  <si>
    <t>Expenses / £</t>
  </si>
  <si>
    <t>Predicted Wages</t>
  </si>
  <si>
    <t>Unused Wages</t>
  </si>
  <si>
    <t>External Outgoing Payments</t>
  </si>
  <si>
    <t>APR Repayment (16.86%)</t>
  </si>
  <si>
    <t>Office Rent</t>
  </si>
  <si>
    <t>External Contracts</t>
  </si>
  <si>
    <t>Cumulative Rent Expenses</t>
  </si>
  <si>
    <t>Rent Payment Due?</t>
  </si>
  <si>
    <t>Cumulative Utility Expenses</t>
  </si>
  <si>
    <t>Utility Payment Due?</t>
  </si>
  <si>
    <t>Cumulative IT Infrastructure Expenses</t>
  </si>
  <si>
    <t>IT Infrastructure Payment Due?</t>
  </si>
  <si>
    <t>Cumulative Contract Expenditure</t>
  </si>
  <si>
    <t>Contract Payment Due?</t>
  </si>
  <si>
    <t>Total Repayed Loan</t>
  </si>
  <si>
    <t>Total Expenditure</t>
  </si>
  <si>
    <t>Income / £</t>
  </si>
  <si>
    <t>External Incoming Payments</t>
  </si>
  <si>
    <t>Financial Backing</t>
  </si>
  <si>
    <t>Cumulative Contract Revenue</t>
  </si>
  <si>
    <t>Contract Revenue Due?</t>
  </si>
  <si>
    <t>Total Revenue</t>
  </si>
  <si>
    <t>Balance / £</t>
  </si>
  <si>
    <t>Open</t>
  </si>
  <si>
    <t>Total Cashflow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</si>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</sst>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[$£-809]* #,##0.000_);_([$£-809]* \(#,##0.000\);_([$£-809]* &quot;-&quot;??.0_);_(@_)"/>
    <numFmt numFmtId="165" formatCode="_([$£-809]* #,##0.00_);_([$£-809]* \(#,##0.00\);_([$£-809]* &quot;-&quot;??_);_(@_)"/>
  </numFmts>
  <fonts count="1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</font>
    <font>
      <sz val="10"/>
      <color rgb="FF999999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2"/>
      <color rgb="FFFFFFFF"/>
      <name val="Arial"/>
    </font>
    <font>
      <sz val="10"/>
      <name val="Arial"/>
    </font>
    <font>
      <b/>
      <sz val="12"/>
      <color theme="1"/>
      <name val="Arial"/>
    </font>
    <font>
      <sz val="10"/>
      <color rgb="FF666666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sz val="10"/>
      <color rgb="FFFFFFFF"/>
      <name val="Arial"/>
    </font>
    <font>
      <i/>
      <sz val="10"/>
      <color theme="1"/>
      <name val="Arial"/>
    </font>
    <font>
      <b/>
      <sz val="10"/>
      <color rgb="FFFF0000"/>
      <name val="Arial"/>
    </font>
    <font>
      <b/>
      <i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43" fontId="2" fillId="0" borderId="0" xfId="0" applyNumberFormat="1" applyFont="1"/>
    <xf numFmtId="43" fontId="3" fillId="0" borderId="0" xfId="0" applyNumberFormat="1" applyFont="1" applyAlignment="1">
      <alignment horizontal="right"/>
    </xf>
    <xf numFmtId="0" fontId="2" fillId="0" borderId="0" xfId="0" applyFont="1"/>
    <xf numFmtId="43" fontId="4" fillId="0" borderId="0" xfId="0" applyNumberFormat="1" applyFont="1" applyAlignment="1">
      <alignment horizontal="right"/>
    </xf>
    <xf numFmtId="43" fontId="4" fillId="0" borderId="1" xfId="0" applyNumberFormat="1" applyFont="1" applyBorder="1" applyAlignment="1">
      <alignment horizontal="right"/>
    </xf>
    <xf numFmtId="43" fontId="4" fillId="0" borderId="0" xfId="0" applyNumberFormat="1" applyFont="1"/>
    <xf numFmtId="0" fontId="4" fillId="0" borderId="0" xfId="0" applyFont="1"/>
    <xf numFmtId="43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43" fontId="3" fillId="0" borderId="0" xfId="0" applyNumberFormat="1" applyFont="1" applyAlignment="1">
      <alignment horizontal="left"/>
    </xf>
    <xf numFmtId="43" fontId="3" fillId="2" borderId="0" xfId="0" applyNumberFormat="1" applyFont="1" applyFill="1" applyAlignment="1">
      <alignment horizontal="right"/>
    </xf>
    <xf numFmtId="43" fontId="5" fillId="0" borderId="0" xfId="0" applyNumberFormat="1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164" fontId="11" fillId="4" borderId="3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right" vertical="center"/>
    </xf>
    <xf numFmtId="164" fontId="13" fillId="3" borderId="8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3" fillId="3" borderId="9" xfId="0" applyNumberFormat="1" applyFont="1" applyFill="1" applyBorder="1" applyAlignment="1">
      <alignment horizontal="center"/>
    </xf>
    <xf numFmtId="164" fontId="13" fillId="3" borderId="10" xfId="0" applyNumberFormat="1" applyFont="1" applyFill="1" applyBorder="1" applyAlignment="1">
      <alignment horizontal="center"/>
    </xf>
    <xf numFmtId="0" fontId="10" fillId="0" borderId="11" xfId="0" applyFont="1" applyBorder="1"/>
    <xf numFmtId="164" fontId="14" fillId="2" borderId="7" xfId="0" applyNumberFormat="1" applyFont="1" applyFill="1" applyBorder="1" applyAlignment="1">
      <alignment horizontal="right" vertical="center"/>
    </xf>
    <xf numFmtId="14" fontId="15" fillId="3" borderId="12" xfId="0" applyNumberFormat="1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15" fillId="3" borderId="12" xfId="0" applyNumberFormat="1" applyFont="1" applyFill="1" applyBorder="1" applyAlignment="1">
      <alignment horizontal="center"/>
    </xf>
    <xf numFmtId="14" fontId="15" fillId="3" borderId="13" xfId="0" applyNumberFormat="1" applyFont="1" applyFill="1" applyBorder="1" applyAlignment="1">
      <alignment horizontal="center"/>
    </xf>
    <xf numFmtId="0" fontId="10" fillId="0" borderId="14" xfId="0" applyFont="1" applyBorder="1"/>
    <xf numFmtId="164" fontId="13" fillId="5" borderId="10" xfId="0" applyNumberFormat="1" applyFont="1" applyFill="1" applyBorder="1" applyAlignment="1">
      <alignment horizontal="center"/>
    </xf>
    <xf numFmtId="164" fontId="2" fillId="5" borderId="3" xfId="0" applyNumberFormat="1" applyFont="1" applyFill="1" applyBorder="1"/>
    <xf numFmtId="164" fontId="16" fillId="6" borderId="15" xfId="0" applyNumberFormat="1" applyFont="1" applyFill="1" applyBorder="1" applyAlignment="1">
      <alignment horizontal="right"/>
    </xf>
    <xf numFmtId="4" fontId="2" fillId="7" borderId="16" xfId="0" applyNumberFormat="1" applyFont="1" applyFill="1" applyBorder="1"/>
    <xf numFmtId="4" fontId="2" fillId="7" borderId="17" xfId="0" applyNumberFormat="1" applyFont="1" applyFill="1" applyBorder="1"/>
    <xf numFmtId="4" fontId="2" fillId="8" borderId="18" xfId="0" applyNumberFormat="1" applyFont="1" applyFill="1" applyBorder="1" applyAlignment="1">
      <alignment horizontal="right"/>
    </xf>
    <xf numFmtId="4" fontId="2" fillId="7" borderId="15" xfId="0" applyNumberFormat="1" applyFont="1" applyFill="1" applyBorder="1"/>
    <xf numFmtId="4" fontId="2" fillId="6" borderId="15" xfId="0" applyNumberFormat="1" applyFont="1" applyFill="1" applyBorder="1"/>
    <xf numFmtId="4" fontId="10" fillId="7" borderId="15" xfId="0" applyNumberFormat="1" applyFont="1" applyFill="1" applyBorder="1"/>
    <xf numFmtId="4" fontId="2" fillId="7" borderId="19" xfId="0" applyNumberFormat="1" applyFont="1" applyFill="1" applyBorder="1" applyAlignment="1">
      <alignment horizontal="right"/>
    </xf>
    <xf numFmtId="164" fontId="14" fillId="6" borderId="20" xfId="0" applyNumberFormat="1" applyFont="1" applyFill="1" applyBorder="1" applyAlignment="1">
      <alignment horizontal="right"/>
    </xf>
    <xf numFmtId="4" fontId="2" fillId="7" borderId="20" xfId="0" applyNumberFormat="1" applyFont="1" applyFill="1" applyBorder="1"/>
    <xf numFmtId="4" fontId="2" fillId="6" borderId="20" xfId="0" applyNumberFormat="1" applyFont="1" applyFill="1" applyBorder="1"/>
    <xf numFmtId="4" fontId="10" fillId="7" borderId="20" xfId="0" applyNumberFormat="1" applyFont="1" applyFill="1" applyBorder="1"/>
    <xf numFmtId="4" fontId="2" fillId="7" borderId="21" xfId="0" applyNumberFormat="1" applyFont="1" applyFill="1" applyBorder="1" applyAlignment="1">
      <alignment horizontal="right"/>
    </xf>
    <xf numFmtId="4" fontId="2" fillId="8" borderId="20" xfId="0" applyNumberFormat="1" applyFont="1" applyFill="1" applyBorder="1" applyAlignment="1">
      <alignment horizontal="right"/>
    </xf>
    <xf numFmtId="4" fontId="2" fillId="8" borderId="16" xfId="0" applyNumberFormat="1" applyFont="1" applyFill="1" applyBorder="1" applyAlignment="1">
      <alignment horizontal="right"/>
    </xf>
    <xf numFmtId="4" fontId="2" fillId="8" borderId="22" xfId="0" applyNumberFormat="1" applyFont="1" applyFill="1" applyBorder="1" applyAlignment="1">
      <alignment horizontal="right"/>
    </xf>
    <xf numFmtId="164" fontId="14" fillId="6" borderId="23" xfId="0" applyNumberFormat="1" applyFont="1" applyFill="1" applyBorder="1" applyAlignment="1">
      <alignment horizontal="right"/>
    </xf>
    <xf numFmtId="4" fontId="2" fillId="7" borderId="23" xfId="0" applyNumberFormat="1" applyFont="1" applyFill="1" applyBorder="1"/>
    <xf numFmtId="4" fontId="2" fillId="6" borderId="23" xfId="0" applyNumberFormat="1" applyFont="1" applyFill="1" applyBorder="1"/>
    <xf numFmtId="4" fontId="10" fillId="7" borderId="23" xfId="0" applyNumberFormat="1" applyFont="1" applyFill="1" applyBorder="1"/>
    <xf numFmtId="164" fontId="13" fillId="5" borderId="13" xfId="0" applyNumberFormat="1" applyFont="1" applyFill="1" applyBorder="1" applyAlignment="1">
      <alignment horizontal="center"/>
    </xf>
    <xf numFmtId="165" fontId="2" fillId="5" borderId="3" xfId="0" applyNumberFormat="1" applyFont="1" applyFill="1" applyBorder="1"/>
    <xf numFmtId="165" fontId="2" fillId="7" borderId="22" xfId="0" applyNumberFormat="1" applyFont="1" applyFill="1" applyBorder="1" applyAlignment="1">
      <alignment horizontal="right"/>
    </xf>
    <xf numFmtId="165" fontId="2" fillId="8" borderId="20" xfId="0" applyNumberFormat="1" applyFont="1" applyFill="1" applyBorder="1" applyAlignment="1">
      <alignment horizontal="right"/>
    </xf>
    <xf numFmtId="165" fontId="2" fillId="8" borderId="16" xfId="0" applyNumberFormat="1" applyFont="1" applyFill="1" applyBorder="1" applyAlignment="1">
      <alignment horizontal="right"/>
    </xf>
    <xf numFmtId="165" fontId="2" fillId="8" borderId="18" xfId="0" applyNumberFormat="1" applyFont="1" applyFill="1" applyBorder="1" applyAlignment="1">
      <alignment horizontal="right"/>
    </xf>
    <xf numFmtId="165" fontId="2" fillId="8" borderId="22" xfId="0" applyNumberFormat="1" applyFont="1" applyFill="1" applyBorder="1" applyAlignment="1">
      <alignment horizontal="right"/>
    </xf>
    <xf numFmtId="165" fontId="1" fillId="7" borderId="19" xfId="0" applyNumberFormat="1" applyFont="1" applyFill="1" applyBorder="1" applyAlignment="1">
      <alignment horizontal="right"/>
    </xf>
    <xf numFmtId="164" fontId="16" fillId="6" borderId="20" xfId="0" applyNumberFormat="1" applyFont="1" applyFill="1" applyBorder="1" applyAlignment="1">
      <alignment horizontal="right"/>
    </xf>
    <xf numFmtId="165" fontId="17" fillId="7" borderId="18" xfId="0" applyNumberFormat="1" applyFont="1" applyFill="1" applyBorder="1" applyAlignment="1">
      <alignment horizontal="right"/>
    </xf>
    <xf numFmtId="165" fontId="17" fillId="8" borderId="18" xfId="0" applyNumberFormat="1" applyFont="1" applyFill="1" applyBorder="1" applyAlignment="1">
      <alignment horizontal="right"/>
    </xf>
    <xf numFmtId="165" fontId="2" fillId="7" borderId="18" xfId="0" applyNumberFormat="1" applyFont="1" applyFill="1" applyBorder="1" applyAlignment="1">
      <alignment horizontal="right"/>
    </xf>
    <xf numFmtId="165" fontId="2" fillId="7" borderId="21" xfId="0" applyNumberFormat="1" applyFont="1" applyFill="1" applyBorder="1" applyAlignment="1">
      <alignment horizontal="right"/>
    </xf>
    <xf numFmtId="165" fontId="2" fillId="7" borderId="16" xfId="0" applyNumberFormat="1" applyFont="1" applyFill="1" applyBorder="1" applyAlignment="1">
      <alignment horizontal="right"/>
    </xf>
    <xf numFmtId="165" fontId="2" fillId="7" borderId="20" xfId="0" applyNumberFormat="1" applyFont="1" applyFill="1" applyBorder="1" applyAlignment="1">
      <alignment horizontal="right"/>
    </xf>
    <xf numFmtId="164" fontId="16" fillId="6" borderId="24" xfId="0" applyNumberFormat="1" applyFont="1" applyFill="1" applyBorder="1" applyAlignment="1">
      <alignment horizontal="right"/>
    </xf>
    <xf numFmtId="165" fontId="1" fillId="7" borderId="20" xfId="0" applyNumberFormat="1" applyFont="1" applyFill="1" applyBorder="1" applyAlignment="1">
      <alignment horizontal="right"/>
    </xf>
    <xf numFmtId="165" fontId="1" fillId="7" borderId="21" xfId="0" applyNumberFormat="1" applyFont="1" applyFill="1" applyBorder="1" applyAlignment="1">
      <alignment horizontal="right"/>
    </xf>
    <xf numFmtId="164" fontId="16" fillId="6" borderId="25" xfId="0" applyNumberFormat="1" applyFont="1" applyFill="1" applyBorder="1" applyAlignment="1">
      <alignment horizontal="right"/>
    </xf>
    <xf numFmtId="165" fontId="1" fillId="7" borderId="18" xfId="0" applyNumberFormat="1" applyFont="1" applyFill="1" applyBorder="1" applyAlignment="1">
      <alignment horizontal="right"/>
    </xf>
    <xf numFmtId="165" fontId="1" fillId="7" borderId="16" xfId="0" applyNumberFormat="1" applyFont="1" applyFill="1" applyBorder="1" applyAlignment="1">
      <alignment horizontal="right"/>
    </xf>
    <xf numFmtId="165" fontId="1" fillId="8" borderId="16" xfId="0" applyNumberFormat="1" applyFont="1" applyFill="1" applyBorder="1" applyAlignment="1">
      <alignment horizontal="right"/>
    </xf>
    <xf numFmtId="164" fontId="16" fillId="6" borderId="26" xfId="0" applyNumberFormat="1" applyFont="1" applyFill="1" applyBorder="1" applyAlignment="1">
      <alignment horizontal="right"/>
    </xf>
    <xf numFmtId="165" fontId="2" fillId="9" borderId="26" xfId="0" applyNumberFormat="1" applyFont="1" applyFill="1" applyBorder="1"/>
    <xf numFmtId="165" fontId="2" fillId="6" borderId="27" xfId="0" applyNumberFormat="1" applyFont="1" applyFill="1" applyBorder="1" applyAlignment="1">
      <alignment horizontal="right"/>
    </xf>
    <xf numFmtId="165" fontId="16" fillId="10" borderId="20" xfId="0" applyNumberFormat="1" applyFont="1" applyFill="1" applyBorder="1"/>
    <xf numFmtId="165" fontId="16" fillId="11" borderId="20" xfId="0" applyNumberFormat="1" applyFont="1" applyFill="1" applyBorder="1"/>
    <xf numFmtId="165" fontId="2" fillId="9" borderId="20" xfId="0" applyNumberFormat="1" applyFont="1" applyFill="1" applyBorder="1"/>
    <xf numFmtId="165" fontId="16" fillId="10" borderId="24" xfId="0" applyNumberFormat="1" applyFont="1" applyFill="1" applyBorder="1"/>
    <xf numFmtId="0" fontId="10" fillId="0" borderId="28" xfId="0" applyFont="1" applyBorder="1"/>
    <xf numFmtId="164" fontId="18" fillId="6" borderId="29" xfId="0" applyNumberFormat="1" applyFont="1" applyFill="1" applyBorder="1" applyAlignment="1">
      <alignment horizontal="right"/>
    </xf>
    <xf numFmtId="165" fontId="5" fillId="7" borderId="30" xfId="0" applyNumberFormat="1" applyFont="1" applyFill="1" applyBorder="1"/>
    <xf numFmtId="165" fontId="5" fillId="7" borderId="31" xfId="0" applyNumberFormat="1" applyFont="1" applyFill="1" applyBorder="1" applyAlignment="1">
      <alignment horizontal="right"/>
    </xf>
    <xf numFmtId="165" fontId="2" fillId="7" borderId="28" xfId="0" applyNumberFormat="1" applyFont="1" applyFill="1" applyBorder="1" applyAlignment="1">
      <alignment horizontal="right"/>
    </xf>
    <xf numFmtId="165" fontId="2" fillId="7" borderId="32" xfId="0" applyNumberFormat="1" applyFont="1" applyFill="1" applyBorder="1" applyAlignment="1">
      <alignment horizontal="right"/>
    </xf>
    <xf numFmtId="164" fontId="16" fillId="6" borderId="18" xfId="0" applyNumberFormat="1" applyFont="1" applyFill="1" applyBorder="1" applyAlignment="1">
      <alignment horizontal="right"/>
    </xf>
    <xf numFmtId="165" fontId="16" fillId="2" borderId="20" xfId="0" applyNumberFormat="1" applyFont="1" applyFill="1" applyBorder="1"/>
    <xf numFmtId="164" fontId="18" fillId="6" borderId="15" xfId="0" applyNumberFormat="1" applyFont="1" applyFill="1" applyBorder="1" applyAlignment="1">
      <alignment horizontal="right"/>
    </xf>
    <xf numFmtId="165" fontId="5" fillId="7" borderId="9" xfId="0" applyNumberFormat="1" applyFont="1" applyFill="1" applyBorder="1"/>
    <xf numFmtId="165" fontId="5" fillId="6" borderId="11" xfId="0" applyNumberFormat="1" applyFont="1" applyFill="1" applyBorder="1" applyAlignment="1">
      <alignment horizontal="center" vertical="center"/>
    </xf>
    <xf numFmtId="164" fontId="18" fillId="6" borderId="9" xfId="0" applyNumberFormat="1" applyFont="1" applyFill="1" applyBorder="1" applyAlignment="1">
      <alignment horizontal="right"/>
    </xf>
    <xf numFmtId="165" fontId="5" fillId="7" borderId="20" xfId="0" applyNumberFormat="1" applyFont="1" applyFill="1" applyBorder="1" applyAlignment="1">
      <alignment horizontal="right"/>
    </xf>
    <xf numFmtId="164" fontId="18" fillId="6" borderId="23" xfId="0" applyNumberFormat="1" applyFont="1" applyFill="1" applyBorder="1" applyAlignment="1">
      <alignment horizontal="right"/>
    </xf>
    <xf numFmtId="165" fontId="5" fillId="7" borderId="23" xfId="0" applyNumberFormat="1" applyFont="1" applyFill="1" applyBorder="1"/>
  </cellXfs>
  <cellStyles count="1">
    <cellStyle name="Normal" xfId="0" builtinId="0"/>
  </cellStyles>
  <dxfs count="11"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</dxfs>
  <tableStyles count="4" defaultTableStyle="TableStyleMedium2" defaultPivotStyle="PivotStyleLight16">
    <tableStyle name="Cashflow Workings-style" pivot="0" count="2" xr9:uid="{A76CC904-8840-4241-ADA7-317F978AA655}">
      <tableStyleElement type="firstRowStripe" dxfId="7"/>
      <tableStyleElement type="secondRowStripe" dxfId="6"/>
    </tableStyle>
    <tableStyle name="Cashflow Workings-style 2" pivot="0" count="2" xr9:uid="{D39C1982-69B9-CB4A-A69F-5F7D72920AC0}">
      <tableStyleElement type="firstRowStripe" dxfId="5"/>
      <tableStyleElement type="secondRowStripe" dxfId="4"/>
    </tableStyle>
    <tableStyle name="Cashflow Workings-style 3" pivot="0" count="2" xr9:uid="{7BF2BC8D-6B35-C54D-971E-4AA04D72E557}">
      <tableStyleElement type="firstRowStripe" dxfId="3"/>
      <tableStyleElement type="secondRowStripe" dxfId="2"/>
    </tableStyle>
    <tableStyle name="CASHFLOW-style" pivot="0" count="2" xr9:uid="{C14A431E-6055-064F-8B94-E4AEF7EACF55}"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1600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10820A14-E26D-694B-9775-3D1B1F2EE0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71600" cy="6381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erstill/Downloads/2019_2020%20CUBIXEL%20Fin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&amp; LOSS"/>
      <sheetName val="BALANCE SHEET"/>
      <sheetName val="Cashflow Workings"/>
      <sheetName val="TutorPoint Budgets"/>
      <sheetName val="Expenditure Predictions"/>
      <sheetName val="Finance Report I"/>
      <sheetName val="Finance Report II"/>
      <sheetName val="Finance Report III"/>
    </sheetNames>
    <sheetDataSet>
      <sheetData sheetId="0"/>
      <sheetData sheetId="1"/>
      <sheetData sheetId="2">
        <row r="18">
          <cell r="W18">
            <v>0</v>
          </cell>
          <cell r="X18">
            <v>111.45432692307692</v>
          </cell>
          <cell r="Y18">
            <v>111.09295770155326</v>
          </cell>
          <cell r="Z18">
            <v>110.73276015023632</v>
          </cell>
          <cell r="AA18">
            <v>110.37373047021073</v>
          </cell>
          <cell r="AB18">
            <v>110.01586487487847</v>
          </cell>
          <cell r="AC18">
            <v>109.65915958991876</v>
          </cell>
          <cell r="AD18">
            <v>109.30361085324837</v>
          </cell>
          <cell r="AE18">
            <v>175.82181106882805</v>
          </cell>
          <cell r="AF18">
            <v>175.25174265832408</v>
          </cell>
          <cell r="AG18">
            <v>174.6835225850127</v>
          </cell>
          <cell r="AH18">
            <v>174.1171448560159</v>
          </cell>
          <cell r="AI18">
            <v>173.55260349788659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D8122-589D-D44F-B839-109001C7A24C}" name="Table_1" displayName="Table_1" ref="Z21:AB21" headerRowCount="0">
  <tableColumns count="3">
    <tableColumn id="1" xr3:uid="{00000000-0010-0000-0000-000001000000}" name="Column1">
      <calculatedColumnFormula>'[1]Cashflow Workings'!W18</calculatedColumnFormula>
    </tableColumn>
    <tableColumn id="2" xr3:uid="{00000000-0010-0000-0000-000002000000}" name="Column2">
      <calculatedColumnFormula>'[1]Cashflow Workings'!X18</calculatedColumnFormula>
    </tableColumn>
    <tableColumn id="3" xr3:uid="{00000000-0010-0000-0000-000003000000}" name="Column3">
      <calculatedColumnFormula>'[1]Cashflow Workings'!Y18</calculatedColumnFormula>
    </tableColumn>
  </tableColumns>
  <tableStyleInfo name="CASHFLOW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6AC54-C471-324F-BC94-86ABCB4925FE}" name="Table_2" displayName="Table_2" ref="AE36:AF36" headerRowCount="0">
  <tableColumns count="2">
    <tableColumn id="1" xr3:uid="{8C792E1D-8D2D-D04C-A35A-A0644C8C95F4}" name="Column1">
      <calculatedColumnFormula>AN36*0.5</calculatedColumnFormula>
    </tableColumn>
    <tableColumn id="2" xr3:uid="{57E6B45B-E0C5-0040-959A-E4BBEEFCAFA5}" name="Column2">
      <calculatedColumnFormula>AN36*0.25</calculatedColumnFormula>
    </tableColumn>
  </tableColumns>
  <tableStyleInfo name="Cashflow Working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1DFFC-4AA4-3045-969F-3FC479DE76D9}" name="Table_3" displayName="Table_3" ref="B37:AM38" headerRowCount="0">
  <tableColumns count="38">
    <tableColumn id="1" xr3:uid="{8ECED397-1C8F-5641-AB32-718664BCBF92}" name="Column1"/>
    <tableColumn id="2" xr3:uid="{ED2369D6-8000-394C-8DAB-002394084CEC}" name="Column2"/>
    <tableColumn id="3" xr3:uid="{1FC724A3-F5B0-7B4F-873C-126A3187FF10}" name="Column3"/>
    <tableColumn id="4" xr3:uid="{420825EF-5C4C-694F-B000-122A465AA68A}" name="Column4"/>
    <tableColumn id="5" xr3:uid="{BBEAEFAC-7FD7-E249-9085-9291EC106601}" name="Column5"/>
    <tableColumn id="6" xr3:uid="{A6C92FA5-CD9B-0A49-B01B-ABC8375E4A66}" name="Column6"/>
    <tableColumn id="7" xr3:uid="{BB2CE9D7-3E56-C84B-82D4-4792A4FCB1D0}" name="Column7"/>
    <tableColumn id="8" xr3:uid="{A77D410D-9B8F-0743-A55C-6744642CF715}" name="Column8"/>
    <tableColumn id="9" xr3:uid="{B91C0B90-5DEE-774B-AFB5-7A39697D098B}" name="Column9"/>
    <tableColumn id="10" xr3:uid="{B887518C-B46D-7E41-BCC1-BF1742330DF1}" name="Column10"/>
    <tableColumn id="11" xr3:uid="{FAD54EF1-36AF-364A-BFA4-9E486BF21AAC}" name="Column11"/>
    <tableColumn id="12" xr3:uid="{D8FDFC33-46DF-9444-A997-24BCA1FE3963}" name="Column12"/>
    <tableColumn id="13" xr3:uid="{934F2F9F-D3F7-6448-A134-C97E4C9DBF60}" name="Column13"/>
    <tableColumn id="14" xr3:uid="{2E0E7352-242A-E74D-B9AC-B524E3303FB2}" name="Column14"/>
    <tableColumn id="15" xr3:uid="{25ED3A2C-0D94-F041-9104-47F09E4506BE}" name="Column15"/>
    <tableColumn id="16" xr3:uid="{B8FC4D2B-B6C4-A044-B7D7-F6DE28C64E1D}" name="Column16"/>
    <tableColumn id="17" xr3:uid="{C1AEA364-8C6A-E14D-BB9A-F460E2977FE6}" name="Column17"/>
    <tableColumn id="18" xr3:uid="{2E1C03BC-E0FE-9649-A06A-70A3E4B20538}" name="Column18"/>
    <tableColumn id="19" xr3:uid="{FF89F67B-0667-924D-8D5F-D17B6CA26FAE}" name="Column19"/>
    <tableColumn id="20" xr3:uid="{8DDD28C5-6F13-414F-8E3A-AE24695C8CC8}" name="Column20"/>
    <tableColumn id="21" xr3:uid="{27F11B6B-8866-B140-91C2-07FBB6518100}" name="Column21"/>
    <tableColumn id="22" xr3:uid="{F1A1EB0D-88BF-2D4F-97C3-86EA4C1C6E60}" name="Column22"/>
    <tableColumn id="23" xr3:uid="{284AB058-B94D-134F-B285-089004C4F89F}" name="Column23"/>
    <tableColumn id="24" xr3:uid="{2C9F9749-4072-DF49-A58C-B553916C3A4C}" name="Column24"/>
    <tableColumn id="25" xr3:uid="{62E0CA62-7D20-8F46-A1AD-6AA4218D10F0}" name="Column25"/>
    <tableColumn id="26" xr3:uid="{CA858DDB-E6D5-3D4E-B8A9-6A12D807549F}" name="Column26"/>
    <tableColumn id="27" xr3:uid="{37508B5B-36AF-6445-95AD-1E7B211C1604}" name="Column27"/>
    <tableColumn id="28" xr3:uid="{36327199-E0C5-2A4C-A163-ECC4316F6069}" name="Column28"/>
    <tableColumn id="29" xr3:uid="{BB96FA29-BB35-8643-B588-325BF2B3E2B5}" name="Column29"/>
    <tableColumn id="30" xr3:uid="{4FCD13AA-C672-064E-9874-2A30ED08C81C}" name="Column30"/>
    <tableColumn id="31" xr3:uid="{F01457BC-005B-684C-96FE-75DA62E66D3F}" name="Column31"/>
    <tableColumn id="32" xr3:uid="{748216A5-5036-2441-86C6-E4F8F421A0A7}" name="Column32"/>
    <tableColumn id="33" xr3:uid="{AA78E021-2725-EF49-94E7-12B392B6EADA}" name="Column33"/>
    <tableColumn id="34" xr3:uid="{2DBFA5A9-27CC-BA43-AD5B-E4F96749E16B}" name="Column34"/>
    <tableColumn id="35" xr3:uid="{895D3DE9-7CAA-2B49-B356-484FEF361736}" name="Column35"/>
    <tableColumn id="36" xr3:uid="{83FF068B-B3B4-BF4F-A866-7158FB256EF4}" name="Column36"/>
    <tableColumn id="37" xr3:uid="{7E96D0D9-54D6-2446-8EC8-E7BAED4ADBD1}" name="Column37"/>
    <tableColumn id="38" xr3:uid="{4EACB025-AAD6-0447-A35A-CEBBFDE33EA9}" name="Column38"/>
  </tableColumns>
  <tableStyleInfo name="Cashflow Working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F0A79E-4D31-CB48-B725-C7F82480AB76}" name="Table_4" displayName="Table_4" ref="B22:AM31" headerRowCount="0">
  <tableColumns count="38">
    <tableColumn id="1" xr3:uid="{53E01896-7F6C-D441-A3EB-C600329A84B2}" name="Column1"/>
    <tableColumn id="2" xr3:uid="{3A3DB178-2E77-6745-ABA7-BBBEE5149A3B}" name="Column2"/>
    <tableColumn id="3" xr3:uid="{DB643DC8-C41D-054E-99EC-7A2237E300A9}" name="Column3"/>
    <tableColumn id="4" xr3:uid="{3BA6FCB7-E441-2743-8889-721A0293B597}" name="Column4"/>
    <tableColumn id="5" xr3:uid="{BB29E6BD-2F18-C14A-A819-6DF235B4ED30}" name="Column5"/>
    <tableColumn id="6" xr3:uid="{EDB2E68E-C598-9043-8514-2CBAC0402506}" name="Column6"/>
    <tableColumn id="7" xr3:uid="{C998ADD3-1D3F-0944-96DD-2D725CD42C3F}" name="Column7"/>
    <tableColumn id="8" xr3:uid="{B61CAD09-E2D3-3643-A459-2D60AE56CDF6}" name="Column8"/>
    <tableColumn id="9" xr3:uid="{7123B9F1-6B70-B64F-865F-DD29A838C282}" name="Column9"/>
    <tableColumn id="10" xr3:uid="{EB908270-0F2E-E045-936B-41396597330E}" name="Column10"/>
    <tableColumn id="11" xr3:uid="{1BEB0009-201C-E344-8A3D-35FBA9002CB9}" name="Column11"/>
    <tableColumn id="12" xr3:uid="{49CFFF91-12C2-CB48-83D4-FDA248488B84}" name="Column12"/>
    <tableColumn id="13" xr3:uid="{FBD6AEE3-4E09-E948-A252-7752F7F76507}" name="Column13"/>
    <tableColumn id="14" xr3:uid="{03C37C67-2FB8-7540-AD2A-69E54ED11FFF}" name="Column14"/>
    <tableColumn id="15" xr3:uid="{553F2B44-F525-544F-998D-7F3C10A36B79}" name="Column15"/>
    <tableColumn id="16" xr3:uid="{82CD3BBC-6726-2D41-89F5-D7176B546906}" name="Column16"/>
    <tableColumn id="17" xr3:uid="{493EB357-414D-F54A-842F-EA7F2A2DEBAB}" name="Column17"/>
    <tableColumn id="18" xr3:uid="{5FEB7B15-F532-8843-B52E-B065C79D1710}" name="Column18"/>
    <tableColumn id="19" xr3:uid="{69768CF2-AFFE-E24B-A344-17F4EC00B66D}" name="Column19"/>
    <tableColumn id="20" xr3:uid="{13E62DFF-89AD-1D40-BAC3-CC39D3E0413B}" name="Column20"/>
    <tableColumn id="21" xr3:uid="{E0761F10-2D1C-DF4C-821A-A50ADD7781F5}" name="Column21"/>
    <tableColumn id="22" xr3:uid="{947041BF-0598-C34B-9C67-1D7C9F338B2D}" name="Column22"/>
    <tableColumn id="23" xr3:uid="{B7CF36FA-63C9-554D-97FA-DEE9A0949E56}" name="Column23"/>
    <tableColumn id="24" xr3:uid="{267C0FB4-F172-3A43-9E88-C25358DCF0A5}" name="Column24"/>
    <tableColumn id="25" xr3:uid="{FF46E6EB-5BF4-D746-A09A-6C706F19CE5C}" name="Column25"/>
    <tableColumn id="26" xr3:uid="{5AD72B31-2610-DB43-B53D-77B97EA02776}" name="Column26"/>
    <tableColumn id="27" xr3:uid="{49124044-AF61-154D-823B-5E9A3877A106}" name="Column27"/>
    <tableColumn id="28" xr3:uid="{C8464F4E-147F-4E49-9DC7-844D0B4A66BE}" name="Column28"/>
    <tableColumn id="29" xr3:uid="{FBD0534C-8F8A-534E-A753-0DC877D39FA1}" name="Column29"/>
    <tableColumn id="30" xr3:uid="{8F4A4385-22EB-CE41-A997-97EC873C922C}" name="Column30"/>
    <tableColumn id="31" xr3:uid="{5B322198-0791-EB45-9F7A-2D6F098849ED}" name="Column31"/>
    <tableColumn id="32" xr3:uid="{187A0714-2DBB-6447-99CB-D674916BD7AD}" name="Column32"/>
    <tableColumn id="33" xr3:uid="{A8454BD8-C4B0-0145-8C11-6A97E5A4C402}" name="Column33"/>
    <tableColumn id="34" xr3:uid="{A8C7FF04-CC34-164C-9105-4CBBAE178887}" name="Column34"/>
    <tableColumn id="35" xr3:uid="{462DB4D7-E7D6-2D4A-999C-CC254F1BAFF2}" name="Column35"/>
    <tableColumn id="36" xr3:uid="{95452473-4407-5245-BC39-A149B49E113F}" name="Column36"/>
    <tableColumn id="37" xr3:uid="{2C734230-2213-5E4A-AB2C-67D6DF4E4AEF}" name="Column37"/>
    <tableColumn id="38" xr3:uid="{53CCBA0A-6D44-1F47-B491-3280666CFDA0}" name="Column38"/>
  </tableColumns>
  <tableStyleInfo name="Cashflow Workings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79E7-F42E-8F48-969B-5DCE0ECD46D2}">
  <sheetPr>
    <outlinePr summaryBelow="0" summaryRight="0"/>
  </sheetPr>
  <dimension ref="A1:AS32"/>
  <sheetViews>
    <sheetView showGridLines="0" tabSelected="1" workbookViewId="0">
      <pane xSplit="1" ySplit="8" topLeftCell="AI12" activePane="bottomRight" state="frozen"/>
      <selection activeCell="D49" sqref="D49"/>
      <selection pane="topRight" activeCell="D49" sqref="D49"/>
      <selection pane="bottomLeft" activeCell="D49" sqref="D49"/>
      <selection pane="bottomRight" activeCell="AN21" sqref="AN21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45" ht="50.25" customHeight="1" x14ac:dyDescent="0.15">
      <c r="A1" s="22"/>
    </row>
    <row r="2" spans="1:45" ht="14" x14ac:dyDescent="0.2">
      <c r="A2" s="7" t="s">
        <v>35</v>
      </c>
    </row>
    <row r="3" spans="1:45" ht="14" x14ac:dyDescent="0.2">
      <c r="A3" s="7" t="s">
        <v>34</v>
      </c>
      <c r="B3" s="10"/>
      <c r="C3" s="21" t="s">
        <v>33</v>
      </c>
      <c r="D3" s="18"/>
      <c r="E3" s="18"/>
      <c r="F3" s="18"/>
      <c r="G3" s="18"/>
      <c r="H3" s="18"/>
      <c r="I3" s="18"/>
      <c r="J3" s="18"/>
      <c r="K3" s="18"/>
      <c r="L3" s="18"/>
      <c r="N3" s="19" t="s">
        <v>32</v>
      </c>
      <c r="O3" s="18"/>
      <c r="P3" s="18"/>
      <c r="Q3" s="18"/>
      <c r="R3" s="20"/>
      <c r="S3" s="21" t="s">
        <v>31</v>
      </c>
      <c r="T3" s="18"/>
      <c r="U3" s="18"/>
      <c r="V3" s="18"/>
      <c r="W3" s="18"/>
      <c r="X3" s="18"/>
      <c r="Y3" s="18"/>
      <c r="Z3" s="18"/>
      <c r="AA3" s="18"/>
      <c r="AB3" s="18"/>
      <c r="AC3" s="20"/>
      <c r="AD3" s="19" t="s">
        <v>30</v>
      </c>
      <c r="AE3" s="18"/>
      <c r="AF3" s="18"/>
      <c r="AG3" s="18"/>
      <c r="AH3" s="20"/>
      <c r="AI3" s="19" t="s">
        <v>29</v>
      </c>
      <c r="AJ3" s="18"/>
      <c r="AK3" s="18"/>
      <c r="AL3" s="18"/>
      <c r="AM3" s="18"/>
      <c r="AN3" s="18"/>
      <c r="AO3" s="18"/>
      <c r="AP3" s="18"/>
      <c r="AQ3" s="18"/>
      <c r="AR3" s="18"/>
      <c r="AS3" s="17"/>
    </row>
    <row r="4" spans="1:45" ht="14" x14ac:dyDescent="0.2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45" ht="14" x14ac:dyDescent="0.2">
      <c r="A5" s="10"/>
      <c r="B5" s="10"/>
      <c r="C5" s="16" t="s">
        <v>24</v>
      </c>
      <c r="D5" s="16" t="s">
        <v>23</v>
      </c>
      <c r="E5" s="16" t="s">
        <v>22</v>
      </c>
      <c r="F5" s="16" t="s">
        <v>21</v>
      </c>
      <c r="G5" s="16" t="s">
        <v>20</v>
      </c>
      <c r="H5" s="16" t="s">
        <v>19</v>
      </c>
      <c r="I5" s="16" t="s">
        <v>18</v>
      </c>
      <c r="J5" s="16" t="s">
        <v>17</v>
      </c>
      <c r="K5" s="16" t="s">
        <v>16</v>
      </c>
      <c r="L5" s="16" t="s">
        <v>15</v>
      </c>
      <c r="M5" s="16"/>
      <c r="N5" s="16" t="s">
        <v>28</v>
      </c>
      <c r="O5" s="16" t="s">
        <v>27</v>
      </c>
      <c r="P5" s="16" t="s">
        <v>26</v>
      </c>
      <c r="Q5" s="16" t="s">
        <v>25</v>
      </c>
      <c r="R5" s="16"/>
      <c r="S5" s="16" t="s">
        <v>24</v>
      </c>
      <c r="T5" s="16" t="s">
        <v>23</v>
      </c>
      <c r="U5" s="16" t="s">
        <v>22</v>
      </c>
      <c r="V5" s="16" t="s">
        <v>21</v>
      </c>
      <c r="W5" s="16" t="s">
        <v>20</v>
      </c>
      <c r="X5" s="16" t="s">
        <v>19</v>
      </c>
      <c r="Y5" s="16" t="s">
        <v>18</v>
      </c>
      <c r="Z5" s="16" t="s">
        <v>17</v>
      </c>
      <c r="AA5" s="16" t="s">
        <v>16</v>
      </c>
      <c r="AB5" s="16" t="s">
        <v>15</v>
      </c>
      <c r="AC5" s="16"/>
      <c r="AD5" s="16" t="s">
        <v>28</v>
      </c>
      <c r="AE5" s="16" t="s">
        <v>27</v>
      </c>
      <c r="AF5" s="16" t="s">
        <v>26</v>
      </c>
      <c r="AG5" s="16" t="s">
        <v>25</v>
      </c>
      <c r="AH5" s="16"/>
      <c r="AI5" s="16" t="s">
        <v>24</v>
      </c>
      <c r="AJ5" s="16" t="s">
        <v>23</v>
      </c>
      <c r="AK5" s="16" t="s">
        <v>22</v>
      </c>
      <c r="AL5" s="16" t="s">
        <v>21</v>
      </c>
      <c r="AM5" s="16" t="s">
        <v>20</v>
      </c>
      <c r="AN5" s="16" t="s">
        <v>19</v>
      </c>
      <c r="AO5" s="16" t="s">
        <v>18</v>
      </c>
      <c r="AP5" s="16" t="s">
        <v>17</v>
      </c>
      <c r="AQ5" s="16" t="s">
        <v>16</v>
      </c>
      <c r="AR5" s="16" t="s">
        <v>15</v>
      </c>
      <c r="AS5" s="16"/>
    </row>
    <row r="6" spans="1:45" ht="14" x14ac:dyDescent="0.2">
      <c r="A6" s="10"/>
      <c r="B6" s="10"/>
      <c r="C6" s="15">
        <v>43738</v>
      </c>
      <c r="D6" s="15">
        <f>C6+7</f>
        <v>43745</v>
      </c>
      <c r="E6" s="15">
        <f>D6+7</f>
        <v>43752</v>
      </c>
      <c r="F6" s="15">
        <f>E6+7</f>
        <v>43759</v>
      </c>
      <c r="G6" s="15">
        <f>F6+7</f>
        <v>43766</v>
      </c>
      <c r="H6" s="15">
        <f>G6+7</f>
        <v>43773</v>
      </c>
      <c r="I6" s="15">
        <f>H6+7</f>
        <v>43780</v>
      </c>
      <c r="J6" s="15">
        <f>I6+7</f>
        <v>43787</v>
      </c>
      <c r="K6" s="15">
        <f>J6+7</f>
        <v>43794</v>
      </c>
      <c r="L6" s="15">
        <f>K6+7</f>
        <v>43801</v>
      </c>
      <c r="M6" s="15"/>
      <c r="N6" s="15">
        <f>L6+7</f>
        <v>43808</v>
      </c>
      <c r="O6" s="15">
        <f>N6+7</f>
        <v>43815</v>
      </c>
      <c r="P6" s="15">
        <f>O6+7</f>
        <v>43822</v>
      </c>
      <c r="Q6" s="15">
        <f>P6+7</f>
        <v>43829</v>
      </c>
      <c r="R6" s="15"/>
      <c r="S6" s="15">
        <f>Q6+7</f>
        <v>43836</v>
      </c>
      <c r="T6" s="15">
        <f>S6+7</f>
        <v>43843</v>
      </c>
      <c r="U6" s="15">
        <f>T6+7</f>
        <v>43850</v>
      </c>
      <c r="V6" s="15">
        <f>U6+7</f>
        <v>43857</v>
      </c>
      <c r="W6" s="15">
        <f>V6+7</f>
        <v>43864</v>
      </c>
      <c r="X6" s="15">
        <f>W6+7</f>
        <v>43871</v>
      </c>
      <c r="Y6" s="15">
        <f>X6+7</f>
        <v>43878</v>
      </c>
      <c r="Z6" s="15">
        <f>Y6+7</f>
        <v>43885</v>
      </c>
      <c r="AA6" s="15">
        <f>Z6+7</f>
        <v>43892</v>
      </c>
      <c r="AB6" s="15">
        <f>AA6+7</f>
        <v>43899</v>
      </c>
      <c r="AC6" s="15"/>
      <c r="AD6" s="15">
        <f>AB6+7</f>
        <v>43906</v>
      </c>
      <c r="AE6" s="15">
        <f>AD6+7</f>
        <v>43913</v>
      </c>
      <c r="AF6" s="15">
        <f>AE6+7</f>
        <v>43920</v>
      </c>
      <c r="AG6" s="15">
        <f>AF6+7</f>
        <v>43927</v>
      </c>
      <c r="AH6" s="15"/>
      <c r="AI6" s="15">
        <f>AG6+7</f>
        <v>43934</v>
      </c>
      <c r="AJ6" s="15">
        <f>AI6+7</f>
        <v>43941</v>
      </c>
      <c r="AK6" s="15">
        <f>AJ6+7</f>
        <v>43948</v>
      </c>
      <c r="AL6" s="15">
        <f>AK6+7</f>
        <v>43955</v>
      </c>
      <c r="AM6" s="15">
        <f>AL6+7</f>
        <v>43962</v>
      </c>
      <c r="AN6" s="15">
        <f>AM6+7</f>
        <v>43969</v>
      </c>
      <c r="AO6" s="15">
        <f>AN6+7</f>
        <v>43976</v>
      </c>
      <c r="AP6" s="15">
        <f>AO6+7</f>
        <v>43983</v>
      </c>
      <c r="AQ6" s="15">
        <f>AP6+7</f>
        <v>43990</v>
      </c>
      <c r="AR6" s="15">
        <f>AP6+7</f>
        <v>43990</v>
      </c>
      <c r="AS6" s="15"/>
    </row>
    <row r="7" spans="1:45" ht="14" x14ac:dyDescent="0.2">
      <c r="A7" s="10"/>
      <c r="B7" s="10"/>
      <c r="C7" s="14" t="s">
        <v>14</v>
      </c>
      <c r="D7" s="14" t="s">
        <v>14</v>
      </c>
      <c r="E7" s="14" t="s">
        <v>14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14"/>
      <c r="N7" s="14" t="s">
        <v>14</v>
      </c>
      <c r="O7" s="14" t="s">
        <v>14</v>
      </c>
      <c r="P7" s="14" t="s">
        <v>14</v>
      </c>
      <c r="Q7" s="14" t="s">
        <v>14</v>
      </c>
      <c r="R7" s="14"/>
      <c r="S7" s="14" t="s">
        <v>14</v>
      </c>
      <c r="T7" s="14" t="s">
        <v>14</v>
      </c>
      <c r="U7" s="14" t="s">
        <v>14</v>
      </c>
      <c r="V7" s="14" t="s">
        <v>14</v>
      </c>
      <c r="W7" s="14" t="s">
        <v>14</v>
      </c>
      <c r="X7" s="14" t="s">
        <v>14</v>
      </c>
      <c r="Y7" s="14" t="s">
        <v>14</v>
      </c>
      <c r="Z7" s="14" t="s">
        <v>14</v>
      </c>
      <c r="AA7" s="14" t="s">
        <v>14</v>
      </c>
      <c r="AB7" s="14" t="s">
        <v>14</v>
      </c>
      <c r="AC7" s="14"/>
      <c r="AD7" s="14" t="s">
        <v>14</v>
      </c>
      <c r="AE7" s="14" t="s">
        <v>14</v>
      </c>
      <c r="AF7" s="14" t="s">
        <v>14</v>
      </c>
      <c r="AG7" s="14" t="s">
        <v>14</v>
      </c>
      <c r="AH7" s="14"/>
      <c r="AI7" s="14" t="s">
        <v>14</v>
      </c>
      <c r="AJ7" s="14" t="s">
        <v>14</v>
      </c>
      <c r="AK7" s="14" t="s">
        <v>14</v>
      </c>
      <c r="AL7" s="14" t="s">
        <v>14</v>
      </c>
      <c r="AM7" s="14" t="s">
        <v>14</v>
      </c>
      <c r="AN7" s="14" t="s">
        <v>14</v>
      </c>
      <c r="AO7" s="14" t="s">
        <v>14</v>
      </c>
      <c r="AP7" s="14" t="s">
        <v>14</v>
      </c>
      <c r="AQ7" s="14" t="s">
        <v>14</v>
      </c>
      <c r="AR7" s="14" t="s">
        <v>14</v>
      </c>
      <c r="AS7" s="14"/>
    </row>
    <row r="8" spans="1:45" ht="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45" ht="14" x14ac:dyDescent="0.2">
      <c r="A9" s="7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45" ht="14" x14ac:dyDescent="0.2">
      <c r="A10" s="9" t="s">
        <v>9</v>
      </c>
      <c r="B10" s="8"/>
      <c r="C10" s="2">
        <f>0</f>
        <v>0</v>
      </c>
      <c r="D10" s="2">
        <f>0</f>
        <v>0</v>
      </c>
      <c r="E10" s="2">
        <f>0</f>
        <v>0</v>
      </c>
      <c r="F10" s="2">
        <f>0</f>
        <v>0</v>
      </c>
      <c r="G10" s="2">
        <f>0</f>
        <v>0</v>
      </c>
      <c r="H10" s="2">
        <f>0</f>
        <v>0</v>
      </c>
      <c r="I10" s="2">
        <f>0</f>
        <v>0</v>
      </c>
      <c r="J10" s="2">
        <f>0</f>
        <v>0</v>
      </c>
      <c r="K10" s="2">
        <f>0</f>
        <v>0</v>
      </c>
      <c r="L10" s="2">
        <f>0</f>
        <v>0</v>
      </c>
      <c r="M10" s="1"/>
      <c r="N10" s="2">
        <f>0</f>
        <v>0</v>
      </c>
      <c r="O10" s="2">
        <f>0</f>
        <v>0</v>
      </c>
      <c r="P10" s="2">
        <f>0</f>
        <v>0</v>
      </c>
      <c r="Q10" s="2">
        <f>0</f>
        <v>0</v>
      </c>
      <c r="R10" s="1"/>
      <c r="S10" s="2">
        <f>0</f>
        <v>0</v>
      </c>
      <c r="T10" s="2">
        <f>0</f>
        <v>0</v>
      </c>
      <c r="U10" s="2">
        <f>0</f>
        <v>0</v>
      </c>
      <c r="V10" s="2">
        <f>0</f>
        <v>0</v>
      </c>
      <c r="W10" s="2">
        <f>0</f>
        <v>0</v>
      </c>
      <c r="X10" s="2">
        <f>0</f>
        <v>0</v>
      </c>
      <c r="Y10" s="2">
        <f>0</f>
        <v>0</v>
      </c>
      <c r="Z10" s="2">
        <v>251.44</v>
      </c>
      <c r="AA10" s="2">
        <f>0</f>
        <v>0</v>
      </c>
      <c r="AB10" s="2">
        <f>0</f>
        <v>0</v>
      </c>
      <c r="AC10" s="2"/>
      <c r="AD10" s="2">
        <v>0</v>
      </c>
      <c r="AE10" s="2">
        <v>0</v>
      </c>
      <c r="AF10" s="2">
        <v>0</v>
      </c>
      <c r="AG10" s="2">
        <v>0</v>
      </c>
      <c r="AH10" s="1"/>
      <c r="AI10" s="2">
        <v>0</v>
      </c>
      <c r="AJ10" s="2">
        <v>502.88</v>
      </c>
      <c r="AK10" s="2">
        <v>251.44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/>
    </row>
    <row r="11" spans="1:45" ht="14" x14ac:dyDescent="0.2">
      <c r="A11" s="9" t="s">
        <v>12</v>
      </c>
      <c r="B11" s="8"/>
      <c r="C11" s="2">
        <f>0</f>
        <v>0</v>
      </c>
      <c r="D11" s="2">
        <f>0</f>
        <v>0</v>
      </c>
      <c r="E11" s="2">
        <f>0</f>
        <v>0</v>
      </c>
      <c r="F11" s="2">
        <f>0</f>
        <v>0</v>
      </c>
      <c r="G11" s="2">
        <f>0</f>
        <v>0</v>
      </c>
      <c r="H11" s="2">
        <f>0</f>
        <v>0</v>
      </c>
      <c r="I11" s="2">
        <f>0</f>
        <v>0</v>
      </c>
      <c r="J11" s="2">
        <f>0</f>
        <v>0</v>
      </c>
      <c r="K11" s="2">
        <f>0</f>
        <v>0</v>
      </c>
      <c r="L11" s="2">
        <f>0</f>
        <v>0</v>
      </c>
      <c r="M11" s="1"/>
      <c r="N11" s="2">
        <f>0</f>
        <v>0</v>
      </c>
      <c r="O11" s="2">
        <f>0</f>
        <v>0</v>
      </c>
      <c r="P11" s="2">
        <f>0</f>
        <v>0</v>
      </c>
      <c r="Q11" s="2">
        <f>0</f>
        <v>0</v>
      </c>
      <c r="R11" s="1"/>
      <c r="S11" s="2">
        <f>0</f>
        <v>0</v>
      </c>
      <c r="T11" s="2">
        <f>0</f>
        <v>0</v>
      </c>
      <c r="U11" s="2">
        <f>0</f>
        <v>0</v>
      </c>
      <c r="V11" s="2">
        <f>0</f>
        <v>0</v>
      </c>
      <c r="W11" s="2">
        <f>0</f>
        <v>0</v>
      </c>
      <c r="X11" s="2">
        <v>0</v>
      </c>
      <c r="Y11" s="2">
        <f>0</f>
        <v>0</v>
      </c>
      <c r="Z11" s="2">
        <v>34375</v>
      </c>
      <c r="AA11" s="2">
        <f>0</f>
        <v>0</v>
      </c>
      <c r="AB11" s="2">
        <f>0</f>
        <v>0</v>
      </c>
      <c r="AC11" s="2"/>
      <c r="AD11" s="2">
        <v>0</v>
      </c>
      <c r="AE11" s="2">
        <v>0</v>
      </c>
      <c r="AF11" s="2">
        <v>0</v>
      </c>
      <c r="AG11" s="2">
        <v>0</v>
      </c>
      <c r="AH11" s="1"/>
      <c r="AI11" s="2">
        <v>20625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/>
    </row>
    <row r="12" spans="1:45" ht="14" x14ac:dyDescent="0.2">
      <c r="A12" s="1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/>
      <c r="N12" s="8"/>
      <c r="O12" s="8"/>
      <c r="P12" s="8"/>
      <c r="Q12" s="8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2"/>
      <c r="AD12" s="8"/>
      <c r="AE12" s="8"/>
      <c r="AF12" s="8"/>
      <c r="AG12" s="8"/>
      <c r="AH12" s="1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 ht="15" thickBot="1" x14ac:dyDescent="0.25">
      <c r="A13" s="7" t="s">
        <v>11</v>
      </c>
      <c r="B13" s="8"/>
      <c r="C13" s="5">
        <f>SUM(C10:C11)</f>
        <v>0</v>
      </c>
      <c r="D13" s="5">
        <f>SUM(D10:D11)</f>
        <v>0</v>
      </c>
      <c r="E13" s="5">
        <f>SUM(E10:E11)</f>
        <v>0</v>
      </c>
      <c r="F13" s="5">
        <f>SUM(F10:F11)</f>
        <v>0</v>
      </c>
      <c r="G13" s="5">
        <f>SUM(G10:G11)</f>
        <v>0</v>
      </c>
      <c r="H13" s="5">
        <f>SUM(H10:H11)</f>
        <v>0</v>
      </c>
      <c r="I13" s="5">
        <f>SUM(I10:I11)</f>
        <v>0</v>
      </c>
      <c r="J13" s="5">
        <f>SUM(J10:J11)</f>
        <v>0</v>
      </c>
      <c r="K13" s="5">
        <f>SUM(K10:K11)</f>
        <v>0</v>
      </c>
      <c r="L13" s="5">
        <f>SUM(L10:L11)</f>
        <v>0</v>
      </c>
      <c r="M13" s="1"/>
      <c r="N13" s="5">
        <f>SUM(N10:N11)</f>
        <v>0</v>
      </c>
      <c r="O13" s="5">
        <f>SUM(O10:O11)</f>
        <v>0</v>
      </c>
      <c r="P13" s="5">
        <f>SUM(P10:P11)</f>
        <v>0</v>
      </c>
      <c r="Q13" s="5">
        <f>SUM(Q10:Q11)</f>
        <v>0</v>
      </c>
      <c r="R13" s="1"/>
      <c r="S13" s="5">
        <f>SUM(S10:S11)</f>
        <v>0</v>
      </c>
      <c r="T13" s="5">
        <f>SUM(T10:T11)</f>
        <v>0</v>
      </c>
      <c r="U13" s="5">
        <f>SUM(U10:U11)</f>
        <v>0</v>
      </c>
      <c r="V13" s="5">
        <f>SUM(V10:V11)</f>
        <v>0</v>
      </c>
      <c r="W13" s="5">
        <f>SUM(W10:W11)</f>
        <v>0</v>
      </c>
      <c r="X13" s="5">
        <f>SUM(X10:X11)</f>
        <v>0</v>
      </c>
      <c r="Y13" s="5">
        <f>SUM(Y10:Y11)</f>
        <v>0</v>
      </c>
      <c r="Z13" s="5">
        <f>SUM(Z10:Z11)</f>
        <v>34626.44</v>
      </c>
      <c r="AA13" s="5">
        <f>SUM(AA10:AA11)</f>
        <v>0</v>
      </c>
      <c r="AB13" s="5">
        <f>SUM(AB10:AB11)</f>
        <v>0</v>
      </c>
      <c r="AC13" s="4"/>
      <c r="AD13" s="5">
        <f>SUM(AD10:AD11)</f>
        <v>0</v>
      </c>
      <c r="AE13" s="5">
        <f>SUM(AE10:AE11)</f>
        <v>0</v>
      </c>
      <c r="AF13" s="5">
        <f>SUM(AF10:AF11)</f>
        <v>0</v>
      </c>
      <c r="AG13" s="5">
        <f>SUM(AG10:AG11)</f>
        <v>0</v>
      </c>
      <c r="AH13" s="13"/>
      <c r="AI13" s="5">
        <f>SUM(AI10:AI11)</f>
        <v>20625</v>
      </c>
      <c r="AJ13" s="5">
        <f>SUM(AJ10:AJ11)</f>
        <v>502.88</v>
      </c>
      <c r="AK13" s="5">
        <f>SUM(AK10:AK11)</f>
        <v>251.44</v>
      </c>
      <c r="AL13" s="5">
        <f>SUM(AL10:AL11)</f>
        <v>0</v>
      </c>
      <c r="AM13" s="5">
        <f>SUM(AM10:AM11)</f>
        <v>0</v>
      </c>
      <c r="AN13" s="5">
        <f>SUM(AN10:AN11)</f>
        <v>0</v>
      </c>
      <c r="AO13" s="5">
        <f>SUM(AO10:AO11)</f>
        <v>0</v>
      </c>
      <c r="AP13" s="5">
        <f>SUM(AP10:AP11)</f>
        <v>0</v>
      </c>
      <c r="AQ13" s="5">
        <f>SUM(AQ10:AQ11)</f>
        <v>0</v>
      </c>
      <c r="AR13" s="5">
        <f>SUM(AR10:AR11)</f>
        <v>0</v>
      </c>
      <c r="AS13" s="4"/>
    </row>
    <row r="14" spans="1:45" ht="14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1"/>
      <c r="N14" s="8"/>
      <c r="O14" s="8"/>
      <c r="P14" s="8"/>
      <c r="Q14" s="8"/>
      <c r="R14" s="1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8"/>
      <c r="AE14" s="8"/>
      <c r="AF14" s="8"/>
      <c r="AG14" s="8"/>
      <c r="AH14" s="1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4" x14ac:dyDescent="0.2">
      <c r="A15" s="7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"/>
      <c r="N15" s="8"/>
      <c r="O15" s="8"/>
      <c r="P15" s="8"/>
      <c r="Q15" s="8"/>
      <c r="R15" s="1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8"/>
      <c r="AE15" s="8"/>
      <c r="AF15" s="8"/>
      <c r="AG15" s="8"/>
      <c r="AH15" s="1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ht="16.5" customHeight="1" x14ac:dyDescent="0.2">
      <c r="A16" s="9" t="s">
        <v>9</v>
      </c>
      <c r="B16" s="8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"/>
      <c r="N16" s="2">
        <v>0</v>
      </c>
      <c r="O16" s="2">
        <v>0</v>
      </c>
      <c r="P16" s="2">
        <v>0</v>
      </c>
      <c r="Q16" s="2">
        <v>0</v>
      </c>
      <c r="R16" s="1"/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179.6</v>
      </c>
      <c r="AA16" s="2">
        <v>0</v>
      </c>
      <c r="AB16" s="2">
        <v>0</v>
      </c>
      <c r="AC16" s="2"/>
      <c r="AD16" s="2">
        <v>0</v>
      </c>
      <c r="AE16" s="2">
        <v>0</v>
      </c>
      <c r="AF16" s="2">
        <v>0</v>
      </c>
      <c r="AG16" s="2">
        <v>0</v>
      </c>
      <c r="AH16" s="1"/>
      <c r="AI16" s="2">
        <v>0</v>
      </c>
      <c r="AJ16" s="2">
        <v>359.2</v>
      </c>
      <c r="AK16" s="2">
        <v>179.6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/>
    </row>
    <row r="17" spans="1:45" ht="14" x14ac:dyDescent="0.2">
      <c r="A17" s="9" t="s">
        <v>8</v>
      </c>
      <c r="B17" s="8"/>
      <c r="C17" s="2">
        <v>0</v>
      </c>
      <c r="D17" s="2">
        <v>0</v>
      </c>
      <c r="E17" s="2">
        <v>0</v>
      </c>
      <c r="F17" s="2">
        <v>2530.8000000000002</v>
      </c>
      <c r="G17" s="2">
        <v>0</v>
      </c>
      <c r="H17" s="2">
        <v>0</v>
      </c>
      <c r="I17" s="2">
        <v>1898.1</v>
      </c>
      <c r="J17" s="2">
        <v>0</v>
      </c>
      <c r="K17" s="2">
        <v>0</v>
      </c>
      <c r="L17" s="2">
        <v>1898.1</v>
      </c>
      <c r="M17" s="1"/>
      <c r="N17" s="2">
        <v>0</v>
      </c>
      <c r="O17" s="2">
        <v>0</v>
      </c>
      <c r="P17" s="2">
        <v>0</v>
      </c>
      <c r="Q17" s="2">
        <v>0</v>
      </c>
      <c r="R17" s="1"/>
      <c r="S17" s="2">
        <v>0</v>
      </c>
      <c r="T17" s="2">
        <v>0</v>
      </c>
      <c r="U17" s="2">
        <v>0</v>
      </c>
      <c r="V17" s="2">
        <v>5061.6000000000004</v>
      </c>
      <c r="W17" s="2">
        <v>0</v>
      </c>
      <c r="X17" s="2">
        <v>0</v>
      </c>
      <c r="Y17" s="2">
        <v>1898.1</v>
      </c>
      <c r="Z17" s="2">
        <v>0</v>
      </c>
      <c r="AA17" s="2">
        <v>0</v>
      </c>
      <c r="AB17" s="2">
        <v>1898.1</v>
      </c>
      <c r="AC17" s="2"/>
      <c r="AD17" s="2">
        <v>0</v>
      </c>
      <c r="AE17" s="2">
        <v>0</v>
      </c>
      <c r="AF17" s="2">
        <v>0</v>
      </c>
      <c r="AG17" s="2">
        <v>0</v>
      </c>
      <c r="AH17" s="1"/>
      <c r="AI17" s="2">
        <v>0</v>
      </c>
      <c r="AJ17" s="2">
        <v>0</v>
      </c>
      <c r="AK17" s="2">
        <v>0</v>
      </c>
      <c r="AL17" s="2">
        <v>5061.6000000000004</v>
      </c>
      <c r="AM17" s="2">
        <v>0</v>
      </c>
      <c r="AN17" s="2">
        <v>3796.2</v>
      </c>
      <c r="AO17" s="2">
        <v>0</v>
      </c>
      <c r="AP17" s="2">
        <v>0</v>
      </c>
      <c r="AQ17" s="2">
        <v>0</v>
      </c>
      <c r="AR17" s="2">
        <v>0</v>
      </c>
      <c r="AS17" s="2"/>
    </row>
    <row r="18" spans="1:45" ht="14" x14ac:dyDescent="0.2">
      <c r="A18" s="9" t="s">
        <v>7</v>
      </c>
      <c r="B18" s="8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300</v>
      </c>
      <c r="I18" s="2">
        <v>0</v>
      </c>
      <c r="J18" s="2">
        <v>0</v>
      </c>
      <c r="K18" s="2">
        <v>0</v>
      </c>
      <c r="L18" s="2">
        <v>200</v>
      </c>
      <c r="M18" s="1"/>
      <c r="N18" s="2">
        <v>0</v>
      </c>
      <c r="O18" s="2">
        <v>0</v>
      </c>
      <c r="P18" s="2">
        <v>0</v>
      </c>
      <c r="Q18" s="2">
        <v>0</v>
      </c>
      <c r="R18" s="1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500</v>
      </c>
      <c r="Y18" s="2">
        <v>0</v>
      </c>
      <c r="Z18" s="2">
        <v>0</v>
      </c>
      <c r="AA18" s="2">
        <v>0</v>
      </c>
      <c r="AB18" s="2">
        <v>200</v>
      </c>
      <c r="AC18" s="2"/>
      <c r="AD18" s="2">
        <v>0</v>
      </c>
      <c r="AE18" s="2">
        <v>0</v>
      </c>
      <c r="AF18" s="2">
        <v>0</v>
      </c>
      <c r="AG18" s="2">
        <v>0</v>
      </c>
      <c r="AH18" s="1"/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700</v>
      </c>
      <c r="AO18" s="2">
        <v>0</v>
      </c>
      <c r="AP18" s="2">
        <v>0</v>
      </c>
      <c r="AQ18" s="2">
        <v>0</v>
      </c>
      <c r="AR18" s="2">
        <v>0</v>
      </c>
      <c r="AS18" s="2"/>
    </row>
    <row r="19" spans="1:45" ht="14" x14ac:dyDescent="0.2">
      <c r="A19" s="9" t="s">
        <v>6</v>
      </c>
      <c r="B19" s="8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600</v>
      </c>
      <c r="I19" s="2">
        <v>0</v>
      </c>
      <c r="J19" s="2">
        <v>0</v>
      </c>
      <c r="K19" s="2">
        <v>0</v>
      </c>
      <c r="L19" s="2">
        <v>400</v>
      </c>
      <c r="M19" s="1"/>
      <c r="N19" s="2">
        <v>0</v>
      </c>
      <c r="O19" s="2">
        <v>0</v>
      </c>
      <c r="P19" s="2">
        <v>0</v>
      </c>
      <c r="Q19" s="2">
        <v>0</v>
      </c>
      <c r="R19" s="1"/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1000</v>
      </c>
      <c r="Y19" s="2">
        <v>0</v>
      </c>
      <c r="Z19" s="2">
        <v>0</v>
      </c>
      <c r="AA19" s="2">
        <v>0</v>
      </c>
      <c r="AB19" s="2">
        <v>400</v>
      </c>
      <c r="AC19" s="2"/>
      <c r="AD19" s="2">
        <v>0</v>
      </c>
      <c r="AE19" s="2">
        <v>0</v>
      </c>
      <c r="AF19" s="2">
        <v>0</v>
      </c>
      <c r="AG19" s="2">
        <v>0</v>
      </c>
      <c r="AH19" s="1"/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1400</v>
      </c>
      <c r="AO19" s="2">
        <v>0</v>
      </c>
      <c r="AP19" s="2">
        <v>0</v>
      </c>
      <c r="AQ19" s="2">
        <v>0</v>
      </c>
      <c r="AR19" s="2">
        <v>0</v>
      </c>
      <c r="AS19" s="2"/>
    </row>
    <row r="20" spans="1:45" ht="14" x14ac:dyDescent="0.2">
      <c r="A20" s="9" t="s">
        <v>5</v>
      </c>
      <c r="B20" s="8"/>
      <c r="C20" s="2">
        <v>0</v>
      </c>
      <c r="D20" s="2">
        <v>0</v>
      </c>
      <c r="E20" s="2">
        <v>12.5</v>
      </c>
      <c r="F20" s="2">
        <v>125</v>
      </c>
      <c r="G20" s="2">
        <v>143.75</v>
      </c>
      <c r="H20" s="2">
        <v>256.25</v>
      </c>
      <c r="I20" s="2">
        <v>165.625</v>
      </c>
      <c r="J20" s="2">
        <v>309.375</v>
      </c>
      <c r="K20" s="2">
        <v>446.875</v>
      </c>
      <c r="L20" s="2">
        <v>409.375</v>
      </c>
      <c r="M20" s="1"/>
      <c r="N20" s="2">
        <v>0</v>
      </c>
      <c r="O20" s="2">
        <v>0</v>
      </c>
      <c r="P20" s="2">
        <v>0</v>
      </c>
      <c r="Q20" s="2">
        <v>0</v>
      </c>
      <c r="R20" s="1"/>
      <c r="S20" s="2">
        <v>0</v>
      </c>
      <c r="T20" s="2">
        <v>684.375</v>
      </c>
      <c r="U20" s="2">
        <v>768.75</v>
      </c>
      <c r="V20" s="2">
        <v>740.625</v>
      </c>
      <c r="W20" s="2">
        <v>1193.75</v>
      </c>
      <c r="X20" s="2">
        <v>643.75</v>
      </c>
      <c r="Y20" s="2">
        <v>981.25</v>
      </c>
      <c r="Z20" s="2">
        <v>934.375</v>
      </c>
      <c r="AA20" s="2">
        <v>843.75</v>
      </c>
      <c r="AB20" s="2">
        <v>734.375</v>
      </c>
      <c r="AD20" s="2">
        <v>406.25</v>
      </c>
      <c r="AE20" s="2">
        <v>815.625</v>
      </c>
      <c r="AF20" s="2">
        <v>1093.75</v>
      </c>
      <c r="AG20" s="2">
        <v>1215.625</v>
      </c>
      <c r="AI20" s="2">
        <v>965.625</v>
      </c>
      <c r="AJ20" s="2">
        <v>1437.5</v>
      </c>
      <c r="AK20" s="2">
        <v>1371.875</v>
      </c>
      <c r="AL20" s="2">
        <v>790.625</v>
      </c>
      <c r="AM20" s="2">
        <v>950</v>
      </c>
      <c r="AN20" s="2">
        <v>1709.38</v>
      </c>
      <c r="AO20" s="2">
        <v>1515.625</v>
      </c>
      <c r="AP20" s="2">
        <v>0</v>
      </c>
      <c r="AQ20" s="2">
        <v>0</v>
      </c>
      <c r="AR20" s="2">
        <v>0</v>
      </c>
      <c r="AS20" s="2"/>
    </row>
    <row r="21" spans="1:45" ht="14" x14ac:dyDescent="0.2">
      <c r="A21" s="9" t="s">
        <v>4</v>
      </c>
      <c r="B21" s="8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/>
      <c r="N21" s="2">
        <v>0</v>
      </c>
      <c r="O21" s="2">
        <v>0</v>
      </c>
      <c r="P21" s="2">
        <v>0</v>
      </c>
      <c r="Q21" s="2">
        <v>0</v>
      </c>
      <c r="R21" s="1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12">
        <f>'[1]Cashflow Workings'!W18</f>
        <v>0</v>
      </c>
      <c r="AA21" s="12">
        <f>'[1]Cashflow Workings'!X18</f>
        <v>111.45432692307692</v>
      </c>
      <c r="AB21" s="12">
        <f>'[1]Cashflow Workings'!Y18</f>
        <v>111.09295770155326</v>
      </c>
      <c r="AC21" s="2"/>
      <c r="AD21" s="2">
        <f>'[1]Cashflow Workings'!Z18</f>
        <v>110.73276015023632</v>
      </c>
      <c r="AE21" s="2">
        <f>'[1]Cashflow Workings'!AA18</f>
        <v>110.37373047021073</v>
      </c>
      <c r="AF21" s="2">
        <f>'[1]Cashflow Workings'!AB18</f>
        <v>110.01586487487847</v>
      </c>
      <c r="AG21" s="2">
        <f>'[1]Cashflow Workings'!AC18</f>
        <v>109.65915958991876</v>
      </c>
      <c r="AH21" s="1"/>
      <c r="AI21" s="2">
        <f>'[1]Cashflow Workings'!AD18</f>
        <v>109.30361085324837</v>
      </c>
      <c r="AJ21" s="2">
        <f>'[1]Cashflow Workings'!AE18</f>
        <v>175.82181106882805</v>
      </c>
      <c r="AK21" s="2">
        <f>'[1]Cashflow Workings'!AF18</f>
        <v>175.25174265832408</v>
      </c>
      <c r="AL21" s="2">
        <f>'[1]Cashflow Workings'!AG18</f>
        <v>174.6835225850127</v>
      </c>
      <c r="AM21" s="2">
        <f>'[1]Cashflow Workings'!AH18</f>
        <v>174.1171448560159</v>
      </c>
      <c r="AN21" s="2">
        <f>'[1]Cashflow Workings'!AI18</f>
        <v>173.55260349788659</v>
      </c>
      <c r="AO21" s="2">
        <v>0</v>
      </c>
      <c r="AP21" s="2">
        <v>0</v>
      </c>
      <c r="AQ21" s="2">
        <v>0</v>
      </c>
      <c r="AR21" s="2">
        <v>0</v>
      </c>
      <c r="AS21" s="2"/>
    </row>
    <row r="22" spans="1:45" ht="14" x14ac:dyDescent="0.2">
      <c r="A22" s="10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"/>
      <c r="N22" s="8"/>
      <c r="O22" s="8"/>
      <c r="P22" s="8"/>
      <c r="Q22" s="8"/>
      <c r="R22" s="1"/>
      <c r="S22" s="8"/>
      <c r="T22" s="8"/>
      <c r="U22" s="8"/>
      <c r="V22" s="8"/>
      <c r="W22" s="8"/>
      <c r="X22" s="8"/>
      <c r="Y22" s="8"/>
      <c r="Z22" s="8"/>
      <c r="AA22" s="8"/>
      <c r="AB22" s="8"/>
      <c r="AC22" s="2"/>
      <c r="AD22" s="8"/>
      <c r="AE22" s="8"/>
      <c r="AF22" s="8"/>
      <c r="AG22" s="8"/>
      <c r="AH22" s="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 ht="15" thickBot="1" x14ac:dyDescent="0.25">
      <c r="A23" s="7" t="s">
        <v>3</v>
      </c>
      <c r="B23" s="8"/>
      <c r="C23" s="5">
        <f>SUM(C16:C21)</f>
        <v>0</v>
      </c>
      <c r="D23" s="5">
        <f>SUM(D16:D21)</f>
        <v>0</v>
      </c>
      <c r="E23" s="5">
        <f>SUM(E16:E21)</f>
        <v>12.5</v>
      </c>
      <c r="F23" s="5">
        <f>SUM(F16:F21)</f>
        <v>2655.8</v>
      </c>
      <c r="G23" s="5">
        <f>SUM(G16:G21)</f>
        <v>143.75</v>
      </c>
      <c r="H23" s="5">
        <f>SUM(H16:H21)</f>
        <v>1156.25</v>
      </c>
      <c r="I23" s="5">
        <f>SUM(I16:I21)</f>
        <v>2063.7249999999999</v>
      </c>
      <c r="J23" s="5">
        <f>SUM(J16:J21)</f>
        <v>309.375</v>
      </c>
      <c r="K23" s="5">
        <f>SUM(K16:K21)</f>
        <v>446.875</v>
      </c>
      <c r="L23" s="5">
        <f>SUM(L16:L21)</f>
        <v>2907.4749999999999</v>
      </c>
      <c r="M23" s="1"/>
      <c r="N23" s="5">
        <f>SUM(N16:N21)</f>
        <v>0</v>
      </c>
      <c r="O23" s="5">
        <f>SUM(O16:O21)</f>
        <v>0</v>
      </c>
      <c r="P23" s="5">
        <f>SUM(P16:P21)</f>
        <v>0</v>
      </c>
      <c r="Q23" s="5">
        <f>SUM(Q16:Q21)</f>
        <v>0</v>
      </c>
      <c r="R23" s="1"/>
      <c r="S23" s="5">
        <f>SUM(S16:S21)</f>
        <v>0</v>
      </c>
      <c r="T23" s="5">
        <f>SUM(T16:T21)</f>
        <v>684.375</v>
      </c>
      <c r="U23" s="5">
        <f>SUM(U16:U21)</f>
        <v>768.75</v>
      </c>
      <c r="V23" s="5">
        <f>SUM(V16:V21)</f>
        <v>5802.2250000000004</v>
      </c>
      <c r="W23" s="5">
        <f>SUM(W16:W21)</f>
        <v>1193.75</v>
      </c>
      <c r="X23" s="5">
        <f>SUM(X16:X21)</f>
        <v>2143.75</v>
      </c>
      <c r="Y23" s="5">
        <f>SUM(Y16:Y21)</f>
        <v>2879.35</v>
      </c>
      <c r="Z23" s="5">
        <f>SUM(Z16:Z21)</f>
        <v>1113.9749999999999</v>
      </c>
      <c r="AA23" s="5">
        <f>SUM(AA16:AA21)</f>
        <v>955.20432692307691</v>
      </c>
      <c r="AB23" s="5">
        <f>SUM(AB16:AB21)</f>
        <v>3343.567957701553</v>
      </c>
      <c r="AC23" s="2"/>
      <c r="AD23" s="5">
        <f>SUM(AD16:AD21)</f>
        <v>516.98276015023634</v>
      </c>
      <c r="AE23" s="5">
        <f>SUM(AE16:AE21)</f>
        <v>925.99873047021072</v>
      </c>
      <c r="AF23" s="5">
        <f>SUM(AF16:AF21)</f>
        <v>1203.7658648748784</v>
      </c>
      <c r="AG23" s="5">
        <f>SUM(AG16:AG21)</f>
        <v>1325.2841595899188</v>
      </c>
      <c r="AH23" s="4"/>
      <c r="AI23" s="5">
        <f>SUM(AI16:AI21)</f>
        <v>1074.9286108532483</v>
      </c>
      <c r="AJ23" s="5">
        <f>SUM(AJ16:AJ21)</f>
        <v>1972.5218110688281</v>
      </c>
      <c r="AK23" s="5">
        <f>SUM(AK16:AK21)</f>
        <v>1726.7267426583239</v>
      </c>
      <c r="AL23" s="5">
        <f>SUM(AL16:AL21)</f>
        <v>6026.9085225850131</v>
      </c>
      <c r="AM23" s="5">
        <f>SUM(AM16:AM21)</f>
        <v>1124.1171448560158</v>
      </c>
      <c r="AN23" s="5">
        <f>SUM(AN16:AN21)</f>
        <v>7779.1326034978865</v>
      </c>
      <c r="AO23" s="5">
        <f>SUM(AO16:AO21)</f>
        <v>1515.625</v>
      </c>
      <c r="AP23" s="5">
        <f>SUM(AP16:AP21)</f>
        <v>0</v>
      </c>
      <c r="AQ23" s="5">
        <f>SUM(AQ16:AQ21)</f>
        <v>0</v>
      </c>
      <c r="AR23" s="5">
        <f>SUM(AR16:AR21)</f>
        <v>0</v>
      </c>
      <c r="AS23" s="4"/>
    </row>
    <row r="24" spans="1:45" ht="14" x14ac:dyDescent="0.2">
      <c r="A24" s="10"/>
      <c r="B24" s="8"/>
      <c r="C24" s="8"/>
      <c r="D24" s="8"/>
      <c r="E24" s="11"/>
      <c r="F24" s="11"/>
      <c r="G24" s="11"/>
      <c r="H24" s="11"/>
      <c r="I24" s="11"/>
      <c r="J24" s="11"/>
      <c r="K24" s="11"/>
      <c r="L24" s="11"/>
      <c r="M24" s="1"/>
      <c r="N24" s="8"/>
      <c r="O24" s="8"/>
      <c r="P24" s="8"/>
      <c r="Q24" s="8"/>
      <c r="R24" s="1"/>
      <c r="S24" s="8"/>
      <c r="T24" s="8"/>
      <c r="U24" s="8"/>
      <c r="V24" s="8"/>
      <c r="W24" s="8"/>
      <c r="X24" s="8"/>
      <c r="Y24" s="8"/>
      <c r="Z24" s="8"/>
      <c r="AA24" s="8"/>
      <c r="AB24" s="8"/>
      <c r="AC24" s="2"/>
      <c r="AD24" s="8"/>
      <c r="AE24" s="8"/>
      <c r="AF24" s="8"/>
      <c r="AG24" s="8"/>
      <c r="AH24" s="1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14" x14ac:dyDescent="0.2">
      <c r="A25" s="10"/>
      <c r="B25" s="8"/>
      <c r="C25" s="8"/>
      <c r="D25" s="8"/>
      <c r="E25" s="11"/>
      <c r="F25" s="11"/>
      <c r="G25" s="11"/>
      <c r="H25" s="11"/>
      <c r="I25" s="11"/>
      <c r="J25" s="11"/>
      <c r="K25" s="11"/>
      <c r="L25" s="11"/>
      <c r="M25" s="1"/>
      <c r="N25" s="8"/>
      <c r="O25" s="8"/>
      <c r="P25" s="8"/>
      <c r="Q25" s="8"/>
      <c r="R25" s="1"/>
      <c r="S25" s="8"/>
      <c r="T25" s="8"/>
      <c r="U25" s="8"/>
      <c r="V25" s="8"/>
      <c r="W25" s="8"/>
      <c r="X25" s="8"/>
      <c r="Y25" s="8"/>
      <c r="Z25" s="8"/>
      <c r="AA25" s="8"/>
      <c r="AB25" s="8"/>
      <c r="AC25" s="2"/>
      <c r="AD25" s="8"/>
      <c r="AE25" s="8"/>
      <c r="AF25" s="8"/>
      <c r="AG25" s="8"/>
      <c r="AH25" s="1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ht="15" thickBot="1" x14ac:dyDescent="0.25">
      <c r="A26" s="7" t="s">
        <v>1</v>
      </c>
      <c r="B26" s="8"/>
      <c r="C26" s="5">
        <f>C13-C23</f>
        <v>0</v>
      </c>
      <c r="D26" s="5">
        <f>D13-D23</f>
        <v>0</v>
      </c>
      <c r="E26" s="5">
        <f>E13-E23</f>
        <v>-12.5</v>
      </c>
      <c r="F26" s="5">
        <f>F13-F23</f>
        <v>-2655.8</v>
      </c>
      <c r="G26" s="5">
        <f>G13-G23</f>
        <v>-143.75</v>
      </c>
      <c r="H26" s="5">
        <f>H13-H23</f>
        <v>-1156.25</v>
      </c>
      <c r="I26" s="5">
        <f>I13-I23</f>
        <v>-2063.7249999999999</v>
      </c>
      <c r="J26" s="5">
        <f>J13-J23</f>
        <v>-309.375</v>
      </c>
      <c r="K26" s="5">
        <f>K13-K23</f>
        <v>-446.875</v>
      </c>
      <c r="L26" s="5">
        <f>L13-L23</f>
        <v>-2907.4749999999999</v>
      </c>
      <c r="M26" s="1"/>
      <c r="N26" s="5">
        <f>N13-N23</f>
        <v>0</v>
      </c>
      <c r="O26" s="5">
        <f>O13-O23</f>
        <v>0</v>
      </c>
      <c r="P26" s="5">
        <f>P13-P23</f>
        <v>0</v>
      </c>
      <c r="Q26" s="5">
        <f>Q13-Q23</f>
        <v>0</v>
      </c>
      <c r="R26" s="1"/>
      <c r="S26" s="5">
        <f>S13-S23</f>
        <v>0</v>
      </c>
      <c r="T26" s="5">
        <f>T13-T23</f>
        <v>-684.375</v>
      </c>
      <c r="U26" s="5">
        <f>U13-U23</f>
        <v>-768.75</v>
      </c>
      <c r="V26" s="5">
        <f>V13-V23</f>
        <v>-5802.2250000000004</v>
      </c>
      <c r="W26" s="5">
        <f>W13-W23</f>
        <v>-1193.75</v>
      </c>
      <c r="X26" s="5">
        <f>X13-X23</f>
        <v>-2143.75</v>
      </c>
      <c r="Y26" s="5">
        <f>Y13-Y23</f>
        <v>-2879.35</v>
      </c>
      <c r="Z26" s="5">
        <f>Z13-Z23</f>
        <v>33512.465000000004</v>
      </c>
      <c r="AA26" s="5">
        <f>AA13-AA23</f>
        <v>-955.20432692307691</v>
      </c>
      <c r="AB26" s="5">
        <f>AB13-AB23</f>
        <v>-3343.567957701553</v>
      </c>
      <c r="AC26" s="2"/>
      <c r="AD26" s="5">
        <f>AD13-AD23</f>
        <v>-516.98276015023634</v>
      </c>
      <c r="AE26" s="5">
        <f>AE13-AE23</f>
        <v>-925.99873047021072</v>
      </c>
      <c r="AF26" s="5">
        <f>AF13-AF23</f>
        <v>-1203.7658648748784</v>
      </c>
      <c r="AG26" s="5">
        <f>AG13-AG23</f>
        <v>-1325.2841595899188</v>
      </c>
      <c r="AH26" s="4"/>
      <c r="AI26" s="5">
        <f>AI13-AI23</f>
        <v>19550.071389146753</v>
      </c>
      <c r="AJ26" s="5">
        <f>AJ13-AJ23</f>
        <v>-1469.6418110688282</v>
      </c>
      <c r="AK26" s="5">
        <f>AK13-AK23</f>
        <v>-1475.2867426583239</v>
      </c>
      <c r="AL26" s="5">
        <f>AL13-AL23</f>
        <v>-6026.9085225850131</v>
      </c>
      <c r="AM26" s="5">
        <f>AM13-AM23</f>
        <v>-1124.1171448560158</v>
      </c>
      <c r="AN26" s="5">
        <f>AN13-AN23</f>
        <v>-7779.1326034978865</v>
      </c>
      <c r="AO26" s="5">
        <f>AO13-AO23</f>
        <v>-1515.625</v>
      </c>
      <c r="AP26" s="5">
        <f>AP13-AP23</f>
        <v>0</v>
      </c>
      <c r="AQ26" s="5">
        <f>AQ13-AQ23</f>
        <v>0</v>
      </c>
      <c r="AR26" s="5">
        <f>AR13-AR23</f>
        <v>0</v>
      </c>
      <c r="AS26" s="4"/>
    </row>
    <row r="27" spans="1:45" ht="14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1"/>
      <c r="N27" s="8"/>
      <c r="O27" s="8"/>
      <c r="P27" s="8"/>
      <c r="Q27" s="8"/>
      <c r="R27" s="1"/>
      <c r="S27" s="8"/>
      <c r="T27" s="8"/>
      <c r="U27" s="8"/>
      <c r="V27" s="8"/>
      <c r="W27" s="8"/>
      <c r="X27" s="8"/>
      <c r="Y27" s="8"/>
      <c r="Z27" s="8"/>
      <c r="AA27" s="8"/>
      <c r="AB27" s="8"/>
      <c r="AC27" s="2"/>
      <c r="AD27" s="8"/>
      <c r="AE27" s="8"/>
      <c r="AF27" s="8"/>
      <c r="AG27" s="8"/>
      <c r="AH27" s="1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 ht="14" x14ac:dyDescent="0.2">
      <c r="A28" s="9" t="s">
        <v>2</v>
      </c>
      <c r="B28" s="8"/>
      <c r="C28" s="2">
        <v>0</v>
      </c>
      <c r="D28" s="2">
        <f>C30</f>
        <v>0</v>
      </c>
      <c r="E28" s="2">
        <f>D30</f>
        <v>0</v>
      </c>
      <c r="F28" s="2">
        <f>E30</f>
        <v>-12.5</v>
      </c>
      <c r="G28" s="2">
        <f>F30</f>
        <v>-2668.3</v>
      </c>
      <c r="H28" s="2">
        <f>G30</f>
        <v>-2812.05</v>
      </c>
      <c r="I28" s="2">
        <f>H30</f>
        <v>-3968.3</v>
      </c>
      <c r="J28" s="2">
        <f>I30</f>
        <v>-6032.0249999999996</v>
      </c>
      <c r="K28" s="2">
        <f>J30</f>
        <v>-6341.4</v>
      </c>
      <c r="L28" s="2">
        <f>K30</f>
        <v>-6788.2749999999996</v>
      </c>
      <c r="M28" s="1"/>
      <c r="N28" s="2">
        <f>L30</f>
        <v>-9695.75</v>
      </c>
      <c r="O28" s="2">
        <f>N30</f>
        <v>-9695.75</v>
      </c>
      <c r="P28" s="2">
        <f>O30</f>
        <v>-9695.75</v>
      </c>
      <c r="Q28" s="2">
        <f>P30</f>
        <v>-9695.75</v>
      </c>
      <c r="R28" s="1"/>
      <c r="S28" s="2">
        <f>Q30</f>
        <v>-9695.75</v>
      </c>
      <c r="T28" s="2">
        <f>S30</f>
        <v>-9695.75</v>
      </c>
      <c r="U28" s="2">
        <f>T30</f>
        <v>-10380.125</v>
      </c>
      <c r="V28" s="2">
        <f>U30</f>
        <v>-11148.875</v>
      </c>
      <c r="W28" s="2">
        <f>V30</f>
        <v>-16951.099999999999</v>
      </c>
      <c r="X28" s="2">
        <f>W30</f>
        <v>-18144.849999999999</v>
      </c>
      <c r="Y28" s="2">
        <f>X30</f>
        <v>-20288.599999999999</v>
      </c>
      <c r="Z28" s="2">
        <f>Y30</f>
        <v>-23167.949999999997</v>
      </c>
      <c r="AA28" s="2">
        <f>Z30</f>
        <v>10344.515000000007</v>
      </c>
      <c r="AB28" s="2">
        <f>AA30</f>
        <v>9389.3106730769305</v>
      </c>
      <c r="AC28" s="2"/>
      <c r="AD28" s="2">
        <f>AB30</f>
        <v>6045.7427153753779</v>
      </c>
      <c r="AE28" s="2">
        <f>AD30</f>
        <v>5528.7599552251413</v>
      </c>
      <c r="AF28" s="2">
        <f>AE30</f>
        <v>4602.7612247549305</v>
      </c>
      <c r="AG28" s="2">
        <f>AF30</f>
        <v>3398.9953598800521</v>
      </c>
      <c r="AH28" s="1"/>
      <c r="AI28" s="2">
        <f>AG30</f>
        <v>2073.7112002901331</v>
      </c>
      <c r="AJ28" s="2">
        <f>AI30</f>
        <v>21623.782589436887</v>
      </c>
      <c r="AK28" s="2">
        <f>AJ30</f>
        <v>20154.140778368059</v>
      </c>
      <c r="AL28" s="2">
        <f>AK30</f>
        <v>18678.854035709734</v>
      </c>
      <c r="AM28" s="2">
        <f>AL30</f>
        <v>12651.94551312472</v>
      </c>
      <c r="AN28" s="2">
        <f>AM30</f>
        <v>11527.828368268703</v>
      </c>
      <c r="AO28" s="2">
        <f>AN30</f>
        <v>3748.6957647708168</v>
      </c>
      <c r="AP28" s="2">
        <f>AO30</f>
        <v>2233.0707647708168</v>
      </c>
      <c r="AQ28" s="2">
        <f>AP30</f>
        <v>2233.0707647708168</v>
      </c>
      <c r="AR28" s="2">
        <f>AQ30</f>
        <v>2233.0707647708168</v>
      </c>
      <c r="AS28" s="2"/>
    </row>
    <row r="29" spans="1:45" ht="14" x14ac:dyDescent="0.2">
      <c r="A29" s="9" t="s">
        <v>1</v>
      </c>
      <c r="B29" s="8"/>
      <c r="C29" s="2">
        <f>C26</f>
        <v>0</v>
      </c>
      <c r="D29" s="2">
        <f>D26</f>
        <v>0</v>
      </c>
      <c r="E29" s="2">
        <f>E26</f>
        <v>-12.5</v>
      </c>
      <c r="F29" s="2">
        <f>F26</f>
        <v>-2655.8</v>
      </c>
      <c r="G29" s="2">
        <f>G26</f>
        <v>-143.75</v>
      </c>
      <c r="H29" s="2">
        <f>H26</f>
        <v>-1156.25</v>
      </c>
      <c r="I29" s="2">
        <f>I26</f>
        <v>-2063.7249999999999</v>
      </c>
      <c r="J29" s="2">
        <f>J26</f>
        <v>-309.375</v>
      </c>
      <c r="K29" s="2">
        <f>K26</f>
        <v>-446.875</v>
      </c>
      <c r="L29" s="2">
        <f>L26</f>
        <v>-2907.4749999999999</v>
      </c>
      <c r="M29" s="1"/>
      <c r="N29" s="2">
        <f>N26</f>
        <v>0</v>
      </c>
      <c r="O29" s="2">
        <f>O26</f>
        <v>0</v>
      </c>
      <c r="P29" s="2">
        <f>P26</f>
        <v>0</v>
      </c>
      <c r="Q29" s="2">
        <f>Q26</f>
        <v>0</v>
      </c>
      <c r="R29" s="1"/>
      <c r="S29" s="2">
        <f>S26</f>
        <v>0</v>
      </c>
      <c r="T29" s="2">
        <f>T26</f>
        <v>-684.375</v>
      </c>
      <c r="U29" s="2">
        <f>U26</f>
        <v>-768.75</v>
      </c>
      <c r="V29" s="2">
        <f>V26</f>
        <v>-5802.2250000000004</v>
      </c>
      <c r="W29" s="2">
        <f>W26</f>
        <v>-1193.75</v>
      </c>
      <c r="X29" s="2">
        <f>X26</f>
        <v>-2143.75</v>
      </c>
      <c r="Y29" s="2">
        <f>Y26</f>
        <v>-2879.35</v>
      </c>
      <c r="Z29" s="2">
        <f>Z26</f>
        <v>33512.465000000004</v>
      </c>
      <c r="AA29" s="2">
        <f>AA26</f>
        <v>-955.20432692307691</v>
      </c>
      <c r="AB29" s="2">
        <f>AB26</f>
        <v>-3343.567957701553</v>
      </c>
      <c r="AC29" s="2"/>
      <c r="AD29" s="2">
        <f>AD26</f>
        <v>-516.98276015023634</v>
      </c>
      <c r="AE29" s="2">
        <f>AE26</f>
        <v>-925.99873047021072</v>
      </c>
      <c r="AF29" s="2">
        <f>AF26</f>
        <v>-1203.7658648748784</v>
      </c>
      <c r="AG29" s="2">
        <f>AG26</f>
        <v>-1325.2841595899188</v>
      </c>
      <c r="AH29" s="1"/>
      <c r="AI29" s="2">
        <f>AI26</f>
        <v>19550.071389146753</v>
      </c>
      <c r="AJ29" s="2">
        <f>AJ26</f>
        <v>-1469.6418110688282</v>
      </c>
      <c r="AK29" s="2">
        <f>AK26</f>
        <v>-1475.2867426583239</v>
      </c>
      <c r="AL29" s="2">
        <f>AL26</f>
        <v>-6026.9085225850131</v>
      </c>
      <c r="AM29" s="2">
        <f>AM26</f>
        <v>-1124.1171448560158</v>
      </c>
      <c r="AN29" s="2">
        <f>AN26</f>
        <v>-7779.1326034978865</v>
      </c>
      <c r="AO29" s="2">
        <f>AO26</f>
        <v>-1515.625</v>
      </c>
      <c r="AP29" s="2">
        <f>AP26</f>
        <v>0</v>
      </c>
      <c r="AQ29" s="2">
        <f>AQ26</f>
        <v>0</v>
      </c>
      <c r="AR29" s="2">
        <f>AR26</f>
        <v>0</v>
      </c>
      <c r="AS29" s="2"/>
    </row>
    <row r="30" spans="1:45" ht="15" thickBot="1" x14ac:dyDescent="0.25">
      <c r="A30" s="7" t="s">
        <v>0</v>
      </c>
      <c r="B30" s="6"/>
      <c r="C30" s="5">
        <v>0</v>
      </c>
      <c r="D30" s="5">
        <f>D29+D28</f>
        <v>0</v>
      </c>
      <c r="E30" s="5">
        <f>E29+E28</f>
        <v>-12.5</v>
      </c>
      <c r="F30" s="5">
        <f>F29+F28</f>
        <v>-2668.3</v>
      </c>
      <c r="G30" s="5">
        <f>G29+G28</f>
        <v>-2812.05</v>
      </c>
      <c r="H30" s="5">
        <f>H29+H28</f>
        <v>-3968.3</v>
      </c>
      <c r="I30" s="5">
        <f>I29+I28</f>
        <v>-6032.0249999999996</v>
      </c>
      <c r="J30" s="5">
        <f>J29+J28</f>
        <v>-6341.4</v>
      </c>
      <c r="K30" s="5">
        <f>K29+K28</f>
        <v>-6788.2749999999996</v>
      </c>
      <c r="L30" s="5">
        <f>L29+L28</f>
        <v>-9695.75</v>
      </c>
      <c r="M30" s="1"/>
      <c r="N30" s="5">
        <f>N29+N28</f>
        <v>-9695.75</v>
      </c>
      <c r="O30" s="5">
        <f>O29+O28</f>
        <v>-9695.75</v>
      </c>
      <c r="P30" s="5">
        <f>P29+P28</f>
        <v>-9695.75</v>
      </c>
      <c r="Q30" s="5">
        <f>Q29+Q28</f>
        <v>-9695.75</v>
      </c>
      <c r="R30" s="1"/>
      <c r="S30" s="5">
        <f>S29+S28</f>
        <v>-9695.75</v>
      </c>
      <c r="T30" s="5">
        <f>T29+T28</f>
        <v>-10380.125</v>
      </c>
      <c r="U30" s="5">
        <f>U29+U28</f>
        <v>-11148.875</v>
      </c>
      <c r="V30" s="5">
        <f>V29+V28</f>
        <v>-16951.099999999999</v>
      </c>
      <c r="W30" s="5">
        <f>W29+W28</f>
        <v>-18144.849999999999</v>
      </c>
      <c r="X30" s="5">
        <f>X29+X28</f>
        <v>-20288.599999999999</v>
      </c>
      <c r="Y30" s="5">
        <f>Y29+Y28</f>
        <v>-23167.949999999997</v>
      </c>
      <c r="Z30" s="5">
        <f>Z29+Z28</f>
        <v>10344.515000000007</v>
      </c>
      <c r="AA30" s="5">
        <f>AA29+AA28</f>
        <v>9389.3106730769305</v>
      </c>
      <c r="AB30" s="5">
        <f>AB29+AB28</f>
        <v>6045.7427153753779</v>
      </c>
      <c r="AC30" s="2"/>
      <c r="AD30" s="5">
        <f>AD29+AD28</f>
        <v>5528.7599552251413</v>
      </c>
      <c r="AE30" s="5">
        <f>AE29+AE28</f>
        <v>4602.7612247549305</v>
      </c>
      <c r="AF30" s="5">
        <f>AF29+AF28</f>
        <v>3398.9953598800521</v>
      </c>
      <c r="AG30" s="5">
        <f>AG29+AG28</f>
        <v>2073.7112002901331</v>
      </c>
      <c r="AH30" s="1"/>
      <c r="AI30" s="5">
        <f>AI29+AI28</f>
        <v>21623.782589436887</v>
      </c>
      <c r="AJ30" s="5">
        <f>AJ29+AJ28</f>
        <v>20154.140778368059</v>
      </c>
      <c r="AK30" s="5">
        <f>AK29+AK28</f>
        <v>18678.854035709734</v>
      </c>
      <c r="AL30" s="5">
        <f>AL29+AL28</f>
        <v>12651.94551312472</v>
      </c>
      <c r="AM30" s="5">
        <f>AM29+AM28</f>
        <v>11527.828368268703</v>
      </c>
      <c r="AN30" s="5">
        <f>AN29+AN28</f>
        <v>3748.6957647708168</v>
      </c>
      <c r="AO30" s="5">
        <f>AO29+AO28</f>
        <v>2233.0707647708168</v>
      </c>
      <c r="AP30" s="5">
        <f>AP29+AP28</f>
        <v>2233.0707647708168</v>
      </c>
      <c r="AQ30" s="5">
        <f>AQ29+AQ28</f>
        <v>2233.0707647708168</v>
      </c>
      <c r="AR30" s="5">
        <f>AR29+AR28</f>
        <v>2233.0707647708168</v>
      </c>
      <c r="AS30" s="4"/>
    </row>
    <row r="31" spans="1:45" ht="14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4" x14ac:dyDescent="0.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</sheetData>
  <mergeCells count="5">
    <mergeCell ref="C3:L3"/>
    <mergeCell ref="N3:Q3"/>
    <mergeCell ref="S3:AB3"/>
    <mergeCell ref="AD3:AG3"/>
    <mergeCell ref="AI3:AR3"/>
  </mergeCells>
  <conditionalFormatting sqref="C5:AS6">
    <cfRule type="timePeriod" dxfId="8" priority="1" timePeriod="last7Days">
      <formula>AND(TODAY()-FLOOR(C5,1)&lt;=6,FLOOR(C5,1)&lt;=TODAY())</formula>
    </cfRule>
  </conditionalFormatting>
  <printOptions horizontalCentered="1"/>
  <pageMargins left="0.25" right="0.25" top="0.75" bottom="0.75" header="0" footer="0"/>
  <pageSetup paperSize="9" scale="60" orientation="landscape" cellComments="atEnd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A98-500F-9245-95B6-D461EEBBF5F8}">
  <dimension ref="A1:AN43"/>
  <sheetViews>
    <sheetView topLeftCell="AA1" workbookViewId="0">
      <selection activeCell="AI17" sqref="AI17"/>
    </sheetView>
  </sheetViews>
  <sheetFormatPr baseColWidth="10" defaultRowHeight="13" x14ac:dyDescent="0.15"/>
  <cols>
    <col min="1" max="1" width="31.1640625" customWidth="1"/>
    <col min="2" max="40" width="14.33203125" customWidth="1"/>
  </cols>
  <sheetData>
    <row r="1" spans="1:40" ht="40" customHeight="1" x14ac:dyDescent="0.2">
      <c r="A1" s="7" t="s">
        <v>36</v>
      </c>
      <c r="B1" s="23" t="s">
        <v>33</v>
      </c>
      <c r="C1" s="24"/>
      <c r="D1" s="24"/>
      <c r="E1" s="24"/>
      <c r="F1" s="24"/>
      <c r="G1" s="24"/>
      <c r="H1" s="24"/>
      <c r="I1" s="24"/>
      <c r="J1" s="24"/>
      <c r="K1" s="25"/>
      <c r="L1" s="26" t="s">
        <v>37</v>
      </c>
      <c r="M1" s="24"/>
      <c r="N1" s="24"/>
      <c r="O1" s="25"/>
      <c r="P1" s="23" t="s">
        <v>31</v>
      </c>
      <c r="Q1" s="24"/>
      <c r="R1" s="24"/>
      <c r="S1" s="24"/>
      <c r="T1" s="24"/>
      <c r="U1" s="24"/>
      <c r="V1" s="24"/>
      <c r="W1" s="24"/>
      <c r="X1" s="24"/>
      <c r="Y1" s="25"/>
      <c r="Z1" s="26" t="s">
        <v>30</v>
      </c>
      <c r="AA1" s="24"/>
      <c r="AB1" s="24"/>
      <c r="AC1" s="25"/>
      <c r="AD1" s="23" t="s">
        <v>29</v>
      </c>
      <c r="AE1" s="24"/>
      <c r="AF1" s="24"/>
      <c r="AG1" s="24"/>
      <c r="AH1" s="24"/>
      <c r="AI1" s="24"/>
      <c r="AJ1" s="24"/>
      <c r="AK1" s="24"/>
      <c r="AL1" s="24"/>
      <c r="AM1" s="25"/>
      <c r="AN1" s="27" t="s">
        <v>38</v>
      </c>
    </row>
    <row r="2" spans="1:40" x14ac:dyDescent="0.15">
      <c r="A2" s="28" t="s">
        <v>39</v>
      </c>
      <c r="B2" s="29" t="s">
        <v>24</v>
      </c>
      <c r="C2" s="29" t="s">
        <v>23</v>
      </c>
      <c r="D2" s="29" t="s">
        <v>22</v>
      </c>
      <c r="E2" s="29" t="s">
        <v>21</v>
      </c>
      <c r="F2" s="29" t="s">
        <v>20</v>
      </c>
      <c r="G2" s="29" t="s">
        <v>19</v>
      </c>
      <c r="H2" s="29" t="s">
        <v>18</v>
      </c>
      <c r="I2" s="29" t="s">
        <v>17</v>
      </c>
      <c r="J2" s="29" t="s">
        <v>16</v>
      </c>
      <c r="K2" s="29" t="s">
        <v>15</v>
      </c>
      <c r="L2" s="30" t="s">
        <v>28</v>
      </c>
      <c r="M2" s="30" t="s">
        <v>27</v>
      </c>
      <c r="N2" s="30" t="s">
        <v>26</v>
      </c>
      <c r="O2" s="30" t="s">
        <v>25</v>
      </c>
      <c r="P2" s="29" t="s">
        <v>24</v>
      </c>
      <c r="Q2" s="29" t="s">
        <v>23</v>
      </c>
      <c r="R2" s="29" t="s">
        <v>22</v>
      </c>
      <c r="S2" s="29" t="s">
        <v>21</v>
      </c>
      <c r="T2" s="29" t="s">
        <v>20</v>
      </c>
      <c r="U2" s="29" t="s">
        <v>19</v>
      </c>
      <c r="V2" s="29" t="s">
        <v>18</v>
      </c>
      <c r="W2" s="29" t="s">
        <v>17</v>
      </c>
      <c r="X2" s="29" t="s">
        <v>16</v>
      </c>
      <c r="Y2" s="29" t="s">
        <v>15</v>
      </c>
      <c r="Z2" s="30" t="s">
        <v>28</v>
      </c>
      <c r="AA2" s="30" t="s">
        <v>27</v>
      </c>
      <c r="AB2" s="30" t="s">
        <v>26</v>
      </c>
      <c r="AC2" s="30" t="s">
        <v>25</v>
      </c>
      <c r="AD2" s="31" t="s">
        <v>24</v>
      </c>
      <c r="AE2" s="32" t="s">
        <v>23</v>
      </c>
      <c r="AF2" s="32" t="s">
        <v>22</v>
      </c>
      <c r="AG2" s="32" t="s">
        <v>21</v>
      </c>
      <c r="AH2" s="32" t="s">
        <v>20</v>
      </c>
      <c r="AI2" s="32" t="s">
        <v>19</v>
      </c>
      <c r="AJ2" s="32" t="s">
        <v>18</v>
      </c>
      <c r="AK2" s="32" t="s">
        <v>17</v>
      </c>
      <c r="AL2" s="32" t="s">
        <v>16</v>
      </c>
      <c r="AM2" s="32" t="s">
        <v>15</v>
      </c>
      <c r="AN2" s="33"/>
    </row>
    <row r="3" spans="1:40" x14ac:dyDescent="0.15">
      <c r="A3" s="34" t="s">
        <v>40</v>
      </c>
      <c r="B3" s="35">
        <v>43738</v>
      </c>
      <c r="C3" s="35">
        <v>43745</v>
      </c>
      <c r="D3" s="35">
        <v>43752</v>
      </c>
      <c r="E3" s="35">
        <v>43759</v>
      </c>
      <c r="F3" s="35">
        <v>43766</v>
      </c>
      <c r="G3" s="35">
        <v>43773</v>
      </c>
      <c r="H3" s="35">
        <v>43780</v>
      </c>
      <c r="I3" s="35">
        <v>43787</v>
      </c>
      <c r="J3" s="35">
        <v>43794</v>
      </c>
      <c r="K3" s="35">
        <v>43801</v>
      </c>
      <c r="L3" s="36">
        <v>43808</v>
      </c>
      <c r="M3" s="36">
        <v>43815</v>
      </c>
      <c r="N3" s="36">
        <v>43822</v>
      </c>
      <c r="O3" s="37">
        <v>43829</v>
      </c>
      <c r="P3" s="35">
        <v>43836</v>
      </c>
      <c r="Q3" s="35">
        <v>43843</v>
      </c>
      <c r="R3" s="35">
        <v>43850</v>
      </c>
      <c r="S3" s="35">
        <v>43857</v>
      </c>
      <c r="T3" s="35">
        <v>43864</v>
      </c>
      <c r="U3" s="35">
        <v>43871</v>
      </c>
      <c r="V3" s="35">
        <v>43878</v>
      </c>
      <c r="W3" s="35">
        <v>43885</v>
      </c>
      <c r="X3" s="35">
        <v>43892</v>
      </c>
      <c r="Y3" s="35">
        <v>43899</v>
      </c>
      <c r="Z3" s="36">
        <v>43906</v>
      </c>
      <c r="AA3" s="36">
        <v>43913</v>
      </c>
      <c r="AB3" s="36">
        <v>43920</v>
      </c>
      <c r="AC3" s="36">
        <v>43927</v>
      </c>
      <c r="AD3" s="38">
        <v>43934</v>
      </c>
      <c r="AE3" s="39">
        <v>43941</v>
      </c>
      <c r="AF3" s="39">
        <v>43948</v>
      </c>
      <c r="AG3" s="39">
        <v>43955</v>
      </c>
      <c r="AH3" s="39">
        <v>43962</v>
      </c>
      <c r="AI3" s="39">
        <v>43969</v>
      </c>
      <c r="AJ3" s="39">
        <v>43976</v>
      </c>
      <c r="AK3" s="39">
        <v>43983</v>
      </c>
      <c r="AL3" s="39">
        <v>43990</v>
      </c>
      <c r="AM3" s="39">
        <v>43990</v>
      </c>
      <c r="AN3" s="40"/>
    </row>
    <row r="4" spans="1:40" x14ac:dyDescent="0.15">
      <c r="A4" s="41" t="s">
        <v>41</v>
      </c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5"/>
    </row>
    <row r="5" spans="1:40" x14ac:dyDescent="0.15">
      <c r="A5" s="43" t="s">
        <v>42</v>
      </c>
      <c r="B5" s="44">
        <v>0</v>
      </c>
      <c r="C5" s="44">
        <v>0</v>
      </c>
      <c r="D5" s="44">
        <v>0</v>
      </c>
      <c r="E5" s="44">
        <v>1</v>
      </c>
      <c r="F5" s="44">
        <f t="shared" ref="F5:G5" si="0">(0.5)</f>
        <v>0.5</v>
      </c>
      <c r="G5" s="45">
        <f t="shared" si="0"/>
        <v>0.5</v>
      </c>
      <c r="H5" s="45">
        <f t="shared" ref="H5:J5" si="1">(0)</f>
        <v>0</v>
      </c>
      <c r="I5" s="45">
        <f t="shared" si="1"/>
        <v>0</v>
      </c>
      <c r="J5" s="45">
        <f t="shared" si="1"/>
        <v>0</v>
      </c>
      <c r="K5" s="45">
        <f>(3)</f>
        <v>3</v>
      </c>
      <c r="L5" s="46">
        <f t="shared" ref="L5:P5" si="2">(0)</f>
        <v>0</v>
      </c>
      <c r="M5" s="46">
        <f t="shared" si="2"/>
        <v>0</v>
      </c>
      <c r="N5" s="46">
        <f t="shared" si="2"/>
        <v>0</v>
      </c>
      <c r="O5" s="46">
        <f t="shared" si="2"/>
        <v>0</v>
      </c>
      <c r="P5" s="45">
        <f t="shared" si="2"/>
        <v>0</v>
      </c>
      <c r="Q5" s="45">
        <f>(2.5)</f>
        <v>2.5</v>
      </c>
      <c r="R5" s="45">
        <v>6</v>
      </c>
      <c r="S5" s="47">
        <f>(2)</f>
        <v>2</v>
      </c>
      <c r="T5" s="47">
        <v>6</v>
      </c>
      <c r="U5" s="47">
        <v>7.5</v>
      </c>
      <c r="V5" s="47">
        <v>3</v>
      </c>
      <c r="W5" s="47">
        <v>8.25</v>
      </c>
      <c r="X5" s="47">
        <v>7</v>
      </c>
      <c r="Y5" s="47">
        <v>1.75</v>
      </c>
      <c r="Z5" s="48">
        <v>0</v>
      </c>
      <c r="AA5" s="48">
        <v>8.25</v>
      </c>
      <c r="AB5" s="48">
        <v>10.5</v>
      </c>
      <c r="AC5" s="48">
        <v>18.25</v>
      </c>
      <c r="AD5" s="47">
        <v>8.5</v>
      </c>
      <c r="AE5" s="47">
        <v>10</v>
      </c>
      <c r="AF5" s="47">
        <v>12</v>
      </c>
      <c r="AG5" s="47">
        <v>1.5</v>
      </c>
      <c r="AH5" s="47">
        <v>3</v>
      </c>
      <c r="AI5" s="47">
        <v>0</v>
      </c>
      <c r="AJ5" s="49">
        <v>2.5</v>
      </c>
      <c r="AK5" s="47">
        <v>0</v>
      </c>
      <c r="AL5" s="47">
        <v>0</v>
      </c>
      <c r="AM5" s="47">
        <v>0</v>
      </c>
      <c r="AN5" s="50">
        <f t="shared" ref="AN5:AN8" si="3">SUM(B5:AI5)</f>
        <v>121</v>
      </c>
    </row>
    <row r="6" spans="1:40" x14ac:dyDescent="0.15">
      <c r="A6" s="51" t="s">
        <v>43</v>
      </c>
      <c r="B6" s="44">
        <v>0</v>
      </c>
      <c r="C6" s="44">
        <v>0</v>
      </c>
      <c r="D6" s="44">
        <v>0</v>
      </c>
      <c r="E6" s="44">
        <v>1</v>
      </c>
      <c r="F6" s="44">
        <f t="shared" ref="F6:F7" si="4">(1.5)</f>
        <v>1.5</v>
      </c>
      <c r="G6" s="44">
        <f>(1)</f>
        <v>1</v>
      </c>
      <c r="H6" s="44">
        <f>(0)</f>
        <v>0</v>
      </c>
      <c r="I6" s="44">
        <f>(3.5)</f>
        <v>3.5</v>
      </c>
      <c r="J6" s="44">
        <f>(4.75)</f>
        <v>4.75</v>
      </c>
      <c r="K6" s="44">
        <f t="shared" ref="K6:P12" si="5">(0)</f>
        <v>0</v>
      </c>
      <c r="L6" s="46">
        <f t="shared" si="5"/>
        <v>0</v>
      </c>
      <c r="M6" s="46">
        <f t="shared" si="5"/>
        <v>0</v>
      </c>
      <c r="N6" s="46">
        <f t="shared" si="5"/>
        <v>0</v>
      </c>
      <c r="O6" s="46">
        <f t="shared" si="5"/>
        <v>0</v>
      </c>
      <c r="P6" s="44">
        <f t="shared" si="5"/>
        <v>0</v>
      </c>
      <c r="Q6" s="44">
        <f>5</f>
        <v>5</v>
      </c>
      <c r="R6" s="44">
        <f>(5.5)</f>
        <v>5.5</v>
      </c>
      <c r="S6" s="52">
        <f>(6.25)</f>
        <v>6.25</v>
      </c>
      <c r="T6" s="52">
        <f>(13)</f>
        <v>13</v>
      </c>
      <c r="U6" s="52">
        <v>8</v>
      </c>
      <c r="V6" s="52">
        <v>29</v>
      </c>
      <c r="W6" s="52">
        <v>7.5</v>
      </c>
      <c r="X6" s="52">
        <v>9</v>
      </c>
      <c r="Y6" s="52">
        <v>5</v>
      </c>
      <c r="Z6" s="53">
        <v>6</v>
      </c>
      <c r="AA6" s="53">
        <v>8.25</v>
      </c>
      <c r="AB6" s="53">
        <v>9.25</v>
      </c>
      <c r="AC6" s="53">
        <v>5.75</v>
      </c>
      <c r="AD6" s="52">
        <v>18.5</v>
      </c>
      <c r="AE6" s="52">
        <v>18.5</v>
      </c>
      <c r="AF6" s="52">
        <v>13.5</v>
      </c>
      <c r="AG6" s="52">
        <v>5.75</v>
      </c>
      <c r="AH6" s="52">
        <v>6</v>
      </c>
      <c r="AI6" s="52">
        <v>39.5</v>
      </c>
      <c r="AJ6" s="54">
        <v>13</v>
      </c>
      <c r="AK6" s="52">
        <v>0</v>
      </c>
      <c r="AL6" s="52">
        <v>0</v>
      </c>
      <c r="AM6" s="52">
        <v>0</v>
      </c>
      <c r="AN6" s="55">
        <f t="shared" si="3"/>
        <v>231</v>
      </c>
    </row>
    <row r="7" spans="1:40" x14ac:dyDescent="0.15">
      <c r="A7" s="51" t="s">
        <v>44</v>
      </c>
      <c r="B7" s="44">
        <v>0</v>
      </c>
      <c r="C7" s="44">
        <v>0</v>
      </c>
      <c r="D7" s="44">
        <v>1</v>
      </c>
      <c r="E7" s="44">
        <f>(3)</f>
        <v>3</v>
      </c>
      <c r="F7" s="44">
        <f t="shared" si="4"/>
        <v>1.5</v>
      </c>
      <c r="G7" s="44">
        <f>(2.25)</f>
        <v>2.25</v>
      </c>
      <c r="H7" s="44">
        <f>(3.25)</f>
        <v>3.25</v>
      </c>
      <c r="I7" s="44">
        <f>(4)</f>
        <v>4</v>
      </c>
      <c r="J7" s="44">
        <f>(9.75)</f>
        <v>9.75</v>
      </c>
      <c r="K7" s="44">
        <f>(6.25)</f>
        <v>6.25</v>
      </c>
      <c r="L7" s="56">
        <f t="shared" si="5"/>
        <v>0</v>
      </c>
      <c r="M7" s="57">
        <f t="shared" si="5"/>
        <v>0</v>
      </c>
      <c r="N7" s="57">
        <f t="shared" si="5"/>
        <v>0</v>
      </c>
      <c r="O7" s="57">
        <f t="shared" si="5"/>
        <v>0</v>
      </c>
      <c r="P7" s="44">
        <f t="shared" si="5"/>
        <v>0</v>
      </c>
      <c r="Q7" s="44">
        <f>(8.5)</f>
        <v>8.5</v>
      </c>
      <c r="R7" s="44">
        <f>(9.5)</f>
        <v>9.5</v>
      </c>
      <c r="S7" s="52">
        <f>(16.5)</f>
        <v>16.5</v>
      </c>
      <c r="T7" s="52">
        <f>(19)</f>
        <v>19</v>
      </c>
      <c r="U7" s="52">
        <v>5.5</v>
      </c>
      <c r="V7" s="52">
        <v>12</v>
      </c>
      <c r="W7" s="52">
        <v>13.25</v>
      </c>
      <c r="X7" s="52">
        <v>9</v>
      </c>
      <c r="Y7" s="52">
        <v>8.5</v>
      </c>
      <c r="Z7" s="53">
        <v>6.75</v>
      </c>
      <c r="AA7" s="53">
        <v>11.25</v>
      </c>
      <c r="AB7" s="53">
        <v>26.25</v>
      </c>
      <c r="AC7" s="53">
        <v>14.75</v>
      </c>
      <c r="AD7" s="52">
        <v>5.25</v>
      </c>
      <c r="AE7" s="52">
        <v>19</v>
      </c>
      <c r="AF7" s="52">
        <v>13.75</v>
      </c>
      <c r="AG7" s="52">
        <v>8.25</v>
      </c>
      <c r="AH7" s="52">
        <v>7.25</v>
      </c>
      <c r="AI7" s="52">
        <v>25.25</v>
      </c>
      <c r="AJ7" s="54">
        <v>24.5</v>
      </c>
      <c r="AK7" s="52">
        <v>0</v>
      </c>
      <c r="AL7" s="52">
        <v>0</v>
      </c>
      <c r="AM7" s="52">
        <v>0</v>
      </c>
      <c r="AN7" s="55">
        <f t="shared" si="3"/>
        <v>270.5</v>
      </c>
    </row>
    <row r="8" spans="1:40" x14ac:dyDescent="0.15">
      <c r="A8" s="51" t="s">
        <v>45</v>
      </c>
      <c r="B8" s="44">
        <v>0</v>
      </c>
      <c r="C8" s="44">
        <v>0</v>
      </c>
      <c r="D8" s="44">
        <v>0</v>
      </c>
      <c r="E8" s="44">
        <v>1</v>
      </c>
      <c r="F8" s="44">
        <f>(1)</f>
        <v>1</v>
      </c>
      <c r="G8" s="44">
        <f>(4)</f>
        <v>4</v>
      </c>
      <c r="H8" s="44">
        <f t="shared" ref="H8:H9" si="6">(1)</f>
        <v>1</v>
      </c>
      <c r="I8" s="44">
        <f>(3)</f>
        <v>3</v>
      </c>
      <c r="J8" s="44">
        <f>(1.75)</f>
        <v>1.75</v>
      </c>
      <c r="K8" s="44">
        <f>(4.75)</f>
        <v>4.75</v>
      </c>
      <c r="L8" s="46">
        <f t="shared" si="5"/>
        <v>0</v>
      </c>
      <c r="M8" s="58">
        <f t="shared" si="5"/>
        <v>0</v>
      </c>
      <c r="N8" s="58">
        <f t="shared" si="5"/>
        <v>0</v>
      </c>
      <c r="O8" s="58">
        <f t="shared" si="5"/>
        <v>0</v>
      </c>
      <c r="P8" s="44">
        <f t="shared" si="5"/>
        <v>0</v>
      </c>
      <c r="Q8" s="44">
        <f>(9)</f>
        <v>9</v>
      </c>
      <c r="R8" s="44">
        <v>8.5</v>
      </c>
      <c r="S8" s="52">
        <v>7</v>
      </c>
      <c r="T8" s="52">
        <f>(15)</f>
        <v>15</v>
      </c>
      <c r="U8" s="52">
        <v>4</v>
      </c>
      <c r="V8" s="52">
        <v>4.5</v>
      </c>
      <c r="W8" s="52">
        <v>6.25</v>
      </c>
      <c r="X8" s="52">
        <v>4</v>
      </c>
      <c r="Y8" s="52">
        <v>4.5</v>
      </c>
      <c r="Z8" s="53">
        <v>5</v>
      </c>
      <c r="AA8" s="53">
        <v>6.25</v>
      </c>
      <c r="AB8" s="53">
        <v>8.25</v>
      </c>
      <c r="AC8" s="53">
        <v>5.75</v>
      </c>
      <c r="AD8" s="52">
        <v>6.5</v>
      </c>
      <c r="AE8" s="52">
        <v>10.5</v>
      </c>
      <c r="AF8" s="52">
        <v>5.75</v>
      </c>
      <c r="AG8" s="52">
        <v>5</v>
      </c>
      <c r="AH8" s="52">
        <v>0</v>
      </c>
      <c r="AI8" s="52">
        <v>1.5</v>
      </c>
      <c r="AJ8" s="52">
        <v>3.75</v>
      </c>
      <c r="AK8" s="52">
        <v>0</v>
      </c>
      <c r="AL8" s="52">
        <v>0</v>
      </c>
      <c r="AM8" s="52">
        <v>0</v>
      </c>
      <c r="AN8" s="55">
        <f t="shared" si="3"/>
        <v>133.75</v>
      </c>
    </row>
    <row r="9" spans="1:40" x14ac:dyDescent="0.15">
      <c r="A9" s="51" t="s">
        <v>46</v>
      </c>
      <c r="B9" s="44">
        <v>0</v>
      </c>
      <c r="C9" s="44">
        <v>0</v>
      </c>
      <c r="D9" s="44">
        <v>0</v>
      </c>
      <c r="E9" s="44">
        <v>1</v>
      </c>
      <c r="F9" s="44">
        <f t="shared" ref="F9:F10" si="7">(1.5)</f>
        <v>1.5</v>
      </c>
      <c r="G9" s="44">
        <f>(3.75)</f>
        <v>3.75</v>
      </c>
      <c r="H9" s="44">
        <f t="shared" si="6"/>
        <v>1</v>
      </c>
      <c r="I9" s="44">
        <f>(2.25)</f>
        <v>2.25</v>
      </c>
      <c r="J9" s="44">
        <f>(3)</f>
        <v>3</v>
      </c>
      <c r="K9" s="44">
        <f>5</f>
        <v>5</v>
      </c>
      <c r="L9" s="46">
        <f t="shared" si="5"/>
        <v>0</v>
      </c>
      <c r="M9" s="58">
        <f t="shared" si="5"/>
        <v>0</v>
      </c>
      <c r="N9" s="58">
        <f t="shared" si="5"/>
        <v>0</v>
      </c>
      <c r="O9" s="58">
        <f t="shared" si="5"/>
        <v>0</v>
      </c>
      <c r="P9" s="44">
        <f t="shared" si="5"/>
        <v>0</v>
      </c>
      <c r="Q9" s="44">
        <f>5</f>
        <v>5</v>
      </c>
      <c r="R9" s="44">
        <v>6.5</v>
      </c>
      <c r="S9" s="52">
        <f>(9)</f>
        <v>9</v>
      </c>
      <c r="T9" s="52">
        <f>(11.5)</f>
        <v>11.5</v>
      </c>
      <c r="U9" s="52">
        <v>7</v>
      </c>
      <c r="V9" s="52">
        <v>3.5</v>
      </c>
      <c r="W9" s="52">
        <v>9.5</v>
      </c>
      <c r="X9" s="52">
        <v>8</v>
      </c>
      <c r="Y9" s="52">
        <v>8</v>
      </c>
      <c r="Z9" s="53">
        <v>1</v>
      </c>
      <c r="AA9" s="53">
        <v>1</v>
      </c>
      <c r="AB9" s="53">
        <v>7</v>
      </c>
      <c r="AC9" s="53">
        <v>10.5</v>
      </c>
      <c r="AD9" s="52">
        <v>12.25</v>
      </c>
      <c r="AE9" s="52">
        <v>1.25</v>
      </c>
      <c r="AF9" s="52">
        <v>10</v>
      </c>
      <c r="AG9" s="52">
        <v>13.5</v>
      </c>
      <c r="AH9" s="52">
        <v>13.5</v>
      </c>
      <c r="AI9" s="52">
        <v>9.5</v>
      </c>
      <c r="AJ9" s="54">
        <v>13.75</v>
      </c>
      <c r="AK9" s="52">
        <v>0</v>
      </c>
      <c r="AL9" s="52">
        <v>0</v>
      </c>
      <c r="AM9" s="52">
        <v>0</v>
      </c>
      <c r="AN9" s="55">
        <f t="shared" ref="AN9:AN12" si="8">SUM(B9:AM9)</f>
        <v>178.75</v>
      </c>
    </row>
    <row r="10" spans="1:40" x14ac:dyDescent="0.15">
      <c r="A10" s="51" t="s">
        <v>47</v>
      </c>
      <c r="B10" s="44">
        <v>0</v>
      </c>
      <c r="C10" s="44">
        <v>0</v>
      </c>
      <c r="D10" s="44">
        <v>0</v>
      </c>
      <c r="E10" s="44">
        <v>1</v>
      </c>
      <c r="F10" s="44">
        <f t="shared" si="7"/>
        <v>1.5</v>
      </c>
      <c r="G10" s="44">
        <f>(8)</f>
        <v>8</v>
      </c>
      <c r="H10" s="44">
        <f>(4.5)</f>
        <v>4.5</v>
      </c>
      <c r="I10" s="44">
        <f>(7.5)</f>
        <v>7.5</v>
      </c>
      <c r="J10" s="44">
        <f t="shared" ref="J10:K10" si="9">(4)</f>
        <v>4</v>
      </c>
      <c r="K10" s="44">
        <f t="shared" si="9"/>
        <v>4</v>
      </c>
      <c r="L10" s="46">
        <f t="shared" si="5"/>
        <v>0</v>
      </c>
      <c r="M10" s="58">
        <f t="shared" si="5"/>
        <v>0</v>
      </c>
      <c r="N10" s="58">
        <f t="shared" si="5"/>
        <v>0</v>
      </c>
      <c r="O10" s="58">
        <f t="shared" si="5"/>
        <v>0</v>
      </c>
      <c r="P10" s="44">
        <f t="shared" si="5"/>
        <v>0</v>
      </c>
      <c r="Q10" s="44">
        <f>(6)</f>
        <v>6</v>
      </c>
      <c r="R10" s="44">
        <f>(4.75)</f>
        <v>4.75</v>
      </c>
      <c r="S10" s="52">
        <f>(7)</f>
        <v>7</v>
      </c>
      <c r="T10" s="52">
        <f>(12)</f>
        <v>12</v>
      </c>
      <c r="U10" s="52">
        <v>7</v>
      </c>
      <c r="V10" s="52">
        <v>3.5</v>
      </c>
      <c r="W10" s="52">
        <v>13.25</v>
      </c>
      <c r="X10" s="52">
        <v>12.5</v>
      </c>
      <c r="Y10" s="52">
        <v>15.25</v>
      </c>
      <c r="Z10" s="53">
        <v>12</v>
      </c>
      <c r="AA10" s="53">
        <v>11.5</v>
      </c>
      <c r="AB10" s="53">
        <v>6.5</v>
      </c>
      <c r="AC10" s="53">
        <v>9</v>
      </c>
      <c r="AD10" s="52">
        <v>2.25</v>
      </c>
      <c r="AE10" s="52">
        <v>16.5</v>
      </c>
      <c r="AF10" s="52">
        <v>26</v>
      </c>
      <c r="AG10" s="52">
        <v>14.25</v>
      </c>
      <c r="AH10" s="52">
        <v>18.5</v>
      </c>
      <c r="AI10" s="52">
        <v>33</v>
      </c>
      <c r="AJ10" s="54">
        <v>34.25</v>
      </c>
      <c r="AK10" s="52">
        <v>0</v>
      </c>
      <c r="AL10" s="52">
        <v>0</v>
      </c>
      <c r="AM10" s="52">
        <v>0</v>
      </c>
      <c r="AN10" s="55">
        <f t="shared" si="8"/>
        <v>295.5</v>
      </c>
    </row>
    <row r="11" spans="1:40" x14ac:dyDescent="0.15">
      <c r="A11" s="51" t="s">
        <v>48</v>
      </c>
      <c r="B11" s="44">
        <v>0</v>
      </c>
      <c r="C11" s="44">
        <v>0</v>
      </c>
      <c r="D11" s="44">
        <v>0</v>
      </c>
      <c r="E11" s="44">
        <v>1</v>
      </c>
      <c r="F11" s="44">
        <f>(3)</f>
        <v>3</v>
      </c>
      <c r="G11" s="44">
        <f>(1)</f>
        <v>1</v>
      </c>
      <c r="H11" s="44">
        <f>(2.5)</f>
        <v>2.5</v>
      </c>
      <c r="I11" s="44">
        <f>(3)</f>
        <v>3</v>
      </c>
      <c r="J11" s="44">
        <f>(9.5)</f>
        <v>9.5</v>
      </c>
      <c r="K11" s="44">
        <f>(4.75)</f>
        <v>4.75</v>
      </c>
      <c r="L11" s="46">
        <f t="shared" si="5"/>
        <v>0</v>
      </c>
      <c r="M11" s="58">
        <f t="shared" si="5"/>
        <v>0</v>
      </c>
      <c r="N11" s="58">
        <f t="shared" si="5"/>
        <v>0</v>
      </c>
      <c r="O11" s="58">
        <f t="shared" si="5"/>
        <v>0</v>
      </c>
      <c r="P11" s="44">
        <f t="shared" si="5"/>
        <v>0</v>
      </c>
      <c r="Q11" s="44">
        <f>(15.5)</f>
        <v>15.5</v>
      </c>
      <c r="R11" s="44">
        <f>(17.25)</f>
        <v>17.25</v>
      </c>
      <c r="S11" s="52">
        <f>(8.5)</f>
        <v>8.5</v>
      </c>
      <c r="T11" s="52">
        <f>(18)</f>
        <v>18</v>
      </c>
      <c r="U11" s="52">
        <v>9.5</v>
      </c>
      <c r="V11" s="52">
        <v>18.5</v>
      </c>
      <c r="W11" s="52">
        <v>9.5</v>
      </c>
      <c r="X11" s="52">
        <v>10.5</v>
      </c>
      <c r="Y11" s="52">
        <v>12.25</v>
      </c>
      <c r="Z11" s="53">
        <v>1.5</v>
      </c>
      <c r="AA11" s="53">
        <v>6.75</v>
      </c>
      <c r="AB11" s="53">
        <v>7.5</v>
      </c>
      <c r="AC11" s="53">
        <v>18.5</v>
      </c>
      <c r="AD11" s="52">
        <v>17</v>
      </c>
      <c r="AE11" s="52">
        <v>23.75</v>
      </c>
      <c r="AF11" s="52">
        <v>22</v>
      </c>
      <c r="AG11" s="52">
        <v>2.75</v>
      </c>
      <c r="AH11" s="52">
        <v>19.25</v>
      </c>
      <c r="AI11" s="52">
        <v>20.25</v>
      </c>
      <c r="AJ11" s="54">
        <v>21.25</v>
      </c>
      <c r="AK11" s="52">
        <v>0</v>
      </c>
      <c r="AL11" s="52">
        <v>0</v>
      </c>
      <c r="AM11" s="52">
        <v>0</v>
      </c>
      <c r="AN11" s="55">
        <f t="shared" si="8"/>
        <v>304.75</v>
      </c>
    </row>
    <row r="12" spans="1:40" x14ac:dyDescent="0.15">
      <c r="A12" s="59" t="s">
        <v>49</v>
      </c>
      <c r="B12" s="44">
        <v>0</v>
      </c>
      <c r="C12" s="44">
        <v>0</v>
      </c>
      <c r="D12" s="44">
        <v>0</v>
      </c>
      <c r="E12" s="44">
        <v>1</v>
      </c>
      <c r="F12" s="44">
        <f>(1)</f>
        <v>1</v>
      </c>
      <c r="G12" s="44">
        <f>(0)</f>
        <v>0</v>
      </c>
      <c r="H12" s="44">
        <f>(1)</f>
        <v>1</v>
      </c>
      <c r="I12" s="44">
        <f>(1.5)</f>
        <v>1.5</v>
      </c>
      <c r="J12" s="44">
        <f>(3)</f>
        <v>3</v>
      </c>
      <c r="K12" s="44">
        <f>5</f>
        <v>5</v>
      </c>
      <c r="L12" s="46">
        <f t="shared" si="5"/>
        <v>0</v>
      </c>
      <c r="M12" s="58">
        <f t="shared" si="5"/>
        <v>0</v>
      </c>
      <c r="N12" s="58">
        <f t="shared" si="5"/>
        <v>0</v>
      </c>
      <c r="O12" s="58">
        <f t="shared" si="5"/>
        <v>0</v>
      </c>
      <c r="P12" s="44">
        <f t="shared" si="5"/>
        <v>0</v>
      </c>
      <c r="Q12" s="44">
        <f>(3.25)</f>
        <v>3.25</v>
      </c>
      <c r="R12" s="44">
        <f>(3.5)</f>
        <v>3.5</v>
      </c>
      <c r="S12" s="60">
        <f>(3)</f>
        <v>3</v>
      </c>
      <c r="T12" s="60">
        <f>(1)</f>
        <v>1</v>
      </c>
      <c r="U12" s="60">
        <v>3</v>
      </c>
      <c r="V12" s="60">
        <v>4.5</v>
      </c>
      <c r="W12" s="60">
        <v>7.25</v>
      </c>
      <c r="X12" s="60">
        <v>7.5</v>
      </c>
      <c r="Y12" s="60">
        <v>3.5</v>
      </c>
      <c r="Z12" s="61">
        <v>0.25</v>
      </c>
      <c r="AA12" s="61">
        <v>12</v>
      </c>
      <c r="AB12" s="61">
        <v>12.25</v>
      </c>
      <c r="AC12" s="61">
        <v>14.75</v>
      </c>
      <c r="AD12" s="60">
        <v>7</v>
      </c>
      <c r="AE12" s="60">
        <v>15.5</v>
      </c>
      <c r="AF12" s="60">
        <v>6.75</v>
      </c>
      <c r="AG12" s="60">
        <v>12.25</v>
      </c>
      <c r="AH12" s="60">
        <v>8.5</v>
      </c>
      <c r="AI12" s="60">
        <v>7.75</v>
      </c>
      <c r="AJ12" s="62">
        <v>8.25</v>
      </c>
      <c r="AK12" s="60">
        <v>0</v>
      </c>
      <c r="AL12" s="60">
        <v>0</v>
      </c>
      <c r="AM12" s="60">
        <v>0</v>
      </c>
      <c r="AN12" s="55">
        <f t="shared" si="8"/>
        <v>154.25</v>
      </c>
    </row>
    <row r="13" spans="1:40" x14ac:dyDescent="0.15">
      <c r="A13" s="63" t="s">
        <v>50</v>
      </c>
      <c r="B13" s="6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</row>
    <row r="14" spans="1:40" x14ac:dyDescent="0.15">
      <c r="A14" s="43" t="s">
        <v>5</v>
      </c>
      <c r="B14" s="65">
        <f t="shared" ref="B14:AI14" si="10">SUM(B5:B12)*12.5</f>
        <v>0</v>
      </c>
      <c r="C14" s="65">
        <f t="shared" si="10"/>
        <v>0</v>
      </c>
      <c r="D14" s="65">
        <f t="shared" si="10"/>
        <v>12.5</v>
      </c>
      <c r="E14" s="65">
        <f t="shared" si="10"/>
        <v>125</v>
      </c>
      <c r="F14" s="65">
        <f t="shared" si="10"/>
        <v>143.75</v>
      </c>
      <c r="G14" s="65">
        <f t="shared" si="10"/>
        <v>256.25</v>
      </c>
      <c r="H14" s="65">
        <f t="shared" si="10"/>
        <v>165.625</v>
      </c>
      <c r="I14" s="65">
        <f t="shared" si="10"/>
        <v>309.375</v>
      </c>
      <c r="J14" s="65">
        <f t="shared" si="10"/>
        <v>446.875</v>
      </c>
      <c r="K14" s="65">
        <f t="shared" si="10"/>
        <v>409.375</v>
      </c>
      <c r="L14" s="66">
        <f t="shared" si="10"/>
        <v>0</v>
      </c>
      <c r="M14" s="67">
        <f t="shared" si="10"/>
        <v>0</v>
      </c>
      <c r="N14" s="67">
        <f t="shared" si="10"/>
        <v>0</v>
      </c>
      <c r="O14" s="67">
        <f t="shared" si="10"/>
        <v>0</v>
      </c>
      <c r="P14" s="65">
        <f t="shared" si="10"/>
        <v>0</v>
      </c>
      <c r="Q14" s="65">
        <f t="shared" si="10"/>
        <v>684.375</v>
      </c>
      <c r="R14" s="65">
        <f t="shared" si="10"/>
        <v>768.75</v>
      </c>
      <c r="S14" s="65">
        <f t="shared" si="10"/>
        <v>740.625</v>
      </c>
      <c r="T14" s="65">
        <f t="shared" si="10"/>
        <v>1193.75</v>
      </c>
      <c r="U14" s="65">
        <f t="shared" si="10"/>
        <v>643.75</v>
      </c>
      <c r="V14" s="65">
        <f t="shared" si="10"/>
        <v>981.25</v>
      </c>
      <c r="W14" s="65">
        <f t="shared" si="10"/>
        <v>934.375</v>
      </c>
      <c r="X14" s="65">
        <f t="shared" si="10"/>
        <v>843.75</v>
      </c>
      <c r="Y14" s="65">
        <f t="shared" si="10"/>
        <v>734.375</v>
      </c>
      <c r="Z14" s="68">
        <f t="shared" si="10"/>
        <v>406.25</v>
      </c>
      <c r="AA14" s="69">
        <f t="shared" si="10"/>
        <v>815.625</v>
      </c>
      <c r="AB14" s="69">
        <f t="shared" si="10"/>
        <v>1093.75</v>
      </c>
      <c r="AC14" s="69">
        <f t="shared" si="10"/>
        <v>1215.625</v>
      </c>
      <c r="AD14" s="65">
        <f t="shared" si="10"/>
        <v>965.625</v>
      </c>
      <c r="AE14" s="65">
        <f t="shared" si="10"/>
        <v>1437.5</v>
      </c>
      <c r="AF14" s="65">
        <f t="shared" si="10"/>
        <v>1371.875</v>
      </c>
      <c r="AG14" s="65">
        <f t="shared" si="10"/>
        <v>790.625</v>
      </c>
      <c r="AH14" s="65">
        <f t="shared" si="10"/>
        <v>950</v>
      </c>
      <c r="AI14" s="65">
        <f>SUM(AI5:AI12)*12.5</f>
        <v>1709.375</v>
      </c>
      <c r="AJ14" s="65">
        <v>1515.625</v>
      </c>
      <c r="AK14" s="65">
        <f t="shared" ref="AK14:AM14" si="11">SUM(AK5:AK12)*12.5</f>
        <v>0</v>
      </c>
      <c r="AL14" s="65">
        <f t="shared" si="11"/>
        <v>0</v>
      </c>
      <c r="AM14" s="65">
        <f t="shared" si="11"/>
        <v>0</v>
      </c>
      <c r="AN14" s="70">
        <f>SUM(B14:AM14)</f>
        <v>21665.625</v>
      </c>
    </row>
    <row r="15" spans="1:40" x14ac:dyDescent="0.15">
      <c r="A15" s="71" t="s">
        <v>51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8">
        <v>0</v>
      </c>
      <c r="M15" s="69">
        <v>0</v>
      </c>
      <c r="N15" s="69">
        <v>0</v>
      </c>
      <c r="O15" s="69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72">
        <v>1000</v>
      </c>
      <c r="W15" s="72">
        <v>1000</v>
      </c>
      <c r="X15" s="72">
        <v>950</v>
      </c>
      <c r="Y15" s="72">
        <v>950</v>
      </c>
      <c r="Z15" s="73">
        <v>900</v>
      </c>
      <c r="AA15" s="73">
        <v>900</v>
      </c>
      <c r="AB15" s="73">
        <v>925</v>
      </c>
      <c r="AC15" s="73">
        <v>925</v>
      </c>
      <c r="AD15" s="72">
        <v>900</v>
      </c>
      <c r="AE15" s="72">
        <v>900</v>
      </c>
      <c r="AF15" s="72">
        <v>950</v>
      </c>
      <c r="AG15" s="72">
        <v>950</v>
      </c>
      <c r="AH15" s="72">
        <v>900</v>
      </c>
      <c r="AI15" s="72">
        <v>900</v>
      </c>
      <c r="AJ15" s="72">
        <v>900</v>
      </c>
      <c r="AK15" s="74">
        <v>0</v>
      </c>
      <c r="AL15" s="74">
        <v>0</v>
      </c>
      <c r="AM15" s="74">
        <v>0</v>
      </c>
      <c r="AN15" s="75">
        <f>SUM(AK15:AM15)</f>
        <v>0</v>
      </c>
    </row>
    <row r="16" spans="1:40" x14ac:dyDescent="0.15">
      <c r="A16" s="71" t="s">
        <v>52</v>
      </c>
      <c r="B16" s="76">
        <f t="shared" ref="B16:U17" si="12">(0)</f>
        <v>0</v>
      </c>
      <c r="C16" s="76">
        <f t="shared" si="12"/>
        <v>0</v>
      </c>
      <c r="D16" s="76">
        <f t="shared" si="12"/>
        <v>0</v>
      </c>
      <c r="E16" s="76">
        <f t="shared" si="12"/>
        <v>0</v>
      </c>
      <c r="F16" s="76">
        <f t="shared" si="12"/>
        <v>0</v>
      </c>
      <c r="G16" s="76">
        <f t="shared" si="12"/>
        <v>0</v>
      </c>
      <c r="H16" s="76">
        <f t="shared" si="12"/>
        <v>0</v>
      </c>
      <c r="I16" s="76">
        <f t="shared" si="12"/>
        <v>0</v>
      </c>
      <c r="J16" s="76">
        <f t="shared" si="12"/>
        <v>0</v>
      </c>
      <c r="K16" s="76">
        <f t="shared" si="12"/>
        <v>0</v>
      </c>
      <c r="L16" s="69">
        <f t="shared" si="12"/>
        <v>0</v>
      </c>
      <c r="M16" s="69">
        <f t="shared" si="12"/>
        <v>0</v>
      </c>
      <c r="N16" s="69">
        <f t="shared" si="12"/>
        <v>0</v>
      </c>
      <c r="O16" s="69">
        <f t="shared" si="12"/>
        <v>0</v>
      </c>
      <c r="P16" s="76">
        <f t="shared" si="12"/>
        <v>0</v>
      </c>
      <c r="Q16" s="76">
        <f t="shared" si="12"/>
        <v>0</v>
      </c>
      <c r="R16" s="76">
        <f t="shared" si="12"/>
        <v>0</v>
      </c>
      <c r="S16" s="76">
        <f t="shared" si="12"/>
        <v>0</v>
      </c>
      <c r="T16" s="76">
        <f t="shared" si="12"/>
        <v>0</v>
      </c>
      <c r="U16" s="76">
        <f t="shared" si="12"/>
        <v>0</v>
      </c>
      <c r="V16" s="76">
        <f t="shared" ref="V16:AJ16" si="13">V15-V14</f>
        <v>18.75</v>
      </c>
      <c r="W16" s="76">
        <f t="shared" si="13"/>
        <v>65.625</v>
      </c>
      <c r="X16" s="76">
        <f t="shared" si="13"/>
        <v>106.25</v>
      </c>
      <c r="Y16" s="76">
        <f t="shared" si="13"/>
        <v>215.625</v>
      </c>
      <c r="Z16" s="66">
        <f t="shared" si="13"/>
        <v>493.75</v>
      </c>
      <c r="AA16" s="66">
        <f t="shared" si="13"/>
        <v>84.375</v>
      </c>
      <c r="AB16" s="66">
        <f t="shared" si="13"/>
        <v>-168.75</v>
      </c>
      <c r="AC16" s="66">
        <f t="shared" si="13"/>
        <v>-290.625</v>
      </c>
      <c r="AD16" s="76">
        <f t="shared" si="13"/>
        <v>-65.625</v>
      </c>
      <c r="AE16" s="76">
        <f t="shared" si="13"/>
        <v>-537.5</v>
      </c>
      <c r="AF16" s="76">
        <f t="shared" si="13"/>
        <v>-421.875</v>
      </c>
      <c r="AG16" s="76">
        <f t="shared" si="13"/>
        <v>159.375</v>
      </c>
      <c r="AH16" s="76">
        <f t="shared" si="13"/>
        <v>-50</v>
      </c>
      <c r="AI16" s="76">
        <f t="shared" si="13"/>
        <v>-809.375</v>
      </c>
      <c r="AJ16" s="76">
        <f t="shared" si="13"/>
        <v>-615.625</v>
      </c>
      <c r="AK16" s="76">
        <f t="shared" ref="AK16:AM16" si="14">(0)</f>
        <v>0</v>
      </c>
      <c r="AL16" s="76">
        <f t="shared" si="14"/>
        <v>0</v>
      </c>
      <c r="AM16" s="76">
        <f t="shared" si="14"/>
        <v>0</v>
      </c>
      <c r="AN16" s="75">
        <f>SUM(V16:AK16)</f>
        <v>-1815.625</v>
      </c>
    </row>
    <row r="17" spans="1:40" x14ac:dyDescent="0.15">
      <c r="A17" s="71" t="s">
        <v>53</v>
      </c>
      <c r="B17" s="76">
        <f t="shared" si="12"/>
        <v>0</v>
      </c>
      <c r="C17" s="77">
        <f t="shared" si="12"/>
        <v>0</v>
      </c>
      <c r="D17" s="77">
        <f t="shared" si="12"/>
        <v>0</v>
      </c>
      <c r="E17" s="77">
        <f t="shared" si="12"/>
        <v>0</v>
      </c>
      <c r="F17" s="77">
        <f t="shared" si="12"/>
        <v>0</v>
      </c>
      <c r="G17" s="77">
        <f t="shared" si="12"/>
        <v>0</v>
      </c>
      <c r="H17" s="77">
        <f t="shared" si="12"/>
        <v>0</v>
      </c>
      <c r="I17" s="77">
        <f t="shared" si="12"/>
        <v>0</v>
      </c>
      <c r="J17" s="77">
        <f t="shared" si="12"/>
        <v>0</v>
      </c>
      <c r="K17" s="77">
        <f t="shared" si="12"/>
        <v>0</v>
      </c>
      <c r="L17" s="68">
        <f t="shared" si="12"/>
        <v>0</v>
      </c>
      <c r="M17" s="69">
        <f t="shared" si="12"/>
        <v>0</v>
      </c>
      <c r="N17" s="69">
        <f t="shared" si="12"/>
        <v>0</v>
      </c>
      <c r="O17" s="69">
        <f t="shared" si="12"/>
        <v>0</v>
      </c>
      <c r="P17" s="76">
        <f t="shared" si="12"/>
        <v>0</v>
      </c>
      <c r="Q17" s="77">
        <f t="shared" si="12"/>
        <v>0</v>
      </c>
      <c r="R17" s="77">
        <f t="shared" si="12"/>
        <v>0</v>
      </c>
      <c r="S17" s="77">
        <f t="shared" si="12"/>
        <v>0</v>
      </c>
      <c r="T17" s="77">
        <f t="shared" si="12"/>
        <v>0</v>
      </c>
      <c r="U17" s="77">
        <f t="shared" si="12"/>
        <v>0</v>
      </c>
      <c r="V17" s="77">
        <f t="shared" ref="V17:AN17" si="15">(0)</f>
        <v>0</v>
      </c>
      <c r="W17" s="77">
        <f t="shared" si="15"/>
        <v>0</v>
      </c>
      <c r="X17" s="77">
        <f t="shared" si="15"/>
        <v>0</v>
      </c>
      <c r="Y17" s="77">
        <f t="shared" si="15"/>
        <v>0</v>
      </c>
      <c r="Z17" s="66">
        <f t="shared" si="15"/>
        <v>0</v>
      </c>
      <c r="AA17" s="66">
        <f t="shared" si="15"/>
        <v>0</v>
      </c>
      <c r="AB17" s="66">
        <f t="shared" si="15"/>
        <v>0</v>
      </c>
      <c r="AC17" s="66">
        <f t="shared" si="15"/>
        <v>0</v>
      </c>
      <c r="AD17" s="76">
        <f t="shared" si="15"/>
        <v>0</v>
      </c>
      <c r="AE17" s="77">
        <f t="shared" si="15"/>
        <v>0</v>
      </c>
      <c r="AF17" s="77">
        <f t="shared" si="15"/>
        <v>0</v>
      </c>
      <c r="AG17" s="77">
        <f t="shared" si="15"/>
        <v>0</v>
      </c>
      <c r="AH17" s="77">
        <f t="shared" si="15"/>
        <v>0</v>
      </c>
      <c r="AI17" s="77">
        <f t="shared" si="15"/>
        <v>0</v>
      </c>
      <c r="AJ17" s="77">
        <v>0</v>
      </c>
      <c r="AK17" s="77">
        <v>0</v>
      </c>
      <c r="AL17" s="77">
        <v>0</v>
      </c>
      <c r="AM17" s="77">
        <v>0</v>
      </c>
      <c r="AN17" s="75"/>
    </row>
    <row r="18" spans="1:40" x14ac:dyDescent="0.15">
      <c r="A18" s="78" t="s">
        <v>54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68">
        <v>0</v>
      </c>
      <c r="M18" s="69">
        <v>0</v>
      </c>
      <c r="N18" s="69">
        <v>0</v>
      </c>
      <c r="O18" s="6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f t="shared" ref="X18:AD18" si="16">(($W$35-W31)*0.1686)/52</f>
        <v>111.45432692307692</v>
      </c>
      <c r="Y18" s="79">
        <f t="shared" si="16"/>
        <v>111.09295770155326</v>
      </c>
      <c r="Z18" s="66">
        <f t="shared" si="16"/>
        <v>110.73276015023632</v>
      </c>
      <c r="AA18" s="66">
        <f t="shared" si="16"/>
        <v>110.37373047021073</v>
      </c>
      <c r="AB18" s="66">
        <f t="shared" si="16"/>
        <v>110.01586487487847</v>
      </c>
      <c r="AC18" s="66">
        <f t="shared" si="16"/>
        <v>109.65915958991876</v>
      </c>
      <c r="AD18" s="79">
        <f t="shared" si="16"/>
        <v>109.30361085324837</v>
      </c>
      <c r="AE18" s="79">
        <f t="shared" ref="AE18:AI18" si="17">(($W$35+$AD$35-AD31)*0.1686)/52</f>
        <v>175.82181106882805</v>
      </c>
      <c r="AF18" s="79">
        <f t="shared" si="17"/>
        <v>175.25174265832408</v>
      </c>
      <c r="AG18" s="79">
        <f t="shared" si="17"/>
        <v>174.6835225850127</v>
      </c>
      <c r="AH18" s="79">
        <f t="shared" si="17"/>
        <v>174.1171448560159</v>
      </c>
      <c r="AI18" s="79">
        <f t="shared" si="17"/>
        <v>173.55260349788659</v>
      </c>
      <c r="AJ18" s="77">
        <v>0</v>
      </c>
      <c r="AK18" s="77">
        <v>0</v>
      </c>
      <c r="AL18" s="77">
        <v>0</v>
      </c>
      <c r="AM18" s="77">
        <v>0</v>
      </c>
      <c r="AN18" s="80">
        <f t="shared" ref="AN18:AN21" si="18">SUM(B18:AM18)</f>
        <v>1646.0592352291901</v>
      </c>
    </row>
    <row r="19" spans="1:40" x14ac:dyDescent="0.15">
      <c r="A19" s="71" t="s">
        <v>55</v>
      </c>
      <c r="B19" s="76">
        <v>632.70000000000005</v>
      </c>
      <c r="C19" s="77">
        <v>632.70000000000005</v>
      </c>
      <c r="D19" s="77">
        <v>632.70000000000005</v>
      </c>
      <c r="E19" s="77">
        <v>632.70000000000005</v>
      </c>
      <c r="F19" s="77">
        <v>632.70000000000005</v>
      </c>
      <c r="G19" s="77">
        <v>632.70000000000005</v>
      </c>
      <c r="H19" s="77">
        <v>632.70000000000005</v>
      </c>
      <c r="I19" s="77">
        <v>632.70000000000005</v>
      </c>
      <c r="J19" s="77">
        <v>632.70000000000005</v>
      </c>
      <c r="K19" s="77">
        <v>632.70000000000005</v>
      </c>
      <c r="L19" s="68">
        <v>632.70000000000005</v>
      </c>
      <c r="M19" s="69">
        <v>632.70000000000005</v>
      </c>
      <c r="N19" s="69">
        <v>632.70000000000005</v>
      </c>
      <c r="O19" s="69">
        <v>632.70000000000005</v>
      </c>
      <c r="P19" s="76">
        <v>632.70000000000005</v>
      </c>
      <c r="Q19" s="77">
        <v>632.70000000000005</v>
      </c>
      <c r="R19" s="77">
        <v>632.70000000000005</v>
      </c>
      <c r="S19" s="77">
        <v>632.70000000000005</v>
      </c>
      <c r="T19" s="77">
        <v>632.70000000000005</v>
      </c>
      <c r="U19" s="77">
        <v>632.70000000000005</v>
      </c>
      <c r="V19" s="77">
        <v>632.70000000000005</v>
      </c>
      <c r="W19" s="77">
        <v>632.70000000000005</v>
      </c>
      <c r="X19" s="77">
        <v>632.70000000000005</v>
      </c>
      <c r="Y19" s="77">
        <v>632.70000000000005</v>
      </c>
      <c r="Z19" s="66">
        <v>632.70000000000005</v>
      </c>
      <c r="AA19" s="66">
        <v>632.70000000000005</v>
      </c>
      <c r="AB19" s="66">
        <v>632.70000000000005</v>
      </c>
      <c r="AC19" s="66">
        <v>632.70000000000005</v>
      </c>
      <c r="AD19" s="76">
        <v>632.70000000000005</v>
      </c>
      <c r="AE19" s="77">
        <v>632.70000000000005</v>
      </c>
      <c r="AF19" s="77">
        <v>632.70000000000005</v>
      </c>
      <c r="AG19" s="77">
        <v>632.70000000000005</v>
      </c>
      <c r="AH19" s="77">
        <v>632.70000000000005</v>
      </c>
      <c r="AI19" s="77">
        <f>632.7*5</f>
        <v>3163.5</v>
      </c>
      <c r="AJ19" s="77">
        <v>0</v>
      </c>
      <c r="AK19" s="77">
        <v>0</v>
      </c>
      <c r="AL19" s="77">
        <v>0</v>
      </c>
      <c r="AM19" s="77">
        <v>0</v>
      </c>
      <c r="AN19" s="75">
        <f t="shared" si="18"/>
        <v>24042.600000000013</v>
      </c>
    </row>
    <row r="20" spans="1:40" x14ac:dyDescent="0.15">
      <c r="A20" s="71" t="s">
        <v>7</v>
      </c>
      <c r="B20" s="76">
        <v>50</v>
      </c>
      <c r="C20" s="76">
        <v>50</v>
      </c>
      <c r="D20" s="76">
        <v>50</v>
      </c>
      <c r="E20" s="76">
        <v>50</v>
      </c>
      <c r="F20" s="76">
        <v>50</v>
      </c>
      <c r="G20" s="76">
        <v>50</v>
      </c>
      <c r="H20" s="76">
        <v>50</v>
      </c>
      <c r="I20" s="76">
        <v>50</v>
      </c>
      <c r="J20" s="76">
        <v>50</v>
      </c>
      <c r="K20" s="76">
        <v>50</v>
      </c>
      <c r="L20" s="66">
        <v>50</v>
      </c>
      <c r="M20" s="66">
        <v>50</v>
      </c>
      <c r="N20" s="66">
        <v>50</v>
      </c>
      <c r="O20" s="66">
        <v>50</v>
      </c>
      <c r="P20" s="76">
        <v>50</v>
      </c>
      <c r="Q20" s="76">
        <v>50</v>
      </c>
      <c r="R20" s="76">
        <v>50</v>
      </c>
      <c r="S20" s="76">
        <v>50</v>
      </c>
      <c r="T20" s="76">
        <v>50</v>
      </c>
      <c r="U20" s="76">
        <v>50</v>
      </c>
      <c r="V20" s="76">
        <v>50</v>
      </c>
      <c r="W20" s="76">
        <v>50</v>
      </c>
      <c r="X20" s="76">
        <v>50</v>
      </c>
      <c r="Y20" s="76">
        <v>50</v>
      </c>
      <c r="Z20" s="68">
        <v>50</v>
      </c>
      <c r="AA20" s="68">
        <v>50</v>
      </c>
      <c r="AB20" s="68">
        <v>50</v>
      </c>
      <c r="AC20" s="68">
        <v>50</v>
      </c>
      <c r="AD20" s="76">
        <v>50</v>
      </c>
      <c r="AE20" s="76">
        <v>50</v>
      </c>
      <c r="AF20" s="76">
        <v>50</v>
      </c>
      <c r="AG20" s="76">
        <v>50</v>
      </c>
      <c r="AH20" s="76">
        <v>50</v>
      </c>
      <c r="AI20" s="76">
        <f>50*5</f>
        <v>250</v>
      </c>
      <c r="AJ20" s="76">
        <v>0</v>
      </c>
      <c r="AK20" s="76">
        <v>0</v>
      </c>
      <c r="AL20" s="76">
        <v>0</v>
      </c>
      <c r="AM20" s="76">
        <v>0</v>
      </c>
      <c r="AN20" s="75">
        <f t="shared" si="18"/>
        <v>1900</v>
      </c>
    </row>
    <row r="21" spans="1:40" x14ac:dyDescent="0.15">
      <c r="A21" s="78" t="s">
        <v>6</v>
      </c>
      <c r="B21" s="76">
        <v>100</v>
      </c>
      <c r="C21" s="76">
        <v>100</v>
      </c>
      <c r="D21" s="76">
        <v>100</v>
      </c>
      <c r="E21" s="76">
        <v>100</v>
      </c>
      <c r="F21" s="76">
        <v>100</v>
      </c>
      <c r="G21" s="76">
        <v>100</v>
      </c>
      <c r="H21" s="76">
        <v>100</v>
      </c>
      <c r="I21" s="76">
        <v>100</v>
      </c>
      <c r="J21" s="76">
        <v>100</v>
      </c>
      <c r="K21" s="76">
        <v>100</v>
      </c>
      <c r="L21" s="66">
        <v>100</v>
      </c>
      <c r="M21" s="66">
        <v>100</v>
      </c>
      <c r="N21" s="66">
        <v>100</v>
      </c>
      <c r="O21" s="66">
        <v>100</v>
      </c>
      <c r="P21" s="76">
        <v>100</v>
      </c>
      <c r="Q21" s="76">
        <v>100</v>
      </c>
      <c r="R21" s="76">
        <v>100</v>
      </c>
      <c r="S21" s="76">
        <v>100</v>
      </c>
      <c r="T21" s="76">
        <v>100</v>
      </c>
      <c r="U21" s="76">
        <v>100</v>
      </c>
      <c r="V21" s="76">
        <v>100</v>
      </c>
      <c r="W21" s="76">
        <v>100</v>
      </c>
      <c r="X21" s="76">
        <v>100</v>
      </c>
      <c r="Y21" s="76">
        <v>100</v>
      </c>
      <c r="Z21" s="68">
        <v>100</v>
      </c>
      <c r="AA21" s="68">
        <v>100</v>
      </c>
      <c r="AB21" s="68">
        <v>100</v>
      </c>
      <c r="AC21" s="68">
        <v>100</v>
      </c>
      <c r="AD21" s="76">
        <v>100</v>
      </c>
      <c r="AE21" s="76">
        <v>100</v>
      </c>
      <c r="AF21" s="76">
        <v>100</v>
      </c>
      <c r="AG21" s="76">
        <v>100</v>
      </c>
      <c r="AH21" s="76">
        <v>100</v>
      </c>
      <c r="AI21" s="76">
        <f>100*5</f>
        <v>500</v>
      </c>
      <c r="AJ21" s="76">
        <v>0</v>
      </c>
      <c r="AK21" s="76">
        <v>0</v>
      </c>
      <c r="AL21" s="76">
        <v>0</v>
      </c>
      <c r="AM21" s="76">
        <v>0</v>
      </c>
      <c r="AN21" s="75">
        <f t="shared" si="18"/>
        <v>3800</v>
      </c>
    </row>
    <row r="22" spans="1:40" ht="14" thickBot="1" x14ac:dyDescent="0.2">
      <c r="A22" s="81" t="s">
        <v>56</v>
      </c>
      <c r="B22" s="77">
        <f t="shared" ref="B22:V22" si="19">(0)</f>
        <v>0</v>
      </c>
      <c r="C22" s="76">
        <f t="shared" si="19"/>
        <v>0</v>
      </c>
      <c r="D22" s="76">
        <f t="shared" si="19"/>
        <v>0</v>
      </c>
      <c r="E22" s="76">
        <f t="shared" si="19"/>
        <v>0</v>
      </c>
      <c r="F22" s="76">
        <f t="shared" si="19"/>
        <v>0</v>
      </c>
      <c r="G22" s="76">
        <f t="shared" si="19"/>
        <v>0</v>
      </c>
      <c r="H22" s="76">
        <f t="shared" si="19"/>
        <v>0</v>
      </c>
      <c r="I22" s="76">
        <f t="shared" si="19"/>
        <v>0</v>
      </c>
      <c r="J22" s="76">
        <f t="shared" si="19"/>
        <v>0</v>
      </c>
      <c r="K22" s="76">
        <f t="shared" si="19"/>
        <v>0</v>
      </c>
      <c r="L22" s="67">
        <f t="shared" si="19"/>
        <v>0</v>
      </c>
      <c r="M22" s="67">
        <f t="shared" si="19"/>
        <v>0</v>
      </c>
      <c r="N22" s="67">
        <f t="shared" si="19"/>
        <v>0</v>
      </c>
      <c r="O22" s="67">
        <f t="shared" si="19"/>
        <v>0</v>
      </c>
      <c r="P22" s="77">
        <f t="shared" si="19"/>
        <v>0</v>
      </c>
      <c r="Q22" s="76">
        <f t="shared" si="19"/>
        <v>0</v>
      </c>
      <c r="R22" s="76">
        <f t="shared" si="19"/>
        <v>0</v>
      </c>
      <c r="S22" s="76">
        <f t="shared" si="19"/>
        <v>0</v>
      </c>
      <c r="T22" s="76">
        <f t="shared" si="19"/>
        <v>0</v>
      </c>
      <c r="U22" s="76">
        <f t="shared" si="19"/>
        <v>0</v>
      </c>
      <c r="V22" s="76">
        <f t="shared" si="19"/>
        <v>0</v>
      </c>
      <c r="W22" s="82">
        <f>AN22*0.25</f>
        <v>179.6</v>
      </c>
      <c r="X22" s="83">
        <f t="shared" ref="X22:AD22" si="20">(0)</f>
        <v>0</v>
      </c>
      <c r="Y22" s="83">
        <f t="shared" si="20"/>
        <v>0</v>
      </c>
      <c r="Z22" s="84">
        <f t="shared" si="20"/>
        <v>0</v>
      </c>
      <c r="AA22" s="84">
        <f t="shared" si="20"/>
        <v>0</v>
      </c>
      <c r="AB22" s="84">
        <f t="shared" si="20"/>
        <v>0</v>
      </c>
      <c r="AC22" s="84">
        <f t="shared" si="20"/>
        <v>0</v>
      </c>
      <c r="AD22" s="79">
        <f t="shared" si="20"/>
        <v>0</v>
      </c>
      <c r="AE22" s="82">
        <f>AN22*0.5</f>
        <v>359.2</v>
      </c>
      <c r="AF22" s="82">
        <f>AN22*0.25</f>
        <v>179.6</v>
      </c>
      <c r="AG22" s="76">
        <f t="shared" ref="AG22:AI22" si="21">(0)</f>
        <v>0</v>
      </c>
      <c r="AH22" s="76">
        <f t="shared" si="21"/>
        <v>0</v>
      </c>
      <c r="AI22" s="76">
        <f t="shared" si="21"/>
        <v>0</v>
      </c>
      <c r="AJ22" s="76">
        <v>0</v>
      </c>
      <c r="AK22" s="76">
        <v>0</v>
      </c>
      <c r="AL22" s="76">
        <v>0</v>
      </c>
      <c r="AM22" s="76">
        <v>0</v>
      </c>
      <c r="AN22" s="80">
        <f>718.4</f>
        <v>718.4</v>
      </c>
    </row>
    <row r="23" spans="1:40" x14ac:dyDescent="0.15">
      <c r="A23" s="85" t="s">
        <v>57</v>
      </c>
      <c r="B23" s="86">
        <f>0+B19</f>
        <v>632.70000000000005</v>
      </c>
      <c r="C23" s="86">
        <f t="shared" ref="C23:AM23" si="22">IF(B24, C19, B23+C19)</f>
        <v>1265.4000000000001</v>
      </c>
      <c r="D23" s="86">
        <f t="shared" si="22"/>
        <v>1898.1000000000001</v>
      </c>
      <c r="E23" s="86">
        <f t="shared" si="22"/>
        <v>2530.8000000000002</v>
      </c>
      <c r="F23" s="86">
        <f t="shared" si="22"/>
        <v>632.70000000000005</v>
      </c>
      <c r="G23" s="86">
        <f t="shared" si="22"/>
        <v>1265.4000000000001</v>
      </c>
      <c r="H23" s="86">
        <f t="shared" si="22"/>
        <v>1898.1000000000001</v>
      </c>
      <c r="I23" s="86">
        <f t="shared" si="22"/>
        <v>632.70000000000005</v>
      </c>
      <c r="J23" s="86">
        <f t="shared" si="22"/>
        <v>1265.4000000000001</v>
      </c>
      <c r="K23" s="86">
        <f t="shared" si="22"/>
        <v>1898.1000000000001</v>
      </c>
      <c r="L23" s="86">
        <f t="shared" si="22"/>
        <v>632.70000000000005</v>
      </c>
      <c r="M23" s="86">
        <f t="shared" si="22"/>
        <v>1265.4000000000001</v>
      </c>
      <c r="N23" s="86">
        <f t="shared" si="22"/>
        <v>1898.1000000000001</v>
      </c>
      <c r="O23" s="86">
        <f t="shared" si="22"/>
        <v>2530.8000000000002</v>
      </c>
      <c r="P23" s="86">
        <f t="shared" si="22"/>
        <v>3163.5</v>
      </c>
      <c r="Q23" s="86">
        <f t="shared" si="22"/>
        <v>3796.2</v>
      </c>
      <c r="R23" s="86">
        <f t="shared" si="22"/>
        <v>4428.8999999999996</v>
      </c>
      <c r="S23" s="86">
        <f t="shared" si="22"/>
        <v>5061.5999999999995</v>
      </c>
      <c r="T23" s="86">
        <f t="shared" si="22"/>
        <v>632.70000000000005</v>
      </c>
      <c r="U23" s="86">
        <f t="shared" si="22"/>
        <v>1265.4000000000001</v>
      </c>
      <c r="V23" s="86">
        <f t="shared" si="22"/>
        <v>1898.1000000000001</v>
      </c>
      <c r="W23" s="86">
        <f t="shared" si="22"/>
        <v>632.70000000000005</v>
      </c>
      <c r="X23" s="86">
        <f t="shared" si="22"/>
        <v>1265.4000000000001</v>
      </c>
      <c r="Y23" s="86">
        <f t="shared" si="22"/>
        <v>1898.1000000000001</v>
      </c>
      <c r="Z23" s="86">
        <f t="shared" si="22"/>
        <v>632.70000000000005</v>
      </c>
      <c r="AA23" s="86">
        <f t="shared" si="22"/>
        <v>1265.4000000000001</v>
      </c>
      <c r="AB23" s="86">
        <f t="shared" si="22"/>
        <v>1898.1000000000001</v>
      </c>
      <c r="AC23" s="86">
        <f t="shared" si="22"/>
        <v>2530.8000000000002</v>
      </c>
      <c r="AD23" s="86">
        <f t="shared" si="22"/>
        <v>3163.5</v>
      </c>
      <c r="AE23" s="86">
        <f t="shared" si="22"/>
        <v>3796.2</v>
      </c>
      <c r="AF23" s="86">
        <f t="shared" si="22"/>
        <v>4428.8999999999996</v>
      </c>
      <c r="AG23" s="86">
        <f t="shared" si="22"/>
        <v>5061.5999999999995</v>
      </c>
      <c r="AH23" s="86">
        <f t="shared" si="22"/>
        <v>632.70000000000005</v>
      </c>
      <c r="AI23" s="86">
        <f t="shared" si="22"/>
        <v>3796.2</v>
      </c>
      <c r="AJ23" s="86">
        <f t="shared" si="22"/>
        <v>0</v>
      </c>
      <c r="AK23" s="86">
        <f t="shared" si="22"/>
        <v>0</v>
      </c>
      <c r="AL23" s="86">
        <f t="shared" si="22"/>
        <v>0</v>
      </c>
      <c r="AM23" s="86">
        <f t="shared" si="22"/>
        <v>0</v>
      </c>
      <c r="AN23" s="87"/>
    </row>
    <row r="24" spans="1:40" x14ac:dyDescent="0.15">
      <c r="A24" s="71" t="s">
        <v>58</v>
      </c>
      <c r="B24" s="88"/>
      <c r="C24" s="88"/>
      <c r="D24" s="88"/>
      <c r="E24" s="89" t="b">
        <v>1</v>
      </c>
      <c r="F24" s="88"/>
      <c r="G24" s="88"/>
      <c r="H24" s="89" t="b">
        <v>1</v>
      </c>
      <c r="I24" s="88"/>
      <c r="J24" s="88"/>
      <c r="K24" s="89" t="b">
        <v>1</v>
      </c>
      <c r="L24" s="88"/>
      <c r="M24" s="88"/>
      <c r="N24" s="88"/>
      <c r="O24" s="88"/>
      <c r="P24" s="88"/>
      <c r="Q24" s="88"/>
      <c r="R24" s="88"/>
      <c r="S24" s="89" t="b">
        <v>1</v>
      </c>
      <c r="T24" s="88"/>
      <c r="U24" s="88"/>
      <c r="V24" s="89" t="b">
        <v>1</v>
      </c>
      <c r="W24" s="88"/>
      <c r="X24" s="88"/>
      <c r="Y24" s="89" t="b">
        <v>1</v>
      </c>
      <c r="Z24" s="88"/>
      <c r="AA24" s="88"/>
      <c r="AB24" s="88"/>
      <c r="AC24" s="88"/>
      <c r="AD24" s="88"/>
      <c r="AE24" s="88"/>
      <c r="AF24" s="88"/>
      <c r="AG24" s="89" t="b">
        <v>1</v>
      </c>
      <c r="AH24" s="88"/>
      <c r="AI24" s="89" t="b">
        <v>1</v>
      </c>
      <c r="AJ24" s="88"/>
      <c r="AK24" s="88"/>
      <c r="AL24" s="88"/>
      <c r="AM24" s="88"/>
      <c r="AN24" s="33"/>
    </row>
    <row r="25" spans="1:40" x14ac:dyDescent="0.15">
      <c r="A25" s="71" t="s">
        <v>59</v>
      </c>
      <c r="B25" s="90">
        <f>0+B20</f>
        <v>50</v>
      </c>
      <c r="C25" s="90">
        <f t="shared" ref="C25:AM25" si="23">IF(B26, C20, B25+C20)</f>
        <v>100</v>
      </c>
      <c r="D25" s="90">
        <f t="shared" si="23"/>
        <v>150</v>
      </c>
      <c r="E25" s="90">
        <f t="shared" si="23"/>
        <v>200</v>
      </c>
      <c r="F25" s="90">
        <f t="shared" si="23"/>
        <v>250</v>
      </c>
      <c r="G25" s="90">
        <f t="shared" si="23"/>
        <v>300</v>
      </c>
      <c r="H25" s="90">
        <f t="shared" si="23"/>
        <v>50</v>
      </c>
      <c r="I25" s="90">
        <f t="shared" si="23"/>
        <v>100</v>
      </c>
      <c r="J25" s="90">
        <f t="shared" si="23"/>
        <v>150</v>
      </c>
      <c r="K25" s="90">
        <f t="shared" si="23"/>
        <v>200</v>
      </c>
      <c r="L25" s="90">
        <f t="shared" si="23"/>
        <v>50</v>
      </c>
      <c r="M25" s="90">
        <f t="shared" si="23"/>
        <v>100</v>
      </c>
      <c r="N25" s="90">
        <f t="shared" si="23"/>
        <v>150</v>
      </c>
      <c r="O25" s="90">
        <f t="shared" si="23"/>
        <v>200</v>
      </c>
      <c r="P25" s="90">
        <f t="shared" si="23"/>
        <v>250</v>
      </c>
      <c r="Q25" s="90">
        <f t="shared" si="23"/>
        <v>300</v>
      </c>
      <c r="R25" s="90">
        <f t="shared" si="23"/>
        <v>350</v>
      </c>
      <c r="S25" s="90">
        <f t="shared" si="23"/>
        <v>400</v>
      </c>
      <c r="T25" s="90">
        <f t="shared" si="23"/>
        <v>450</v>
      </c>
      <c r="U25" s="90">
        <f t="shared" si="23"/>
        <v>500</v>
      </c>
      <c r="V25" s="90">
        <f t="shared" si="23"/>
        <v>50</v>
      </c>
      <c r="W25" s="90">
        <f t="shared" si="23"/>
        <v>100</v>
      </c>
      <c r="X25" s="90">
        <f t="shared" si="23"/>
        <v>150</v>
      </c>
      <c r="Y25" s="90">
        <f t="shared" si="23"/>
        <v>200</v>
      </c>
      <c r="Z25" s="90">
        <f t="shared" si="23"/>
        <v>50</v>
      </c>
      <c r="AA25" s="90">
        <f t="shared" si="23"/>
        <v>100</v>
      </c>
      <c r="AB25" s="90">
        <f t="shared" si="23"/>
        <v>150</v>
      </c>
      <c r="AC25" s="90">
        <f t="shared" si="23"/>
        <v>200</v>
      </c>
      <c r="AD25" s="90">
        <f t="shared" si="23"/>
        <v>250</v>
      </c>
      <c r="AE25" s="90">
        <f t="shared" si="23"/>
        <v>300</v>
      </c>
      <c r="AF25" s="90">
        <f t="shared" si="23"/>
        <v>350</v>
      </c>
      <c r="AG25" s="90">
        <f t="shared" si="23"/>
        <v>400</v>
      </c>
      <c r="AH25" s="90">
        <f t="shared" si="23"/>
        <v>450</v>
      </c>
      <c r="AI25" s="90">
        <f t="shared" si="23"/>
        <v>700</v>
      </c>
      <c r="AJ25" s="90">
        <f t="shared" si="23"/>
        <v>0</v>
      </c>
      <c r="AK25" s="90">
        <f t="shared" si="23"/>
        <v>0</v>
      </c>
      <c r="AL25" s="90">
        <f t="shared" si="23"/>
        <v>0</v>
      </c>
      <c r="AM25" s="90">
        <f t="shared" si="23"/>
        <v>0</v>
      </c>
      <c r="AN25" s="33"/>
    </row>
    <row r="26" spans="1:40" x14ac:dyDescent="0.15">
      <c r="A26" s="71" t="s">
        <v>60</v>
      </c>
      <c r="B26" s="88"/>
      <c r="C26" s="88"/>
      <c r="D26" s="88"/>
      <c r="E26" s="88"/>
      <c r="F26" s="88"/>
      <c r="G26" s="89" t="b">
        <v>1</v>
      </c>
      <c r="H26" s="88"/>
      <c r="I26" s="88"/>
      <c r="J26" s="88"/>
      <c r="K26" s="89" t="b">
        <v>1</v>
      </c>
      <c r="L26" s="88"/>
      <c r="M26" s="88"/>
      <c r="N26" s="88"/>
      <c r="O26" s="88"/>
      <c r="P26" s="88"/>
      <c r="Q26" s="88"/>
      <c r="R26" s="88"/>
      <c r="S26" s="88"/>
      <c r="T26" s="88"/>
      <c r="U26" s="89" t="b">
        <v>1</v>
      </c>
      <c r="V26" s="88"/>
      <c r="W26" s="88"/>
      <c r="X26" s="88"/>
      <c r="Y26" s="89" t="b">
        <v>1</v>
      </c>
      <c r="Z26" s="88"/>
      <c r="AA26" s="88"/>
      <c r="AB26" s="88"/>
      <c r="AC26" s="88"/>
      <c r="AD26" s="88"/>
      <c r="AE26" s="88"/>
      <c r="AF26" s="88"/>
      <c r="AG26" s="88"/>
      <c r="AH26" s="88"/>
      <c r="AI26" s="89" t="b">
        <v>1</v>
      </c>
      <c r="AJ26" s="88"/>
      <c r="AK26" s="88"/>
      <c r="AL26" s="88"/>
      <c r="AM26" s="88"/>
      <c r="AN26" s="33"/>
    </row>
    <row r="27" spans="1:40" x14ac:dyDescent="0.15">
      <c r="A27" s="71" t="s">
        <v>61</v>
      </c>
      <c r="B27" s="90">
        <f>0+B21</f>
        <v>100</v>
      </c>
      <c r="C27" s="90">
        <f t="shared" ref="C27:AI27" si="24">IF(B28, C21, B27+C21)</f>
        <v>200</v>
      </c>
      <c r="D27" s="90">
        <f t="shared" si="24"/>
        <v>300</v>
      </c>
      <c r="E27" s="90">
        <f t="shared" si="24"/>
        <v>400</v>
      </c>
      <c r="F27" s="90">
        <f t="shared" si="24"/>
        <v>500</v>
      </c>
      <c r="G27" s="90">
        <f t="shared" si="24"/>
        <v>600</v>
      </c>
      <c r="H27" s="90">
        <f t="shared" si="24"/>
        <v>100</v>
      </c>
      <c r="I27" s="90">
        <f t="shared" si="24"/>
        <v>200</v>
      </c>
      <c r="J27" s="90">
        <f t="shared" si="24"/>
        <v>300</v>
      </c>
      <c r="K27" s="90">
        <f t="shared" si="24"/>
        <v>400</v>
      </c>
      <c r="L27" s="90">
        <f t="shared" si="24"/>
        <v>100</v>
      </c>
      <c r="M27" s="90">
        <f t="shared" si="24"/>
        <v>200</v>
      </c>
      <c r="N27" s="90">
        <f t="shared" si="24"/>
        <v>300</v>
      </c>
      <c r="O27" s="90">
        <f t="shared" si="24"/>
        <v>400</v>
      </c>
      <c r="P27" s="90">
        <f t="shared" si="24"/>
        <v>500</v>
      </c>
      <c r="Q27" s="90">
        <f t="shared" si="24"/>
        <v>600</v>
      </c>
      <c r="R27" s="90">
        <f t="shared" si="24"/>
        <v>700</v>
      </c>
      <c r="S27" s="90">
        <f t="shared" si="24"/>
        <v>800</v>
      </c>
      <c r="T27" s="90">
        <f t="shared" si="24"/>
        <v>900</v>
      </c>
      <c r="U27" s="90">
        <f t="shared" si="24"/>
        <v>1000</v>
      </c>
      <c r="V27" s="90">
        <f t="shared" si="24"/>
        <v>100</v>
      </c>
      <c r="W27" s="90">
        <f t="shared" si="24"/>
        <v>200</v>
      </c>
      <c r="X27" s="90">
        <f t="shared" si="24"/>
        <v>300</v>
      </c>
      <c r="Y27" s="90">
        <f t="shared" si="24"/>
        <v>400</v>
      </c>
      <c r="Z27" s="90">
        <f t="shared" si="24"/>
        <v>100</v>
      </c>
      <c r="AA27" s="90">
        <f t="shared" si="24"/>
        <v>200</v>
      </c>
      <c r="AB27" s="90">
        <f t="shared" si="24"/>
        <v>300</v>
      </c>
      <c r="AC27" s="90">
        <f t="shared" si="24"/>
        <v>400</v>
      </c>
      <c r="AD27" s="90">
        <f t="shared" si="24"/>
        <v>500</v>
      </c>
      <c r="AE27" s="90">
        <f t="shared" si="24"/>
        <v>600</v>
      </c>
      <c r="AF27" s="90">
        <f t="shared" si="24"/>
        <v>700</v>
      </c>
      <c r="AG27" s="90">
        <f t="shared" si="24"/>
        <v>800</v>
      </c>
      <c r="AH27" s="90">
        <f t="shared" si="24"/>
        <v>900</v>
      </c>
      <c r="AI27" s="90">
        <f t="shared" si="24"/>
        <v>1400</v>
      </c>
      <c r="AJ27" s="90">
        <f t="shared" ref="AJ27:AM27" si="25">IF(AI28, AJ22, AI27+AJ22)</f>
        <v>0</v>
      </c>
      <c r="AK27" s="90">
        <f t="shared" si="25"/>
        <v>0</v>
      </c>
      <c r="AL27" s="90">
        <f t="shared" si="25"/>
        <v>0</v>
      </c>
      <c r="AM27" s="90">
        <f t="shared" si="25"/>
        <v>0</v>
      </c>
      <c r="AN27" s="33"/>
    </row>
    <row r="28" spans="1:40" x14ac:dyDescent="0.15">
      <c r="A28" s="71" t="s">
        <v>62</v>
      </c>
      <c r="B28" s="88"/>
      <c r="C28" s="88"/>
      <c r="D28" s="88"/>
      <c r="E28" s="88"/>
      <c r="F28" s="88"/>
      <c r="G28" s="89" t="b">
        <v>1</v>
      </c>
      <c r="H28" s="88"/>
      <c r="I28" s="88"/>
      <c r="J28" s="88"/>
      <c r="K28" s="89" t="b">
        <v>1</v>
      </c>
      <c r="L28" s="88"/>
      <c r="M28" s="88"/>
      <c r="N28" s="88"/>
      <c r="O28" s="88"/>
      <c r="P28" s="88"/>
      <c r="Q28" s="88"/>
      <c r="R28" s="88"/>
      <c r="S28" s="88"/>
      <c r="T28" s="88"/>
      <c r="U28" s="89" t="b">
        <v>1</v>
      </c>
      <c r="V28" s="88"/>
      <c r="W28" s="88"/>
      <c r="X28" s="88"/>
      <c r="Y28" s="89" t="b">
        <v>1</v>
      </c>
      <c r="Z28" s="88"/>
      <c r="AA28" s="88"/>
      <c r="AB28" s="88"/>
      <c r="AC28" s="88"/>
      <c r="AD28" s="88"/>
      <c r="AE28" s="88"/>
      <c r="AF28" s="88"/>
      <c r="AG28" s="88"/>
      <c r="AH28" s="88"/>
      <c r="AI28" s="89" t="b">
        <v>1</v>
      </c>
      <c r="AJ28" s="88"/>
      <c r="AK28" s="88"/>
      <c r="AL28" s="88"/>
      <c r="AM28" s="88"/>
      <c r="AN28" s="33"/>
    </row>
    <row r="29" spans="1:40" x14ac:dyDescent="0.15">
      <c r="A29" s="71" t="s">
        <v>63</v>
      </c>
      <c r="B29" s="90">
        <f>0+B22</f>
        <v>0</v>
      </c>
      <c r="C29" s="90">
        <f t="shared" ref="C29:AM29" si="26">IF(B30, C22, B29+C22)</f>
        <v>0</v>
      </c>
      <c r="D29" s="90">
        <f t="shared" si="26"/>
        <v>0</v>
      </c>
      <c r="E29" s="90">
        <f t="shared" si="26"/>
        <v>0</v>
      </c>
      <c r="F29" s="90">
        <f t="shared" si="26"/>
        <v>0</v>
      </c>
      <c r="G29" s="90">
        <f t="shared" si="26"/>
        <v>0</v>
      </c>
      <c r="H29" s="90">
        <f t="shared" si="26"/>
        <v>0</v>
      </c>
      <c r="I29" s="90">
        <f t="shared" si="26"/>
        <v>0</v>
      </c>
      <c r="J29" s="90">
        <f t="shared" si="26"/>
        <v>0</v>
      </c>
      <c r="K29" s="90">
        <f t="shared" si="26"/>
        <v>0</v>
      </c>
      <c r="L29" s="90">
        <f t="shared" si="26"/>
        <v>0</v>
      </c>
      <c r="M29" s="90">
        <f t="shared" si="26"/>
        <v>0</v>
      </c>
      <c r="N29" s="90">
        <f t="shared" si="26"/>
        <v>0</v>
      </c>
      <c r="O29" s="90">
        <f t="shared" si="26"/>
        <v>0</v>
      </c>
      <c r="P29" s="90">
        <f t="shared" si="26"/>
        <v>0</v>
      </c>
      <c r="Q29" s="90">
        <f t="shared" si="26"/>
        <v>0</v>
      </c>
      <c r="R29" s="90">
        <f t="shared" si="26"/>
        <v>0</v>
      </c>
      <c r="S29" s="90">
        <f t="shared" si="26"/>
        <v>0</v>
      </c>
      <c r="T29" s="90">
        <f t="shared" si="26"/>
        <v>0</v>
      </c>
      <c r="U29" s="90">
        <f t="shared" si="26"/>
        <v>0</v>
      </c>
      <c r="V29" s="90">
        <f t="shared" si="26"/>
        <v>0</v>
      </c>
      <c r="W29" s="90">
        <f t="shared" si="26"/>
        <v>179.6</v>
      </c>
      <c r="X29" s="90">
        <f t="shared" si="26"/>
        <v>0</v>
      </c>
      <c r="Y29" s="90">
        <f t="shared" si="26"/>
        <v>0</v>
      </c>
      <c r="Z29" s="90">
        <f t="shared" si="26"/>
        <v>0</v>
      </c>
      <c r="AA29" s="90">
        <f t="shared" si="26"/>
        <v>0</v>
      </c>
      <c r="AB29" s="90">
        <f t="shared" si="26"/>
        <v>0</v>
      </c>
      <c r="AC29" s="90">
        <f t="shared" si="26"/>
        <v>0</v>
      </c>
      <c r="AD29" s="90">
        <f t="shared" si="26"/>
        <v>0</v>
      </c>
      <c r="AE29" s="90">
        <f t="shared" si="26"/>
        <v>359.2</v>
      </c>
      <c r="AF29" s="90">
        <f t="shared" si="26"/>
        <v>179.6</v>
      </c>
      <c r="AG29" s="90">
        <f t="shared" si="26"/>
        <v>0</v>
      </c>
      <c r="AH29" s="90">
        <f t="shared" si="26"/>
        <v>0</v>
      </c>
      <c r="AI29" s="90">
        <f t="shared" si="26"/>
        <v>0</v>
      </c>
      <c r="AJ29" s="90">
        <f t="shared" si="26"/>
        <v>0</v>
      </c>
      <c r="AK29" s="90">
        <f t="shared" si="26"/>
        <v>0</v>
      </c>
      <c r="AL29" s="90">
        <f t="shared" si="26"/>
        <v>0</v>
      </c>
      <c r="AM29" s="90">
        <f t="shared" si="26"/>
        <v>0</v>
      </c>
      <c r="AN29" s="33"/>
    </row>
    <row r="30" spans="1:40" x14ac:dyDescent="0.15">
      <c r="A30" s="78" t="s">
        <v>64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89" t="b">
        <v>1</v>
      </c>
      <c r="X30" s="91"/>
      <c r="Y30" s="91"/>
      <c r="Z30" s="91"/>
      <c r="AA30" s="91"/>
      <c r="AB30" s="91"/>
      <c r="AC30" s="91"/>
      <c r="AD30" s="91"/>
      <c r="AE30" s="91" t="b">
        <v>1</v>
      </c>
      <c r="AF30" s="91" t="b">
        <v>1</v>
      </c>
      <c r="AG30" s="91"/>
      <c r="AH30" s="91"/>
      <c r="AI30" s="91"/>
      <c r="AJ30" s="91"/>
      <c r="AK30" s="91"/>
      <c r="AL30" s="91"/>
      <c r="AM30" s="91"/>
      <c r="AN30" s="33"/>
    </row>
    <row r="31" spans="1:40" ht="14" thickBot="1" x14ac:dyDescent="0.2">
      <c r="A31" s="71" t="s">
        <v>65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f t="shared" ref="V31:AI31" si="27">U31+V18</f>
        <v>0</v>
      </c>
      <c r="W31" s="90">
        <f t="shared" si="27"/>
        <v>0</v>
      </c>
      <c r="X31" s="90">
        <f t="shared" si="27"/>
        <v>111.45432692307692</v>
      </c>
      <c r="Y31" s="90">
        <f t="shared" si="27"/>
        <v>222.54728462463018</v>
      </c>
      <c r="Z31" s="90">
        <f t="shared" si="27"/>
        <v>333.2800447748665</v>
      </c>
      <c r="AA31" s="90">
        <f t="shared" si="27"/>
        <v>443.65377524507721</v>
      </c>
      <c r="AB31" s="90">
        <f t="shared" si="27"/>
        <v>553.66964011995572</v>
      </c>
      <c r="AC31" s="90">
        <f t="shared" si="27"/>
        <v>663.32879970987449</v>
      </c>
      <c r="AD31" s="90">
        <f t="shared" si="27"/>
        <v>772.6324105631229</v>
      </c>
      <c r="AE31" s="90">
        <f t="shared" si="27"/>
        <v>948.45422163195099</v>
      </c>
      <c r="AF31" s="90">
        <f t="shared" si="27"/>
        <v>1123.705964290275</v>
      </c>
      <c r="AG31" s="90">
        <f t="shared" si="27"/>
        <v>1298.3894868752877</v>
      </c>
      <c r="AH31" s="90">
        <f t="shared" si="27"/>
        <v>1472.5066317313035</v>
      </c>
      <c r="AI31" s="90">
        <f t="shared" si="27"/>
        <v>1646.0592352291901</v>
      </c>
      <c r="AJ31" s="90">
        <v>0</v>
      </c>
      <c r="AK31" s="90">
        <v>0</v>
      </c>
      <c r="AL31" s="90">
        <v>0</v>
      </c>
      <c r="AM31" s="90">
        <v>0</v>
      </c>
      <c r="AN31" s="92"/>
    </row>
    <row r="32" spans="1:40" x14ac:dyDescent="0.15">
      <c r="A32" s="93" t="s">
        <v>66</v>
      </c>
      <c r="B32" s="94">
        <f t="shared" ref="B32:AM32" si="28">IF(B24, B23, 0)+IF(B26, B25, 0)+IF(B30, B29, 0)+IF(B28,B27,0)+IF(NOT(B14=0),B14, B15)+B17+B18</f>
        <v>0</v>
      </c>
      <c r="C32" s="94">
        <f t="shared" si="28"/>
        <v>0</v>
      </c>
      <c r="D32" s="94">
        <f t="shared" si="28"/>
        <v>12.5</v>
      </c>
      <c r="E32" s="94">
        <f t="shared" si="28"/>
        <v>2655.8</v>
      </c>
      <c r="F32" s="94">
        <f t="shared" si="28"/>
        <v>143.75</v>
      </c>
      <c r="G32" s="94">
        <f t="shared" si="28"/>
        <v>1156.25</v>
      </c>
      <c r="H32" s="94">
        <f t="shared" si="28"/>
        <v>2063.7250000000004</v>
      </c>
      <c r="I32" s="94">
        <f t="shared" si="28"/>
        <v>309.375</v>
      </c>
      <c r="J32" s="94">
        <f t="shared" si="28"/>
        <v>446.875</v>
      </c>
      <c r="K32" s="94">
        <f t="shared" si="28"/>
        <v>2907.4750000000004</v>
      </c>
      <c r="L32" s="94">
        <f t="shared" si="28"/>
        <v>0</v>
      </c>
      <c r="M32" s="94">
        <f t="shared" si="28"/>
        <v>0</v>
      </c>
      <c r="N32" s="94">
        <f t="shared" si="28"/>
        <v>0</v>
      </c>
      <c r="O32" s="94">
        <f t="shared" si="28"/>
        <v>0</v>
      </c>
      <c r="P32" s="94">
        <f t="shared" si="28"/>
        <v>0</v>
      </c>
      <c r="Q32" s="94">
        <f t="shared" si="28"/>
        <v>684.375</v>
      </c>
      <c r="R32" s="94">
        <f t="shared" si="28"/>
        <v>768.75</v>
      </c>
      <c r="S32" s="94">
        <f t="shared" si="28"/>
        <v>5802.2249999999995</v>
      </c>
      <c r="T32" s="94">
        <f t="shared" si="28"/>
        <v>1193.75</v>
      </c>
      <c r="U32" s="94">
        <f t="shared" si="28"/>
        <v>2143.75</v>
      </c>
      <c r="V32" s="94">
        <f t="shared" si="28"/>
        <v>2879.3500000000004</v>
      </c>
      <c r="W32" s="94">
        <f t="shared" si="28"/>
        <v>1113.9749999999999</v>
      </c>
      <c r="X32" s="94">
        <f t="shared" si="28"/>
        <v>955.20432692307691</v>
      </c>
      <c r="Y32" s="94">
        <f t="shared" si="28"/>
        <v>3343.5679577015535</v>
      </c>
      <c r="Z32" s="94">
        <f t="shared" si="28"/>
        <v>516.98276015023634</v>
      </c>
      <c r="AA32" s="94">
        <f t="shared" si="28"/>
        <v>925.99873047021072</v>
      </c>
      <c r="AB32" s="94">
        <f t="shared" si="28"/>
        <v>1203.7658648748784</v>
      </c>
      <c r="AC32" s="94">
        <f t="shared" si="28"/>
        <v>1325.2841595899188</v>
      </c>
      <c r="AD32" s="94">
        <f t="shared" si="28"/>
        <v>1074.9286108532483</v>
      </c>
      <c r="AE32" s="94">
        <f t="shared" si="28"/>
        <v>1972.5218110688281</v>
      </c>
      <c r="AF32" s="94">
        <f t="shared" si="28"/>
        <v>1726.7267426583239</v>
      </c>
      <c r="AG32" s="94">
        <f t="shared" si="28"/>
        <v>6026.9085225850122</v>
      </c>
      <c r="AH32" s="94">
        <f t="shared" si="28"/>
        <v>1124.1171448560158</v>
      </c>
      <c r="AI32" s="94">
        <f t="shared" si="28"/>
        <v>7779.1276034978864</v>
      </c>
      <c r="AJ32" s="94">
        <f t="shared" si="28"/>
        <v>1515.625</v>
      </c>
      <c r="AK32" s="94">
        <f t="shared" si="28"/>
        <v>0</v>
      </c>
      <c r="AL32" s="94">
        <f t="shared" si="28"/>
        <v>0</v>
      </c>
      <c r="AM32" s="94">
        <f t="shared" si="28"/>
        <v>0</v>
      </c>
      <c r="AN32" s="95">
        <f>SUM(AN14:AN15,AN17:AN22)</f>
        <v>53772.684235229208</v>
      </c>
    </row>
    <row r="33" spans="1:40" x14ac:dyDescent="0.15">
      <c r="A33" s="41" t="s">
        <v>67</v>
      </c>
      <c r="B33" s="6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5"/>
    </row>
    <row r="34" spans="1:40" x14ac:dyDescent="0.15">
      <c r="A34" s="43" t="s">
        <v>68</v>
      </c>
      <c r="B34" s="65">
        <f t="shared" ref="B34:AM36" si="29">(0)</f>
        <v>0</v>
      </c>
      <c r="C34" s="74">
        <f t="shared" si="29"/>
        <v>0</v>
      </c>
      <c r="D34" s="74">
        <f t="shared" si="29"/>
        <v>0</v>
      </c>
      <c r="E34" s="74">
        <f t="shared" si="29"/>
        <v>0</v>
      </c>
      <c r="F34" s="74">
        <f t="shared" si="29"/>
        <v>0</v>
      </c>
      <c r="G34" s="74">
        <f t="shared" si="29"/>
        <v>0</v>
      </c>
      <c r="H34" s="74">
        <f t="shared" si="29"/>
        <v>0</v>
      </c>
      <c r="I34" s="74">
        <f t="shared" si="29"/>
        <v>0</v>
      </c>
      <c r="J34" s="74">
        <f t="shared" si="29"/>
        <v>0</v>
      </c>
      <c r="K34" s="74">
        <f t="shared" si="29"/>
        <v>0</v>
      </c>
      <c r="L34" s="68">
        <f t="shared" si="29"/>
        <v>0</v>
      </c>
      <c r="M34" s="68">
        <f t="shared" si="29"/>
        <v>0</v>
      </c>
      <c r="N34" s="68">
        <f t="shared" si="29"/>
        <v>0</v>
      </c>
      <c r="O34" s="68">
        <f t="shared" si="29"/>
        <v>0</v>
      </c>
      <c r="P34" s="65">
        <f t="shared" si="29"/>
        <v>0</v>
      </c>
      <c r="Q34" s="74">
        <f t="shared" si="29"/>
        <v>0</v>
      </c>
      <c r="R34" s="74">
        <f t="shared" si="29"/>
        <v>0</v>
      </c>
      <c r="S34" s="74">
        <f t="shared" si="29"/>
        <v>0</v>
      </c>
      <c r="T34" s="74">
        <f t="shared" si="29"/>
        <v>0</v>
      </c>
      <c r="U34" s="74">
        <f t="shared" si="29"/>
        <v>0</v>
      </c>
      <c r="V34" s="74">
        <f t="shared" si="29"/>
        <v>0</v>
      </c>
      <c r="W34" s="74">
        <f t="shared" si="29"/>
        <v>0</v>
      </c>
      <c r="X34" s="77">
        <f t="shared" si="29"/>
        <v>0</v>
      </c>
      <c r="Y34" s="74">
        <f t="shared" si="29"/>
        <v>0</v>
      </c>
      <c r="Z34" s="68">
        <f t="shared" si="29"/>
        <v>0</v>
      </c>
      <c r="AA34" s="68">
        <f t="shared" si="29"/>
        <v>0</v>
      </c>
      <c r="AB34" s="68">
        <f t="shared" si="29"/>
        <v>0</v>
      </c>
      <c r="AC34" s="68">
        <f t="shared" si="29"/>
        <v>0</v>
      </c>
      <c r="AD34" s="65">
        <f t="shared" si="29"/>
        <v>0</v>
      </c>
      <c r="AE34" s="74">
        <f t="shared" si="29"/>
        <v>0</v>
      </c>
      <c r="AF34" s="74">
        <f t="shared" si="29"/>
        <v>0</v>
      </c>
      <c r="AG34" s="74">
        <f t="shared" si="29"/>
        <v>0</v>
      </c>
      <c r="AH34" s="74">
        <f t="shared" si="29"/>
        <v>0</v>
      </c>
      <c r="AI34" s="74">
        <f t="shared" si="29"/>
        <v>0</v>
      </c>
      <c r="AJ34" s="74">
        <f t="shared" si="29"/>
        <v>0</v>
      </c>
      <c r="AK34" s="74">
        <f t="shared" si="29"/>
        <v>0</v>
      </c>
      <c r="AL34" s="74">
        <f t="shared" si="29"/>
        <v>0</v>
      </c>
      <c r="AM34" s="74">
        <f t="shared" si="29"/>
        <v>0</v>
      </c>
      <c r="AN34" s="96">
        <f>SUM(B34:AM34)</f>
        <v>0</v>
      </c>
    </row>
    <row r="35" spans="1:40" x14ac:dyDescent="0.15">
      <c r="A35" s="71" t="s">
        <v>69</v>
      </c>
      <c r="B35" s="76">
        <f t="shared" si="29"/>
        <v>0</v>
      </c>
      <c r="C35" s="77">
        <f t="shared" si="29"/>
        <v>0</v>
      </c>
      <c r="D35" s="77">
        <f t="shared" si="29"/>
        <v>0</v>
      </c>
      <c r="E35" s="77">
        <f t="shared" si="29"/>
        <v>0</v>
      </c>
      <c r="F35" s="77">
        <f t="shared" si="29"/>
        <v>0</v>
      </c>
      <c r="G35" s="77">
        <f t="shared" si="29"/>
        <v>0</v>
      </c>
      <c r="H35" s="77">
        <f t="shared" si="29"/>
        <v>0</v>
      </c>
      <c r="I35" s="77">
        <f t="shared" si="29"/>
        <v>0</v>
      </c>
      <c r="J35" s="77">
        <f t="shared" si="29"/>
        <v>0</v>
      </c>
      <c r="K35" s="77">
        <f t="shared" si="29"/>
        <v>0</v>
      </c>
      <c r="L35" s="66">
        <f t="shared" si="29"/>
        <v>0</v>
      </c>
      <c r="M35" s="66">
        <f t="shared" si="29"/>
        <v>0</v>
      </c>
      <c r="N35" s="66">
        <f t="shared" si="29"/>
        <v>0</v>
      </c>
      <c r="O35" s="66">
        <f t="shared" si="29"/>
        <v>0</v>
      </c>
      <c r="P35" s="76">
        <f t="shared" si="29"/>
        <v>0</v>
      </c>
      <c r="Q35" s="77">
        <f t="shared" si="29"/>
        <v>0</v>
      </c>
      <c r="R35" s="77">
        <f t="shared" si="29"/>
        <v>0</v>
      </c>
      <c r="S35" s="77">
        <f t="shared" si="29"/>
        <v>0</v>
      </c>
      <c r="T35" s="77">
        <f t="shared" si="29"/>
        <v>0</v>
      </c>
      <c r="U35" s="79">
        <f t="shared" si="29"/>
        <v>0</v>
      </c>
      <c r="V35" s="79">
        <f t="shared" si="29"/>
        <v>0</v>
      </c>
      <c r="W35" s="79">
        <f>5/8*AN35</f>
        <v>34375</v>
      </c>
      <c r="X35" s="77">
        <f t="shared" si="29"/>
        <v>0</v>
      </c>
      <c r="Y35" s="77">
        <f t="shared" si="29"/>
        <v>0</v>
      </c>
      <c r="Z35" s="66">
        <f t="shared" si="29"/>
        <v>0</v>
      </c>
      <c r="AA35" s="66">
        <f t="shared" si="29"/>
        <v>0</v>
      </c>
      <c r="AB35" s="66">
        <f t="shared" si="29"/>
        <v>0</v>
      </c>
      <c r="AC35" s="66">
        <f t="shared" si="29"/>
        <v>0</v>
      </c>
      <c r="AD35" s="77">
        <f>3/8*AN35</f>
        <v>20625</v>
      </c>
      <c r="AE35" s="77">
        <v>0</v>
      </c>
      <c r="AF35" s="77">
        <f t="shared" si="29"/>
        <v>0</v>
      </c>
      <c r="AG35" s="77">
        <f t="shared" si="29"/>
        <v>0</v>
      </c>
      <c r="AH35" s="77">
        <f t="shared" si="29"/>
        <v>0</v>
      </c>
      <c r="AI35" s="77">
        <f t="shared" si="29"/>
        <v>0</v>
      </c>
      <c r="AJ35" s="77">
        <v>0</v>
      </c>
      <c r="AK35" s="77">
        <v>0</v>
      </c>
      <c r="AL35" s="77">
        <v>0</v>
      </c>
      <c r="AM35" s="77">
        <v>0</v>
      </c>
      <c r="AN35" s="80">
        <v>55000</v>
      </c>
    </row>
    <row r="36" spans="1:40" ht="14" thickBot="1" x14ac:dyDescent="0.2">
      <c r="A36" s="81" t="s">
        <v>56</v>
      </c>
      <c r="B36" s="77">
        <f t="shared" si="29"/>
        <v>0</v>
      </c>
      <c r="C36" s="76">
        <f t="shared" si="29"/>
        <v>0</v>
      </c>
      <c r="D36" s="76">
        <f t="shared" si="29"/>
        <v>0</v>
      </c>
      <c r="E36" s="76">
        <f t="shared" si="29"/>
        <v>0</v>
      </c>
      <c r="F36" s="76">
        <f t="shared" si="29"/>
        <v>0</v>
      </c>
      <c r="G36" s="76">
        <f t="shared" si="29"/>
        <v>0</v>
      </c>
      <c r="H36" s="76">
        <f t="shared" si="29"/>
        <v>0</v>
      </c>
      <c r="I36" s="76">
        <f t="shared" si="29"/>
        <v>0</v>
      </c>
      <c r="J36" s="76">
        <f t="shared" si="29"/>
        <v>0</v>
      </c>
      <c r="K36" s="76">
        <f t="shared" si="29"/>
        <v>0</v>
      </c>
      <c r="L36" s="67">
        <f t="shared" si="29"/>
        <v>0</v>
      </c>
      <c r="M36" s="67">
        <f t="shared" si="29"/>
        <v>0</v>
      </c>
      <c r="N36" s="67">
        <f t="shared" si="29"/>
        <v>0</v>
      </c>
      <c r="O36" s="67">
        <f t="shared" si="29"/>
        <v>0</v>
      </c>
      <c r="P36" s="77">
        <f t="shared" si="29"/>
        <v>0</v>
      </c>
      <c r="Q36" s="76">
        <f t="shared" si="29"/>
        <v>0</v>
      </c>
      <c r="R36" s="76">
        <f t="shared" si="29"/>
        <v>0</v>
      </c>
      <c r="S36" s="76">
        <f t="shared" si="29"/>
        <v>0</v>
      </c>
      <c r="T36" s="76">
        <f t="shared" si="29"/>
        <v>0</v>
      </c>
      <c r="U36" s="76">
        <f t="shared" si="29"/>
        <v>0</v>
      </c>
      <c r="V36" s="76">
        <f t="shared" si="29"/>
        <v>0</v>
      </c>
      <c r="W36" s="82">
        <f>AN36*0.25</f>
        <v>251.44</v>
      </c>
      <c r="X36" s="76">
        <f t="shared" si="29"/>
        <v>0</v>
      </c>
      <c r="Y36" s="76">
        <f t="shared" si="29"/>
        <v>0</v>
      </c>
      <c r="Z36" s="67">
        <f t="shared" si="29"/>
        <v>0</v>
      </c>
      <c r="AA36" s="67">
        <f t="shared" si="29"/>
        <v>0</v>
      </c>
      <c r="AB36" s="67">
        <f t="shared" si="29"/>
        <v>0</v>
      </c>
      <c r="AC36" s="67">
        <f t="shared" si="29"/>
        <v>0</v>
      </c>
      <c r="AD36" s="77">
        <f t="shared" si="29"/>
        <v>0</v>
      </c>
      <c r="AE36" s="82">
        <f>AN36*0.5</f>
        <v>502.88</v>
      </c>
      <c r="AF36" s="82">
        <f>AN36*0.25</f>
        <v>251.44</v>
      </c>
      <c r="AG36" s="76">
        <f t="shared" si="29"/>
        <v>0</v>
      </c>
      <c r="AH36" s="76">
        <f t="shared" si="29"/>
        <v>0</v>
      </c>
      <c r="AI36" s="76">
        <f t="shared" si="29"/>
        <v>0</v>
      </c>
      <c r="AJ36" s="76">
        <f t="shared" si="29"/>
        <v>0</v>
      </c>
      <c r="AK36" s="76">
        <f t="shared" si="29"/>
        <v>0</v>
      </c>
      <c r="AL36" s="76">
        <f t="shared" si="29"/>
        <v>0</v>
      </c>
      <c r="AM36" s="76">
        <f t="shared" si="29"/>
        <v>0</v>
      </c>
      <c r="AN36" s="97">
        <f>1005.76</f>
        <v>1005.76</v>
      </c>
    </row>
    <row r="37" spans="1:40" x14ac:dyDescent="0.15">
      <c r="A37" s="98" t="s">
        <v>70</v>
      </c>
      <c r="B37" s="86">
        <f>0+B36</f>
        <v>0</v>
      </c>
      <c r="C37" s="86">
        <f t="shared" ref="C37:AM37" si="30">IF(B38, C36, B37+C36)</f>
        <v>0</v>
      </c>
      <c r="D37" s="86">
        <f t="shared" si="30"/>
        <v>0</v>
      </c>
      <c r="E37" s="86">
        <f t="shared" si="30"/>
        <v>0</v>
      </c>
      <c r="F37" s="86">
        <f t="shared" si="30"/>
        <v>0</v>
      </c>
      <c r="G37" s="86">
        <f t="shared" si="30"/>
        <v>0</v>
      </c>
      <c r="H37" s="86">
        <f t="shared" si="30"/>
        <v>0</v>
      </c>
      <c r="I37" s="86">
        <f t="shared" si="30"/>
        <v>0</v>
      </c>
      <c r="J37" s="86">
        <f t="shared" si="30"/>
        <v>0</v>
      </c>
      <c r="K37" s="86">
        <f t="shared" si="30"/>
        <v>0</v>
      </c>
      <c r="L37" s="86">
        <f t="shared" si="30"/>
        <v>0</v>
      </c>
      <c r="M37" s="86">
        <f t="shared" si="30"/>
        <v>0</v>
      </c>
      <c r="N37" s="86">
        <f t="shared" si="30"/>
        <v>0</v>
      </c>
      <c r="O37" s="86">
        <f t="shared" si="30"/>
        <v>0</v>
      </c>
      <c r="P37" s="86">
        <f t="shared" si="30"/>
        <v>0</v>
      </c>
      <c r="Q37" s="86">
        <f t="shared" si="30"/>
        <v>0</v>
      </c>
      <c r="R37" s="86">
        <f t="shared" si="30"/>
        <v>0</v>
      </c>
      <c r="S37" s="86">
        <f t="shared" si="30"/>
        <v>0</v>
      </c>
      <c r="T37" s="86">
        <f t="shared" si="30"/>
        <v>0</v>
      </c>
      <c r="U37" s="86">
        <f t="shared" si="30"/>
        <v>0</v>
      </c>
      <c r="V37" s="86">
        <f t="shared" si="30"/>
        <v>0</v>
      </c>
      <c r="W37" s="86">
        <f t="shared" si="30"/>
        <v>251.44</v>
      </c>
      <c r="X37" s="86">
        <f t="shared" si="30"/>
        <v>0</v>
      </c>
      <c r="Y37" s="86">
        <f t="shared" si="30"/>
        <v>0</v>
      </c>
      <c r="Z37" s="86">
        <f t="shared" si="30"/>
        <v>0</v>
      </c>
      <c r="AA37" s="86">
        <f t="shared" si="30"/>
        <v>0</v>
      </c>
      <c r="AB37" s="86">
        <f t="shared" si="30"/>
        <v>0</v>
      </c>
      <c r="AC37" s="86">
        <f t="shared" si="30"/>
        <v>0</v>
      </c>
      <c r="AD37" s="86">
        <f t="shared" si="30"/>
        <v>0</v>
      </c>
      <c r="AE37" s="86">
        <f t="shared" si="30"/>
        <v>502.88</v>
      </c>
      <c r="AF37" s="86">
        <f t="shared" si="30"/>
        <v>251.44</v>
      </c>
      <c r="AG37" s="86">
        <f t="shared" si="30"/>
        <v>0</v>
      </c>
      <c r="AH37" s="86">
        <f t="shared" si="30"/>
        <v>0</v>
      </c>
      <c r="AI37" s="86">
        <f t="shared" si="30"/>
        <v>0</v>
      </c>
      <c r="AJ37" s="86">
        <f t="shared" si="30"/>
        <v>0</v>
      </c>
      <c r="AK37" s="86">
        <f t="shared" si="30"/>
        <v>0</v>
      </c>
      <c r="AL37" s="86">
        <f t="shared" si="30"/>
        <v>0</v>
      </c>
      <c r="AM37" s="86">
        <f t="shared" si="30"/>
        <v>0</v>
      </c>
      <c r="AN37" s="87"/>
    </row>
    <row r="38" spans="1:40" ht="14" thickBot="1" x14ac:dyDescent="0.2">
      <c r="A38" s="71" t="s">
        <v>71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 t="b">
        <v>1</v>
      </c>
      <c r="X38" s="99"/>
      <c r="Y38" s="99"/>
      <c r="Z38" s="99"/>
      <c r="AA38" s="99"/>
      <c r="AB38" s="99"/>
      <c r="AC38" s="99"/>
      <c r="AD38" s="99"/>
      <c r="AE38" s="91" t="b">
        <v>1</v>
      </c>
      <c r="AF38" s="91" t="b">
        <v>1</v>
      </c>
      <c r="AG38" s="99"/>
      <c r="AH38" s="99"/>
      <c r="AI38" s="99"/>
      <c r="AJ38" s="99"/>
      <c r="AK38" s="99"/>
      <c r="AL38" s="99"/>
      <c r="AM38" s="99"/>
      <c r="AN38" s="92"/>
    </row>
    <row r="39" spans="1:40" x14ac:dyDescent="0.15">
      <c r="A39" s="93" t="s">
        <v>72</v>
      </c>
      <c r="B39" s="94">
        <f t="shared" ref="B39:AM39" si="31">IF(B38, B37, 0)+B34+B35</f>
        <v>0</v>
      </c>
      <c r="C39" s="94">
        <f t="shared" si="31"/>
        <v>0</v>
      </c>
      <c r="D39" s="94">
        <f t="shared" si="31"/>
        <v>0</v>
      </c>
      <c r="E39" s="94">
        <f t="shared" si="31"/>
        <v>0</v>
      </c>
      <c r="F39" s="94">
        <f t="shared" si="31"/>
        <v>0</v>
      </c>
      <c r="G39" s="94">
        <f t="shared" si="31"/>
        <v>0</v>
      </c>
      <c r="H39" s="94">
        <f t="shared" si="31"/>
        <v>0</v>
      </c>
      <c r="I39" s="94">
        <f t="shared" si="31"/>
        <v>0</v>
      </c>
      <c r="J39" s="94">
        <f t="shared" si="31"/>
        <v>0</v>
      </c>
      <c r="K39" s="94">
        <f t="shared" si="31"/>
        <v>0</v>
      </c>
      <c r="L39" s="94">
        <f t="shared" si="31"/>
        <v>0</v>
      </c>
      <c r="M39" s="94">
        <f t="shared" si="31"/>
        <v>0</v>
      </c>
      <c r="N39" s="94">
        <f t="shared" si="31"/>
        <v>0</v>
      </c>
      <c r="O39" s="94">
        <f t="shared" si="31"/>
        <v>0</v>
      </c>
      <c r="P39" s="94">
        <f t="shared" si="31"/>
        <v>0</v>
      </c>
      <c r="Q39" s="94">
        <f t="shared" si="31"/>
        <v>0</v>
      </c>
      <c r="R39" s="94">
        <f t="shared" si="31"/>
        <v>0</v>
      </c>
      <c r="S39" s="94">
        <f t="shared" si="31"/>
        <v>0</v>
      </c>
      <c r="T39" s="94">
        <f t="shared" si="31"/>
        <v>0</v>
      </c>
      <c r="U39" s="94">
        <f t="shared" si="31"/>
        <v>0</v>
      </c>
      <c r="V39" s="94">
        <f t="shared" si="31"/>
        <v>0</v>
      </c>
      <c r="W39" s="94">
        <f t="shared" si="31"/>
        <v>34626.44</v>
      </c>
      <c r="X39" s="94">
        <f t="shared" si="31"/>
        <v>0</v>
      </c>
      <c r="Y39" s="94">
        <f t="shared" si="31"/>
        <v>0</v>
      </c>
      <c r="Z39" s="94">
        <f t="shared" si="31"/>
        <v>0</v>
      </c>
      <c r="AA39" s="94">
        <f t="shared" si="31"/>
        <v>0</v>
      </c>
      <c r="AB39" s="94">
        <f t="shared" si="31"/>
        <v>0</v>
      </c>
      <c r="AC39" s="94">
        <f t="shared" si="31"/>
        <v>0</v>
      </c>
      <c r="AD39" s="94">
        <f t="shared" si="31"/>
        <v>20625</v>
      </c>
      <c r="AE39" s="94">
        <f t="shared" si="31"/>
        <v>502.88</v>
      </c>
      <c r="AF39" s="94">
        <f t="shared" si="31"/>
        <v>251.44</v>
      </c>
      <c r="AG39" s="94">
        <f t="shared" si="31"/>
        <v>0</v>
      </c>
      <c r="AH39" s="94">
        <f t="shared" si="31"/>
        <v>0</v>
      </c>
      <c r="AI39" s="94">
        <f t="shared" si="31"/>
        <v>0</v>
      </c>
      <c r="AJ39" s="94">
        <f t="shared" si="31"/>
        <v>0</v>
      </c>
      <c r="AK39" s="94">
        <f t="shared" si="31"/>
        <v>0</v>
      </c>
      <c r="AL39" s="94">
        <f t="shared" si="31"/>
        <v>0</v>
      </c>
      <c r="AM39" s="94">
        <f t="shared" si="31"/>
        <v>0</v>
      </c>
      <c r="AN39" s="95">
        <f>SUM(B39:AM39)</f>
        <v>56005.760000000002</v>
      </c>
    </row>
    <row r="40" spans="1:40" x14ac:dyDescent="0.15">
      <c r="A40" s="41" t="s">
        <v>73</v>
      </c>
      <c r="B40" s="6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5"/>
    </row>
    <row r="41" spans="1:40" x14ac:dyDescent="0.15">
      <c r="A41" s="100" t="s">
        <v>74</v>
      </c>
      <c r="B41" s="101">
        <f>(0)</f>
        <v>0</v>
      </c>
      <c r="C41" s="101">
        <f t="shared" ref="C41:AM41" si="32">B43</f>
        <v>0</v>
      </c>
      <c r="D41" s="101">
        <f t="shared" si="32"/>
        <v>0</v>
      </c>
      <c r="E41" s="101">
        <f t="shared" si="32"/>
        <v>-12.5</v>
      </c>
      <c r="F41" s="101">
        <f t="shared" si="32"/>
        <v>-2668.3</v>
      </c>
      <c r="G41" s="101">
        <f t="shared" si="32"/>
        <v>-2812.05</v>
      </c>
      <c r="H41" s="101">
        <f t="shared" si="32"/>
        <v>-3968.3</v>
      </c>
      <c r="I41" s="101">
        <f t="shared" si="32"/>
        <v>-6032.0250000000005</v>
      </c>
      <c r="J41" s="101">
        <f t="shared" si="32"/>
        <v>-6341.4000000000005</v>
      </c>
      <c r="K41" s="101">
        <f t="shared" si="32"/>
        <v>-6788.2750000000005</v>
      </c>
      <c r="L41" s="101">
        <f t="shared" si="32"/>
        <v>-9695.75</v>
      </c>
      <c r="M41" s="101">
        <f t="shared" si="32"/>
        <v>-9695.75</v>
      </c>
      <c r="N41" s="101">
        <f t="shared" si="32"/>
        <v>-9695.75</v>
      </c>
      <c r="O41" s="101">
        <f t="shared" si="32"/>
        <v>-9695.75</v>
      </c>
      <c r="P41" s="101">
        <f t="shared" si="32"/>
        <v>-9695.75</v>
      </c>
      <c r="Q41" s="101">
        <f t="shared" si="32"/>
        <v>-9695.75</v>
      </c>
      <c r="R41" s="101">
        <f t="shared" si="32"/>
        <v>-10380.125</v>
      </c>
      <c r="S41" s="101">
        <f t="shared" si="32"/>
        <v>-11148.875</v>
      </c>
      <c r="T41" s="101">
        <f t="shared" si="32"/>
        <v>-16951.099999999999</v>
      </c>
      <c r="U41" s="101">
        <f t="shared" si="32"/>
        <v>-18144.849999999999</v>
      </c>
      <c r="V41" s="101">
        <f t="shared" si="32"/>
        <v>-20288.599999999999</v>
      </c>
      <c r="W41" s="101">
        <f t="shared" si="32"/>
        <v>-23167.949999999997</v>
      </c>
      <c r="X41" s="101">
        <f t="shared" si="32"/>
        <v>10344.515000000005</v>
      </c>
      <c r="Y41" s="101">
        <f t="shared" si="32"/>
        <v>9389.3106730769287</v>
      </c>
      <c r="Z41" s="101">
        <f t="shared" si="32"/>
        <v>6045.7427153753752</v>
      </c>
      <c r="AA41" s="101">
        <f t="shared" si="32"/>
        <v>5528.7599552251386</v>
      </c>
      <c r="AB41" s="101">
        <f t="shared" si="32"/>
        <v>4602.7612247549278</v>
      </c>
      <c r="AC41" s="101">
        <f t="shared" si="32"/>
        <v>3398.9953598800494</v>
      </c>
      <c r="AD41" s="101">
        <f t="shared" si="32"/>
        <v>2073.7112002901304</v>
      </c>
      <c r="AE41" s="101">
        <f t="shared" si="32"/>
        <v>21623.782589436883</v>
      </c>
      <c r="AF41" s="101">
        <f t="shared" si="32"/>
        <v>20154.140778368055</v>
      </c>
      <c r="AG41" s="101">
        <f t="shared" si="32"/>
        <v>18678.85403570973</v>
      </c>
      <c r="AH41" s="101">
        <f t="shared" si="32"/>
        <v>12651.945513124718</v>
      </c>
      <c r="AI41" s="101">
        <f t="shared" si="32"/>
        <v>11527.828368268702</v>
      </c>
      <c r="AJ41" s="101">
        <f t="shared" si="32"/>
        <v>3748.7007647708151</v>
      </c>
      <c r="AK41" s="101">
        <f t="shared" si="32"/>
        <v>2233.0757647708151</v>
      </c>
      <c r="AL41" s="101">
        <f t="shared" si="32"/>
        <v>2233.0757647708151</v>
      </c>
      <c r="AM41" s="101">
        <f t="shared" si="32"/>
        <v>2233.0757647708151</v>
      </c>
      <c r="AN41" s="102">
        <f>SUM(B42:AK42)</f>
        <v>2233.0757647708188</v>
      </c>
    </row>
    <row r="42" spans="1:40" x14ac:dyDescent="0.15">
      <c r="A42" s="103" t="s">
        <v>75</v>
      </c>
      <c r="B42" s="104">
        <f t="shared" ref="B42:AM42" si="33">B39-B32</f>
        <v>0</v>
      </c>
      <c r="C42" s="104">
        <f t="shared" si="33"/>
        <v>0</v>
      </c>
      <c r="D42" s="104">
        <f t="shared" si="33"/>
        <v>-12.5</v>
      </c>
      <c r="E42" s="104">
        <f t="shared" si="33"/>
        <v>-2655.8</v>
      </c>
      <c r="F42" s="104">
        <f t="shared" si="33"/>
        <v>-143.75</v>
      </c>
      <c r="G42" s="104">
        <f t="shared" si="33"/>
        <v>-1156.25</v>
      </c>
      <c r="H42" s="104">
        <f t="shared" si="33"/>
        <v>-2063.7250000000004</v>
      </c>
      <c r="I42" s="104">
        <f t="shared" si="33"/>
        <v>-309.375</v>
      </c>
      <c r="J42" s="104">
        <f t="shared" si="33"/>
        <v>-446.875</v>
      </c>
      <c r="K42" s="104">
        <f t="shared" si="33"/>
        <v>-2907.4750000000004</v>
      </c>
      <c r="L42" s="104">
        <f t="shared" si="33"/>
        <v>0</v>
      </c>
      <c r="M42" s="104">
        <f t="shared" si="33"/>
        <v>0</v>
      </c>
      <c r="N42" s="104">
        <f t="shared" si="33"/>
        <v>0</v>
      </c>
      <c r="O42" s="104">
        <f t="shared" si="33"/>
        <v>0</v>
      </c>
      <c r="P42" s="104">
        <f t="shared" si="33"/>
        <v>0</v>
      </c>
      <c r="Q42" s="104">
        <f t="shared" si="33"/>
        <v>-684.375</v>
      </c>
      <c r="R42" s="104">
        <f t="shared" si="33"/>
        <v>-768.75</v>
      </c>
      <c r="S42" s="104">
        <f t="shared" si="33"/>
        <v>-5802.2249999999995</v>
      </c>
      <c r="T42" s="104">
        <f t="shared" si="33"/>
        <v>-1193.75</v>
      </c>
      <c r="U42" s="104">
        <f t="shared" si="33"/>
        <v>-2143.75</v>
      </c>
      <c r="V42" s="104">
        <f t="shared" si="33"/>
        <v>-2879.3500000000004</v>
      </c>
      <c r="W42" s="104">
        <f t="shared" si="33"/>
        <v>33512.465000000004</v>
      </c>
      <c r="X42" s="104">
        <f t="shared" si="33"/>
        <v>-955.20432692307691</v>
      </c>
      <c r="Y42" s="104">
        <f t="shared" si="33"/>
        <v>-3343.5679577015535</v>
      </c>
      <c r="Z42" s="104">
        <f t="shared" si="33"/>
        <v>-516.98276015023634</v>
      </c>
      <c r="AA42" s="104">
        <f t="shared" si="33"/>
        <v>-925.99873047021072</v>
      </c>
      <c r="AB42" s="104">
        <f t="shared" si="33"/>
        <v>-1203.7658648748784</v>
      </c>
      <c r="AC42" s="104">
        <f t="shared" si="33"/>
        <v>-1325.2841595899188</v>
      </c>
      <c r="AD42" s="104">
        <f t="shared" si="33"/>
        <v>19550.071389146753</v>
      </c>
      <c r="AE42" s="104">
        <f t="shared" si="33"/>
        <v>-1469.6418110688282</v>
      </c>
      <c r="AF42" s="104">
        <f t="shared" si="33"/>
        <v>-1475.2867426583239</v>
      </c>
      <c r="AG42" s="104">
        <f t="shared" si="33"/>
        <v>-6026.9085225850122</v>
      </c>
      <c r="AH42" s="104">
        <f t="shared" si="33"/>
        <v>-1124.1171448560158</v>
      </c>
      <c r="AI42" s="104">
        <f t="shared" si="33"/>
        <v>-7779.1276034978864</v>
      </c>
      <c r="AJ42" s="104">
        <f t="shared" si="33"/>
        <v>-1515.625</v>
      </c>
      <c r="AK42" s="104">
        <f t="shared" si="33"/>
        <v>0</v>
      </c>
      <c r="AL42" s="104">
        <f t="shared" si="33"/>
        <v>0</v>
      </c>
      <c r="AM42" s="104">
        <f t="shared" si="33"/>
        <v>0</v>
      </c>
      <c r="AN42" s="33"/>
    </row>
    <row r="43" spans="1:40" x14ac:dyDescent="0.15">
      <c r="A43" s="105" t="s">
        <v>76</v>
      </c>
      <c r="B43" s="106">
        <f t="shared" ref="B43:AM43" si="34">B41+B39-B32</f>
        <v>0</v>
      </c>
      <c r="C43" s="106">
        <f t="shared" si="34"/>
        <v>0</v>
      </c>
      <c r="D43" s="106">
        <f t="shared" si="34"/>
        <v>-12.5</v>
      </c>
      <c r="E43" s="106">
        <f t="shared" si="34"/>
        <v>-2668.3</v>
      </c>
      <c r="F43" s="106">
        <f t="shared" si="34"/>
        <v>-2812.05</v>
      </c>
      <c r="G43" s="106">
        <f t="shared" si="34"/>
        <v>-3968.3</v>
      </c>
      <c r="H43" s="106">
        <f t="shared" si="34"/>
        <v>-6032.0250000000005</v>
      </c>
      <c r="I43" s="106">
        <f t="shared" si="34"/>
        <v>-6341.4000000000005</v>
      </c>
      <c r="J43" s="106">
        <f t="shared" si="34"/>
        <v>-6788.2750000000005</v>
      </c>
      <c r="K43" s="106">
        <f t="shared" si="34"/>
        <v>-9695.75</v>
      </c>
      <c r="L43" s="106">
        <f t="shared" si="34"/>
        <v>-9695.75</v>
      </c>
      <c r="M43" s="106">
        <f t="shared" si="34"/>
        <v>-9695.75</v>
      </c>
      <c r="N43" s="106">
        <f t="shared" si="34"/>
        <v>-9695.75</v>
      </c>
      <c r="O43" s="106">
        <f t="shared" si="34"/>
        <v>-9695.75</v>
      </c>
      <c r="P43" s="106">
        <f t="shared" si="34"/>
        <v>-9695.75</v>
      </c>
      <c r="Q43" s="106">
        <f t="shared" si="34"/>
        <v>-10380.125</v>
      </c>
      <c r="R43" s="106">
        <f t="shared" si="34"/>
        <v>-11148.875</v>
      </c>
      <c r="S43" s="106">
        <f t="shared" si="34"/>
        <v>-16951.099999999999</v>
      </c>
      <c r="T43" s="106">
        <f t="shared" si="34"/>
        <v>-18144.849999999999</v>
      </c>
      <c r="U43" s="106">
        <f t="shared" si="34"/>
        <v>-20288.599999999999</v>
      </c>
      <c r="V43" s="106">
        <f t="shared" si="34"/>
        <v>-23167.949999999997</v>
      </c>
      <c r="W43" s="106">
        <f t="shared" si="34"/>
        <v>10344.515000000005</v>
      </c>
      <c r="X43" s="106">
        <f t="shared" si="34"/>
        <v>9389.3106730769287</v>
      </c>
      <c r="Y43" s="106">
        <f t="shared" si="34"/>
        <v>6045.7427153753752</v>
      </c>
      <c r="Z43" s="106">
        <f t="shared" si="34"/>
        <v>5528.7599552251386</v>
      </c>
      <c r="AA43" s="106">
        <f t="shared" si="34"/>
        <v>4602.7612247549278</v>
      </c>
      <c r="AB43" s="106">
        <f t="shared" si="34"/>
        <v>3398.9953598800494</v>
      </c>
      <c r="AC43" s="106">
        <f t="shared" si="34"/>
        <v>2073.7112002901304</v>
      </c>
      <c r="AD43" s="106">
        <f t="shared" si="34"/>
        <v>21623.782589436883</v>
      </c>
      <c r="AE43" s="106">
        <f t="shared" si="34"/>
        <v>20154.140778368055</v>
      </c>
      <c r="AF43" s="106">
        <f t="shared" si="34"/>
        <v>18678.85403570973</v>
      </c>
      <c r="AG43" s="106">
        <f t="shared" si="34"/>
        <v>12651.945513124718</v>
      </c>
      <c r="AH43" s="106">
        <f t="shared" si="34"/>
        <v>11527.828368268702</v>
      </c>
      <c r="AI43" s="106">
        <f t="shared" si="34"/>
        <v>3748.7007647708151</v>
      </c>
      <c r="AJ43" s="106">
        <f t="shared" si="34"/>
        <v>2233.0757647708151</v>
      </c>
      <c r="AK43" s="106">
        <f t="shared" si="34"/>
        <v>2233.0757647708151</v>
      </c>
      <c r="AL43" s="106">
        <f t="shared" si="34"/>
        <v>2233.0757647708151</v>
      </c>
      <c r="AM43" s="106">
        <f t="shared" si="34"/>
        <v>2233.0757647708151</v>
      </c>
      <c r="AN43" s="40"/>
    </row>
  </sheetData>
  <mergeCells count="13">
    <mergeCell ref="AN41:AN43"/>
    <mergeCell ref="B4:AN4"/>
    <mergeCell ref="B13:AN13"/>
    <mergeCell ref="AN23:AN31"/>
    <mergeCell ref="B33:AN33"/>
    <mergeCell ref="AN37:AN38"/>
    <mergeCell ref="B40:AN40"/>
    <mergeCell ref="B1:K1"/>
    <mergeCell ref="L1:O1"/>
    <mergeCell ref="P1:Y1"/>
    <mergeCell ref="Z1:AC1"/>
    <mergeCell ref="AD1:AM1"/>
    <mergeCell ref="AN1:AN3"/>
  </mergeCells>
  <conditionalFormatting sqref="B40:AN43">
    <cfRule type="colorScale" priority="1">
      <colorScale>
        <cfvo type="formula" val="-20000"/>
        <cfvo type="formula" val="0"/>
        <cfvo type="formula" val="20000"/>
        <color rgb="FFE67C73"/>
        <color rgb="FFF3F3F3"/>
        <color rgb="FF57BB8A"/>
      </colorScale>
    </cfRule>
  </conditionalFormatting>
  <conditionalFormatting sqref="B32:AM32">
    <cfRule type="colorScale" priority="2">
      <colorScale>
        <cfvo type="min"/>
        <cfvo type="max"/>
        <color rgb="FFF3F3F3"/>
        <color rgb="FFE67C73"/>
      </colorScale>
    </cfRule>
  </conditionalFormatting>
  <conditionalFormatting sqref="B39:AM39">
    <cfRule type="colorScale" priority="3">
      <colorScale>
        <cfvo type="min"/>
        <cfvo type="max"/>
        <color rgb="FFF3F3F3"/>
        <color rgb="FF57BB8A"/>
      </colorScale>
    </cfRule>
  </conditionalFormatting>
  <conditionalFormatting sqref="B24:AM24 B26:AM26 B28:AM28 B30:AM30 B38:AM38">
    <cfRule type="notContainsBlanks" dxfId="1" priority="4">
      <formula>LEN(TRIM(B24))&gt;0</formula>
    </cfRule>
  </conditionalFormatting>
  <conditionalFormatting sqref="B3:AM3">
    <cfRule type="timePeriod" dxfId="0" priority="5" timePeriod="last7Days">
      <formula>AND(TODAY()-FLOOR(B3,1)&lt;=6,FLOOR(B3,1)&lt;=TODAY())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2020-05-31T15:34:48Z</dcterms:created>
  <dcterms:modified xsi:type="dcterms:W3CDTF">2020-05-31T15:37:41Z</dcterms:modified>
</cp:coreProperties>
</file>