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oliverstill/Downloads/"/>
    </mc:Choice>
  </mc:AlternateContent>
  <xr:revisionPtr revIDLastSave="0" documentId="13_ncr:1_{6ACAEC91-A423-8A41-89FA-696732BF68C2}" xr6:coauthVersionLast="45" xr6:coauthVersionMax="45" xr10:uidLastSave="{00000000-0000-0000-0000-000000000000}"/>
  <bookViews>
    <workbookView xWindow="0" yWindow="460" windowWidth="35840" windowHeight="20500" xr2:uid="{00000000-000D-0000-FFFF-FFFF00000000}"/>
  </bookViews>
  <sheets>
    <sheet name="User Stories" sheetId="1" r:id="rId1"/>
    <sheet name="Overview" sheetId="2" r:id="rId2"/>
    <sheet name="Iteration 0" sheetId="3" r:id="rId3"/>
    <sheet name="Iteration 1" sheetId="4" r:id="rId4"/>
    <sheet name="Iteration 2" sheetId="5" r:id="rId5"/>
    <sheet name="Iteration 3" sheetId="6" r:id="rId6"/>
    <sheet name="Iteration 4" sheetId="7" r:id="rId7"/>
    <sheet name="Iteration 5" sheetId="8" r:id="rId8"/>
    <sheet name="Iteration 6" sheetId="9" r:id="rId9"/>
    <sheet name="Iteration 7"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 l="1"/>
  <c r="C35" i="1"/>
  <c r="L24" i="2"/>
  <c r="Q12" i="10"/>
  <c r="P11" i="10"/>
  <c r="F11" i="10"/>
  <c r="D11" i="10"/>
  <c r="C11" i="10"/>
  <c r="P10" i="10"/>
  <c r="P9" i="10"/>
  <c r="P8" i="10"/>
  <c r="P7" i="10"/>
  <c r="P6" i="10"/>
  <c r="P5" i="10"/>
  <c r="H5" i="10"/>
  <c r="I5" i="10" s="1"/>
  <c r="G5" i="10"/>
  <c r="E5" i="10"/>
  <c r="P4" i="10"/>
  <c r="P12" i="10" s="1"/>
  <c r="P13" i="10" s="1"/>
  <c r="O16" i="10" s="1"/>
  <c r="H4" i="10"/>
  <c r="I4" i="10" s="1"/>
  <c r="G4" i="10"/>
  <c r="E4" i="10"/>
  <c r="N3" i="10"/>
  <c r="O3" i="10" s="1"/>
  <c r="H3" i="10"/>
  <c r="J3" i="10" s="1"/>
  <c r="G3" i="10"/>
  <c r="G11" i="10" s="1"/>
  <c r="F3" i="10"/>
  <c r="E3" i="10"/>
  <c r="E11" i="10" s="1"/>
  <c r="Q12" i="9"/>
  <c r="F12" i="9"/>
  <c r="H22" i="2" s="1"/>
  <c r="D12" i="9"/>
  <c r="C12" i="9"/>
  <c r="P11" i="9"/>
  <c r="P10" i="9"/>
  <c r="I10" i="9"/>
  <c r="H10" i="9"/>
  <c r="E10" i="9"/>
  <c r="P9" i="9"/>
  <c r="H9" i="9"/>
  <c r="I9" i="9" s="1"/>
  <c r="G9" i="9"/>
  <c r="P8" i="9"/>
  <c r="H8" i="9"/>
  <c r="G8" i="9"/>
  <c r="I8" i="9" s="1"/>
  <c r="E8" i="9"/>
  <c r="P7" i="9"/>
  <c r="J7" i="9"/>
  <c r="H7" i="9"/>
  <c r="I7" i="9" s="1"/>
  <c r="G7" i="9"/>
  <c r="E7" i="9"/>
  <c r="P6" i="9"/>
  <c r="H6" i="9"/>
  <c r="G6" i="9"/>
  <c r="I6" i="9" s="1"/>
  <c r="F6" i="9"/>
  <c r="E6" i="9"/>
  <c r="P5" i="9"/>
  <c r="J5" i="9"/>
  <c r="I5" i="9"/>
  <c r="H5" i="9"/>
  <c r="G5" i="9"/>
  <c r="F5" i="9"/>
  <c r="E5" i="9"/>
  <c r="P4" i="9"/>
  <c r="P12" i="9" s="1"/>
  <c r="P13" i="9" s="1"/>
  <c r="O16" i="9" s="1"/>
  <c r="I4" i="9"/>
  <c r="H4" i="9"/>
  <c r="H12" i="9" s="1"/>
  <c r="G4" i="9"/>
  <c r="J4" i="9" s="1"/>
  <c r="F4" i="9"/>
  <c r="E4" i="9"/>
  <c r="O3" i="9"/>
  <c r="N3" i="9"/>
  <c r="I3" i="9"/>
  <c r="H3" i="9"/>
  <c r="J3" i="9" s="1"/>
  <c r="G3" i="9"/>
  <c r="F3" i="9"/>
  <c r="E3" i="9"/>
  <c r="E12" i="9" s="1"/>
  <c r="Q12" i="8"/>
  <c r="D12" i="8"/>
  <c r="C12" i="8"/>
  <c r="P11" i="8"/>
  <c r="I11" i="8"/>
  <c r="H11" i="8"/>
  <c r="E11" i="8"/>
  <c r="P10" i="8"/>
  <c r="P9" i="8"/>
  <c r="I9" i="8"/>
  <c r="H9" i="8"/>
  <c r="E9" i="8"/>
  <c r="P8" i="8"/>
  <c r="I8" i="8"/>
  <c r="H8" i="8"/>
  <c r="E8" i="8"/>
  <c r="P7" i="8"/>
  <c r="P12" i="8" s="1"/>
  <c r="P13" i="8" s="1"/>
  <c r="O16" i="8" s="1"/>
  <c r="J7" i="8"/>
  <c r="I7" i="8"/>
  <c r="H7" i="8"/>
  <c r="G7" i="8"/>
  <c r="E7" i="8"/>
  <c r="P6" i="8"/>
  <c r="H6" i="8"/>
  <c r="J6" i="8" s="1"/>
  <c r="G6" i="8"/>
  <c r="F6" i="8"/>
  <c r="E6" i="8"/>
  <c r="P5" i="8"/>
  <c r="H5" i="8"/>
  <c r="I5" i="8" s="1"/>
  <c r="G5" i="8"/>
  <c r="J5" i="8" s="1"/>
  <c r="F5" i="8"/>
  <c r="E5" i="8"/>
  <c r="P4" i="8"/>
  <c r="J4" i="8"/>
  <c r="H4" i="8"/>
  <c r="I4" i="8" s="1"/>
  <c r="G4" i="8"/>
  <c r="G12" i="8" s="1"/>
  <c r="F4" i="8"/>
  <c r="E4" i="8"/>
  <c r="E12" i="8" s="1"/>
  <c r="N3" i="8"/>
  <c r="O3" i="8" s="1"/>
  <c r="J3" i="8"/>
  <c r="H3" i="8"/>
  <c r="I3" i="8" s="1"/>
  <c r="G3" i="8"/>
  <c r="F3" i="8"/>
  <c r="F12" i="8" s="1"/>
  <c r="H21" i="2" s="1"/>
  <c r="E3" i="8"/>
  <c r="Q12" i="7"/>
  <c r="F12" i="7"/>
  <c r="H20" i="2" s="1"/>
  <c r="D12" i="7"/>
  <c r="C12" i="7"/>
  <c r="P11" i="7"/>
  <c r="P10" i="7"/>
  <c r="H10" i="7"/>
  <c r="I10" i="7" s="1"/>
  <c r="G10" i="7"/>
  <c r="J10" i="7" s="1"/>
  <c r="F10" i="7"/>
  <c r="E10" i="7"/>
  <c r="P9" i="7"/>
  <c r="J9" i="7"/>
  <c r="H9" i="7"/>
  <c r="I9" i="7" s="1"/>
  <c r="G9" i="7"/>
  <c r="F9" i="7"/>
  <c r="E9" i="7"/>
  <c r="P8" i="7"/>
  <c r="I8" i="7"/>
  <c r="H8" i="7"/>
  <c r="J8" i="7" s="1"/>
  <c r="G8" i="7"/>
  <c r="F8" i="7"/>
  <c r="E8" i="7"/>
  <c r="E12" i="7" s="1"/>
  <c r="P7" i="7"/>
  <c r="J7" i="7"/>
  <c r="I7" i="7"/>
  <c r="H7" i="7"/>
  <c r="G7" i="7"/>
  <c r="F7" i="7"/>
  <c r="E7" i="7"/>
  <c r="P6" i="7"/>
  <c r="H6" i="7"/>
  <c r="I6" i="7" s="1"/>
  <c r="G6" i="7"/>
  <c r="F6" i="7"/>
  <c r="E6" i="7"/>
  <c r="P5" i="7"/>
  <c r="J5" i="7"/>
  <c r="I5" i="7"/>
  <c r="H5" i="7"/>
  <c r="G5" i="7"/>
  <c r="E5" i="7"/>
  <c r="P4" i="7"/>
  <c r="P12" i="7" s="1"/>
  <c r="P13" i="7" s="1"/>
  <c r="O16" i="7" s="1"/>
  <c r="H4" i="7"/>
  <c r="J4" i="7" s="1"/>
  <c r="G4" i="7"/>
  <c r="E4" i="7"/>
  <c r="O3" i="7"/>
  <c r="N3" i="7"/>
  <c r="H3" i="7"/>
  <c r="I3" i="7" s="1"/>
  <c r="G3" i="7"/>
  <c r="G12" i="7" s="1"/>
  <c r="E3" i="7"/>
  <c r="F13" i="6"/>
  <c r="H19" i="2" s="1"/>
  <c r="D13" i="6"/>
  <c r="C13" i="6"/>
  <c r="Q12" i="6"/>
  <c r="I12" i="6"/>
  <c r="H12" i="6"/>
  <c r="G12" i="6"/>
  <c r="J12" i="6" s="1"/>
  <c r="F12" i="6"/>
  <c r="E12" i="6"/>
  <c r="P11" i="6"/>
  <c r="H11" i="6"/>
  <c r="J11" i="6" s="1"/>
  <c r="G11" i="6"/>
  <c r="E11" i="6"/>
  <c r="P10" i="6"/>
  <c r="J10" i="6"/>
  <c r="H10" i="6"/>
  <c r="I10" i="6" s="1"/>
  <c r="G10" i="6"/>
  <c r="F10" i="6"/>
  <c r="E10" i="6"/>
  <c r="P9" i="6"/>
  <c r="I9" i="6"/>
  <c r="H9" i="6"/>
  <c r="J9" i="6" s="1"/>
  <c r="G9" i="6"/>
  <c r="F9" i="6"/>
  <c r="E9" i="6"/>
  <c r="P8" i="6"/>
  <c r="H8" i="6"/>
  <c r="G8" i="6"/>
  <c r="J8" i="6" s="1"/>
  <c r="F8" i="6"/>
  <c r="E8" i="6"/>
  <c r="P7" i="6"/>
  <c r="P12" i="6" s="1"/>
  <c r="P13" i="6" s="1"/>
  <c r="O16" i="6" s="1"/>
  <c r="H7" i="6"/>
  <c r="I7" i="6" s="1"/>
  <c r="G7" i="6"/>
  <c r="F7" i="6"/>
  <c r="E7" i="6"/>
  <c r="P6" i="6"/>
  <c r="J6" i="6"/>
  <c r="I6" i="6"/>
  <c r="H6" i="6"/>
  <c r="G6" i="6"/>
  <c r="E6" i="6"/>
  <c r="P5" i="6"/>
  <c r="H5" i="6"/>
  <c r="J5" i="6" s="1"/>
  <c r="G5" i="6"/>
  <c r="F5" i="6"/>
  <c r="E5" i="6"/>
  <c r="P4" i="6"/>
  <c r="J4" i="6"/>
  <c r="H4" i="6"/>
  <c r="G4" i="6"/>
  <c r="I4" i="6" s="1"/>
  <c r="F4" i="6"/>
  <c r="E4" i="6"/>
  <c r="N3" i="6"/>
  <c r="O3" i="6" s="1"/>
  <c r="I3" i="6"/>
  <c r="H3" i="6"/>
  <c r="J3" i="6" s="1"/>
  <c r="G3" i="6"/>
  <c r="G13" i="6" s="1"/>
  <c r="F3" i="6"/>
  <c r="E3" i="6"/>
  <c r="E13" i="6" s="1"/>
  <c r="Q12" i="5"/>
  <c r="P11" i="5"/>
  <c r="P10" i="5"/>
  <c r="D10" i="5"/>
  <c r="C10" i="5"/>
  <c r="P9" i="5"/>
  <c r="I9" i="5"/>
  <c r="H9" i="5"/>
  <c r="G9" i="5"/>
  <c r="J9" i="5" s="1"/>
  <c r="E9" i="5"/>
  <c r="P8" i="5"/>
  <c r="J8" i="5"/>
  <c r="H8" i="5"/>
  <c r="G8" i="5"/>
  <c r="I8" i="5" s="1"/>
  <c r="E8" i="5"/>
  <c r="P7" i="5"/>
  <c r="I7" i="5"/>
  <c r="H7" i="5"/>
  <c r="G7" i="5"/>
  <c r="J7" i="5" s="1"/>
  <c r="E7" i="5"/>
  <c r="P6" i="5"/>
  <c r="J6" i="5"/>
  <c r="H6" i="5"/>
  <c r="G6" i="5"/>
  <c r="I6" i="5" s="1"/>
  <c r="E6" i="5"/>
  <c r="P5" i="5"/>
  <c r="I5" i="5"/>
  <c r="H5" i="5"/>
  <c r="G5" i="5"/>
  <c r="J5" i="5" s="1"/>
  <c r="F5" i="5"/>
  <c r="E5" i="5"/>
  <c r="P4" i="5"/>
  <c r="P12" i="5" s="1"/>
  <c r="P13" i="5" s="1"/>
  <c r="O16" i="5" s="1"/>
  <c r="H4" i="5"/>
  <c r="J4" i="5" s="1"/>
  <c r="G4" i="5"/>
  <c r="F4" i="5"/>
  <c r="E4" i="5"/>
  <c r="O3" i="5"/>
  <c r="N3" i="5"/>
  <c r="H3" i="5"/>
  <c r="H10" i="5" s="1"/>
  <c r="G3" i="5"/>
  <c r="J3" i="5" s="1"/>
  <c r="F3" i="5"/>
  <c r="F10" i="5" s="1"/>
  <c r="H18" i="2" s="1"/>
  <c r="E3" i="5"/>
  <c r="E10" i="5" s="1"/>
  <c r="Q12" i="4"/>
  <c r="P11" i="4"/>
  <c r="F11" i="4"/>
  <c r="H17" i="2" s="1"/>
  <c r="D11" i="4"/>
  <c r="C11" i="4"/>
  <c r="P10" i="4"/>
  <c r="P9" i="4"/>
  <c r="J9" i="4"/>
  <c r="H9" i="4"/>
  <c r="I9" i="4" s="1"/>
  <c r="G9" i="4"/>
  <c r="E9" i="4"/>
  <c r="P8" i="4"/>
  <c r="J8" i="4"/>
  <c r="H8" i="4"/>
  <c r="I8" i="4" s="1"/>
  <c r="G8" i="4"/>
  <c r="E8" i="4"/>
  <c r="P7" i="4"/>
  <c r="J7" i="4"/>
  <c r="H7" i="4"/>
  <c r="I7" i="4" s="1"/>
  <c r="G7" i="4"/>
  <c r="E7" i="4"/>
  <c r="P6" i="4"/>
  <c r="J6" i="4"/>
  <c r="H6" i="4"/>
  <c r="I6" i="4" s="1"/>
  <c r="G6" i="4"/>
  <c r="E6" i="4"/>
  <c r="P5" i="4"/>
  <c r="J5" i="4"/>
  <c r="H5" i="4"/>
  <c r="I5" i="4" s="1"/>
  <c r="G5" i="4"/>
  <c r="F5" i="4"/>
  <c r="E5" i="4"/>
  <c r="P4" i="4"/>
  <c r="P12" i="4" s="1"/>
  <c r="P13" i="4" s="1"/>
  <c r="O16" i="4" s="1"/>
  <c r="I4" i="4"/>
  <c r="H4" i="4"/>
  <c r="J4" i="4" s="1"/>
  <c r="G4" i="4"/>
  <c r="E4" i="4"/>
  <c r="O3" i="4"/>
  <c r="N3" i="4"/>
  <c r="H3" i="4"/>
  <c r="H11" i="4" s="1"/>
  <c r="G3" i="4"/>
  <c r="J3" i="4" s="1"/>
  <c r="E3" i="4"/>
  <c r="E11" i="4" s="1"/>
  <c r="S11" i="3"/>
  <c r="E11" i="3"/>
  <c r="D11" i="3"/>
  <c r="F16" i="2" s="1"/>
  <c r="C11" i="3"/>
  <c r="S10" i="3"/>
  <c r="S9" i="3"/>
  <c r="S8" i="3"/>
  <c r="T8" i="3" s="1"/>
  <c r="S7" i="3"/>
  <c r="S6" i="3"/>
  <c r="T6" i="3" s="1"/>
  <c r="H6" i="3"/>
  <c r="J6" i="3" s="1"/>
  <c r="G6" i="3"/>
  <c r="G11" i="3" s="1"/>
  <c r="E6" i="3"/>
  <c r="T5" i="3"/>
  <c r="S5" i="3"/>
  <c r="H5" i="3"/>
  <c r="J5" i="3" s="1"/>
  <c r="G5" i="3"/>
  <c r="F5" i="3"/>
  <c r="F11" i="3" s="1"/>
  <c r="H16" i="2" s="1"/>
  <c r="H24" i="2" s="1"/>
  <c r="E5" i="3"/>
  <c r="S4" i="3"/>
  <c r="S12" i="3" s="1"/>
  <c r="J4" i="3"/>
  <c r="H4" i="3"/>
  <c r="I4" i="3" s="1"/>
  <c r="G4" i="3"/>
  <c r="E4" i="3"/>
  <c r="O3" i="3"/>
  <c r="P3" i="3" s="1"/>
  <c r="Q3" i="3" s="1"/>
  <c r="R3" i="3" s="1"/>
  <c r="N3" i="3"/>
  <c r="H3" i="3"/>
  <c r="H11" i="3" s="1"/>
  <c r="J11" i="3" s="1"/>
  <c r="G3" i="3"/>
  <c r="E3" i="3"/>
  <c r="N24" i="2"/>
  <c r="I24" i="2"/>
  <c r="D24" i="2"/>
  <c r="J23" i="2"/>
  <c r="L23" i="2" s="1"/>
  <c r="H23" i="2"/>
  <c r="G23" i="2"/>
  <c r="F23" i="2"/>
  <c r="F22" i="2"/>
  <c r="G22" i="2" s="1"/>
  <c r="J21" i="2"/>
  <c r="K21" i="2" s="1"/>
  <c r="G21" i="2"/>
  <c r="F20" i="2"/>
  <c r="G20" i="2" s="1"/>
  <c r="F19" i="2"/>
  <c r="J19" i="2" s="1"/>
  <c r="F18" i="2"/>
  <c r="J18" i="2" s="1"/>
  <c r="F17" i="2"/>
  <c r="G17" i="2" s="1"/>
  <c r="O16" i="2"/>
  <c r="D12" i="2"/>
  <c r="F11" i="2"/>
  <c r="G11" i="2" s="1"/>
  <c r="E10" i="2"/>
  <c r="F10" i="2" s="1"/>
  <c r="G10" i="2" s="1"/>
  <c r="E9" i="2"/>
  <c r="F9" i="2" s="1"/>
  <c r="G9" i="2" s="1"/>
  <c r="E8" i="2"/>
  <c r="F8" i="2" s="1"/>
  <c r="G8" i="2" s="1"/>
  <c r="E7" i="2"/>
  <c r="F7" i="2" s="1"/>
  <c r="G7" i="2" s="1"/>
  <c r="E6" i="2"/>
  <c r="F6" i="2" s="1"/>
  <c r="G6" i="2" s="1"/>
  <c r="E5" i="2"/>
  <c r="F5" i="2" s="1"/>
  <c r="G5" i="2" s="1"/>
  <c r="E4" i="2"/>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35" i="1" s="1"/>
  <c r="G5" i="1" l="1"/>
  <c r="L21" i="2"/>
  <c r="J22" i="2"/>
  <c r="K22" i="2" s="1"/>
  <c r="L22" i="2"/>
  <c r="L19" i="2"/>
  <c r="K19" i="2"/>
  <c r="Q16" i="7"/>
  <c r="M20" i="2"/>
  <c r="O20" i="2" s="1"/>
  <c r="I12" i="9"/>
  <c r="Q16" i="9"/>
  <c r="M22" i="2"/>
  <c r="O22" i="2" s="1"/>
  <c r="J12" i="9"/>
  <c r="Q16" i="5"/>
  <c r="M18" i="2"/>
  <c r="O18" i="2" s="1"/>
  <c r="Q16" i="4"/>
  <c r="M17" i="2"/>
  <c r="O17" i="2" s="1"/>
  <c r="Q16" i="10"/>
  <c r="M23" i="2"/>
  <c r="O23" i="2" s="1"/>
  <c r="F24" i="2"/>
  <c r="J16" i="2"/>
  <c r="G16" i="2"/>
  <c r="G24" i="2" s="1"/>
  <c r="J11" i="4"/>
  <c r="J17" i="2"/>
  <c r="Q16" i="8"/>
  <c r="M21" i="2"/>
  <c r="O21" i="2" s="1"/>
  <c r="I12" i="7"/>
  <c r="L18" i="2"/>
  <c r="K18" i="2"/>
  <c r="Q16" i="6"/>
  <c r="M19" i="2"/>
  <c r="O19" i="2" s="1"/>
  <c r="E12" i="2"/>
  <c r="F12" i="2"/>
  <c r="J20" i="2"/>
  <c r="K23" i="2"/>
  <c r="I5" i="3"/>
  <c r="I5" i="6"/>
  <c r="I13" i="6" s="1"/>
  <c r="I4" i="7"/>
  <c r="G19" i="2"/>
  <c r="J7" i="6"/>
  <c r="J6" i="7"/>
  <c r="H12" i="7"/>
  <c r="J12" i="7" s="1"/>
  <c r="J6" i="9"/>
  <c r="H12" i="8"/>
  <c r="J12" i="8" s="1"/>
  <c r="I4" i="5"/>
  <c r="I11" i="6"/>
  <c r="G12" i="9"/>
  <c r="I3" i="10"/>
  <c r="I11" i="10" s="1"/>
  <c r="H11" i="10"/>
  <c r="J11" i="10" s="1"/>
  <c r="J3" i="7"/>
  <c r="G18" i="2"/>
  <c r="I3" i="3"/>
  <c r="G11" i="4"/>
  <c r="G10" i="5"/>
  <c r="J10" i="5" s="1"/>
  <c r="J3" i="3"/>
  <c r="T4" i="3"/>
  <c r="T12" i="3" s="1"/>
  <c r="S13" i="3" s="1"/>
  <c r="R16" i="3" s="1"/>
  <c r="M16" i="2" s="1"/>
  <c r="I6" i="3"/>
  <c r="I3" i="4"/>
  <c r="I11" i="4" s="1"/>
  <c r="I3" i="5"/>
  <c r="I8" i="6"/>
  <c r="H13" i="6"/>
  <c r="J13" i="6" s="1"/>
  <c r="I6" i="8"/>
  <c r="I12" i="8" s="1"/>
  <c r="G6" i="1" l="1"/>
  <c r="G4" i="1"/>
  <c r="M24" i="2"/>
  <c r="J24" i="2"/>
  <c r="L16" i="2"/>
  <c r="K16" i="2"/>
  <c r="L17" i="2"/>
  <c r="K17" i="2"/>
  <c r="K20" i="2"/>
  <c r="L20" i="2"/>
  <c r="O24" i="2"/>
  <c r="I11" i="3"/>
  <c r="I10" i="5"/>
  <c r="K24" i="2" l="1"/>
</calcChain>
</file>

<file path=xl/sharedStrings.xml><?xml version="1.0" encoding="utf-8"?>
<sst xmlns="http://schemas.openxmlformats.org/spreadsheetml/2006/main" count="334" uniqueCount="111">
  <si>
    <t>User Story ID</t>
  </si>
  <si>
    <t>User Story</t>
  </si>
  <si>
    <t>Iteration Expenditure Estimates</t>
  </si>
  <si>
    <t>Estimated Days to Complete</t>
  </si>
  <si>
    <t xml:space="preserve"> Estimation in Hours</t>
  </si>
  <si>
    <t>Programming Hours</t>
  </si>
  <si>
    <t>Estimated Hrs</t>
  </si>
  <si>
    <t>Actual Hrs</t>
  </si>
  <si>
    <t>Hrs Difference</t>
  </si>
  <si>
    <t>Iteration Period</t>
  </si>
  <si>
    <t>Completion</t>
  </si>
  <si>
    <t>User Stories</t>
  </si>
  <si>
    <t>Estimated Cost</t>
  </si>
  <si>
    <t>Estimated Total Hrs</t>
  </si>
  <si>
    <t>Current Cost</t>
  </si>
  <si>
    <t>Cost Difference</t>
  </si>
  <si>
    <t>Cost</t>
  </si>
  <si>
    <t>Cost with Admin Hours (£)</t>
  </si>
  <si>
    <t>Percentage Expenditure</t>
  </si>
  <si>
    <t>Per Week Of Iteration (£)</t>
  </si>
  <si>
    <t>Week 2</t>
  </si>
  <si>
    <t>Iteration 0 (16th Jan - 20th Feb)</t>
  </si>
  <si>
    <t>Week 3</t>
  </si>
  <si>
    <t>Week 4</t>
  </si>
  <si>
    <t>Week 5</t>
  </si>
  <si>
    <t>Week 6</t>
  </si>
  <si>
    <t>Week 7</t>
  </si>
  <si>
    <t>Total Hours From User Stories:</t>
  </si>
  <si>
    <t>Programming Hrs</t>
  </si>
  <si>
    <t>Admin Hours Hrs</t>
  </si>
  <si>
    <t>Hours Per Person:</t>
  </si>
  <si>
    <t xml:space="preserve">001, 002, 004, 020
</t>
  </si>
  <si>
    <t>n/a</t>
  </si>
  <si>
    <t>Iteration 1 (20th Feb - 5th Mar)</t>
  </si>
  <si>
    <t>003, 004, 008, 009, 010, 014, 016</t>
  </si>
  <si>
    <t>Iteration 2 (5th Mar - 19th Mar)</t>
  </si>
  <si>
    <t>012, 015, 017</t>
  </si>
  <si>
    <t>Iteration 3 (19th Mar - 2nd Apr)</t>
  </si>
  <si>
    <t>006, 007, 018, 019</t>
  </si>
  <si>
    <t>Hours Per Iteration:</t>
  </si>
  <si>
    <t>Iteration 4 (2nd Apr - 16th Apr)</t>
  </si>
  <si>
    <t>021, 022, 023, 027, 028</t>
  </si>
  <si>
    <t>Iteration 5 (16th Apr - 30th Apr)</t>
  </si>
  <si>
    <t>024, 025, 030</t>
  </si>
  <si>
    <t>Hours Per Person Per Iteration:</t>
  </si>
  <si>
    <t>Iteration 6 (30th Apr - 14th May)</t>
  </si>
  <si>
    <t>011, 013, 026, 029</t>
  </si>
  <si>
    <t>Daniel Bishop</t>
  </si>
  <si>
    <t>Iteration 7 (14th May - 28th May)</t>
  </si>
  <si>
    <t>-</t>
  </si>
  <si>
    <t>Oliver Clarke</t>
  </si>
  <si>
    <t>James Gardner</t>
  </si>
  <si>
    <t>Total:</t>
  </si>
  <si>
    <t>Stijn Marynissen</t>
  </si>
  <si>
    <t>Iteration Actual Expenditure</t>
  </si>
  <si>
    <t>Extra Hours</t>
  </si>
  <si>
    <t>Iteration Cost</t>
  </si>
  <si>
    <t>Iteration Budget</t>
  </si>
  <si>
    <t>Remaining Iteration Budget</t>
  </si>
  <si>
    <t>Notes</t>
  </si>
  <si>
    <t>001, 002, 004, 020</t>
  </si>
  <si>
    <t>Che McKirgan</t>
  </si>
  <si>
    <t>Cameron Smith</t>
  </si>
  <si>
    <t>Iteration 0 is seen as a research &amp; development stage. Was started before any budget had been made, hence no budget. Under-estimated programming time.</t>
  </si>
  <si>
    <t>Oliver Still</t>
  </si>
  <si>
    <t>Eric Walker</t>
  </si>
  <si>
    <t>Well within budget, however user stories have not been fully complete and are now passed into the next iteration. Completion - expenditure percentage ratio is good. Will have to be careful that user stories do not start to pile up between iterations.</t>
  </si>
  <si>
    <t>Week 8</t>
  </si>
  <si>
    <t>Week 9</t>
  </si>
  <si>
    <r>
      <t xml:space="preserve">012, 015, 017, </t>
    </r>
    <r>
      <rPr>
        <sz val="10"/>
        <color rgb="FFCC0000"/>
        <rFont val="Arial"/>
      </rPr>
      <t>010</t>
    </r>
    <r>
      <rPr>
        <sz val="10"/>
        <color rgb="FF000000"/>
        <rFont val="Arial"/>
      </rPr>
      <t xml:space="preserve">, </t>
    </r>
    <r>
      <rPr>
        <sz val="10"/>
        <color rgb="FFCC0000"/>
        <rFont val="Arial"/>
      </rPr>
      <t>014</t>
    </r>
    <r>
      <rPr>
        <sz val="10"/>
        <color rgb="FF000000"/>
        <rFont val="Arial"/>
      </rPr>
      <t xml:space="preserve">, </t>
    </r>
    <r>
      <rPr>
        <sz val="10"/>
        <color rgb="FF6AA84F"/>
        <rFont val="Arial"/>
      </rPr>
      <t>029</t>
    </r>
    <r>
      <rPr>
        <sz val="10"/>
        <color rgb="FF000000"/>
        <rFont val="Arial"/>
      </rPr>
      <t xml:space="preserve">, </t>
    </r>
    <r>
      <rPr>
        <sz val="10"/>
        <color rgb="FF6AA84F"/>
        <rFont val="Arial"/>
      </rPr>
      <t>031</t>
    </r>
  </si>
  <si>
    <t>Total Programming Hrs</t>
  </si>
  <si>
    <t>Total Admin Hrs</t>
  </si>
  <si>
    <t>Total Hours:</t>
  </si>
  <si>
    <t>Included 2 new user stories (31 &amp; 32) to for additional GUI elements, covered by the remaining budget from Iteration 1. Due to external deadlines (VHDL), compeltion is expected to be slightly under again.</t>
  </si>
  <si>
    <r>
      <t xml:space="preserve">006, 007, 018, 019, </t>
    </r>
    <r>
      <rPr>
        <sz val="10"/>
        <color rgb="FFCC0000"/>
        <rFont val="Arial"/>
      </rPr>
      <t>010</t>
    </r>
    <r>
      <rPr>
        <sz val="10"/>
        <color rgb="FF000000"/>
        <rFont val="Arial"/>
      </rPr>
      <t xml:space="preserve">, </t>
    </r>
    <r>
      <rPr>
        <sz val="10"/>
        <color rgb="FFCC0000"/>
        <rFont val="Arial"/>
      </rPr>
      <t>012</t>
    </r>
    <r>
      <rPr>
        <sz val="10"/>
        <color rgb="FF000000"/>
        <rFont val="Arial"/>
      </rPr>
      <t xml:space="preserve">, </t>
    </r>
    <r>
      <rPr>
        <sz val="10"/>
        <color rgb="FFCC0000"/>
        <rFont val="Arial"/>
      </rPr>
      <t>015</t>
    </r>
    <r>
      <rPr>
        <sz val="10"/>
        <color rgb="FF000000"/>
        <rFont val="Arial"/>
      </rPr>
      <t xml:space="preserve">, </t>
    </r>
    <r>
      <rPr>
        <sz val="10"/>
        <color rgb="FFCC0000"/>
        <rFont val="Arial"/>
      </rPr>
      <t>017</t>
    </r>
    <r>
      <rPr>
        <sz val="10"/>
        <color rgb="FF000000"/>
        <rFont val="Arial"/>
      </rPr>
      <t xml:space="preserve">, </t>
    </r>
    <r>
      <rPr>
        <sz val="10"/>
        <color rgb="FFCC0000"/>
        <rFont val="Arial"/>
      </rPr>
      <t>029</t>
    </r>
    <r>
      <rPr>
        <sz val="10"/>
        <color rgb="FF000000"/>
        <rFont val="Arial"/>
      </rPr>
      <t xml:space="preserve">, </t>
    </r>
    <r>
      <rPr>
        <sz val="10"/>
        <color rgb="FF6AA84F"/>
        <rFont val="Arial"/>
      </rPr>
      <t>032</t>
    </r>
  </si>
  <si>
    <t>Combined:</t>
  </si>
  <si>
    <t>Budget</t>
  </si>
  <si>
    <t>University course deadlines meant user stories were not complete. User stories increased from 4 to 10 and we completed 7 of them. This meant some followed through to iteration 4.</t>
  </si>
  <si>
    <t>Remaining Budget</t>
  </si>
  <si>
    <r>
      <t xml:space="preserve">021, 022, 023, 027, 028, </t>
    </r>
    <r>
      <rPr>
        <sz val="10"/>
        <color rgb="FFCC0000"/>
        <rFont val="Arial"/>
      </rPr>
      <t>017</t>
    </r>
    <r>
      <rPr>
        <sz val="10"/>
        <color rgb="FF000000"/>
        <rFont val="Arial"/>
      </rPr>
      <t xml:space="preserve">, </t>
    </r>
    <r>
      <rPr>
        <sz val="10"/>
        <color rgb="FFCC0000"/>
        <rFont val="Arial"/>
      </rPr>
      <t>029</t>
    </r>
    <r>
      <rPr>
        <sz val="10"/>
        <color rgb="FF000000"/>
        <rFont val="Arial"/>
      </rPr>
      <t xml:space="preserve">, </t>
    </r>
    <r>
      <rPr>
        <sz val="10"/>
        <color rgb="FFCC0000"/>
        <rFont val="Arial"/>
      </rPr>
      <t>032</t>
    </r>
  </si>
  <si>
    <t>Modules that utilised server handlers needed a second listener thread on the client side in order to effectively function. Thus, one was made half way in between the iteration and development on server modules were delayed.</t>
  </si>
  <si>
    <r>
      <t xml:space="preserve">024, 025, 030, </t>
    </r>
    <r>
      <rPr>
        <sz val="10"/>
        <color rgb="FFCC0000"/>
        <rFont val="Arial"/>
      </rPr>
      <t>023</t>
    </r>
    <r>
      <rPr>
        <sz val="10"/>
        <color rgb="FF000000"/>
        <rFont val="Arial"/>
      </rPr>
      <t xml:space="preserve">, </t>
    </r>
    <r>
      <rPr>
        <sz val="10"/>
        <color rgb="FFCC0000"/>
        <rFont val="Arial"/>
      </rPr>
      <t>027</t>
    </r>
    <r>
      <rPr>
        <sz val="10"/>
        <color rgb="FF000000"/>
        <rFont val="Arial"/>
      </rPr>
      <t xml:space="preserve">, </t>
    </r>
    <r>
      <rPr>
        <sz val="10"/>
        <color rgb="FFCC0000"/>
        <rFont val="Arial"/>
      </rPr>
      <t>029</t>
    </r>
    <r>
      <rPr>
        <sz val="10"/>
        <color rgb="FF000000"/>
        <rFont val="Arial"/>
      </rPr>
      <t xml:space="preserve">, </t>
    </r>
    <r>
      <rPr>
        <sz val="10"/>
        <color rgb="FFCC0000"/>
        <rFont val="Arial"/>
      </rPr>
      <t>032</t>
    </r>
    <r>
      <rPr>
        <sz val="10"/>
        <color rgb="FF000000"/>
        <rFont val="Arial"/>
      </rPr>
      <t>,</t>
    </r>
    <r>
      <rPr>
        <sz val="10"/>
        <color rgb="FFCC0000"/>
        <rFont val="Arial"/>
      </rPr>
      <t xml:space="preserve"> </t>
    </r>
    <r>
      <rPr>
        <sz val="10"/>
        <color rgb="FFE69138"/>
        <rFont val="Arial"/>
      </rPr>
      <t>004</t>
    </r>
    <r>
      <rPr>
        <sz val="10"/>
        <color rgb="FF000000"/>
        <rFont val="Arial"/>
      </rPr>
      <t>,</t>
    </r>
    <r>
      <rPr>
        <sz val="10"/>
        <color rgb="FFE69138"/>
        <rFont val="Arial"/>
      </rPr>
      <t xml:space="preserve"> 003</t>
    </r>
  </si>
  <si>
    <t>Big push to finish all overdue user stories and begin large merge for next iteration to produce full-featured program. Actual planned user stories mostly complete, apart from webcam which had no progress. O.S. made major updates to previous user stories 003 and 004.</t>
  </si>
  <si>
    <r>
      <t xml:space="preserve">011, 013, 026, 029, </t>
    </r>
    <r>
      <rPr>
        <sz val="10"/>
        <color rgb="FFCC0000"/>
        <rFont val="Arial"/>
      </rPr>
      <t>025</t>
    </r>
    <r>
      <rPr>
        <sz val="10"/>
        <color rgb="FF000000"/>
        <rFont val="Arial"/>
      </rPr>
      <t xml:space="preserve">, </t>
    </r>
    <r>
      <rPr>
        <sz val="10"/>
        <color rgb="FFCC0000"/>
        <rFont val="Arial"/>
      </rPr>
      <t>032</t>
    </r>
  </si>
  <si>
    <t>All assigned user stories were completed as part of the functionality implemented in the previous iterations, leaving the only work to be updates or overdue stories. Story 13 was also outsourced.</t>
  </si>
  <si>
    <r>
      <rPr>
        <sz val="10"/>
        <color rgb="FFCC0000"/>
        <rFont val="Arial"/>
      </rPr>
      <t>025</t>
    </r>
    <r>
      <rPr>
        <sz val="10"/>
        <color rgb="FF000000"/>
        <rFont val="Arial"/>
      </rPr>
      <t xml:space="preserve">, </t>
    </r>
    <r>
      <rPr>
        <sz val="10"/>
        <color rgb="FFCC0000"/>
        <rFont val="Arial"/>
      </rPr>
      <t>030</t>
    </r>
    <r>
      <rPr>
        <sz val="10"/>
        <color rgb="FF000000"/>
        <rFont val="Arial"/>
      </rPr>
      <t>,</t>
    </r>
    <r>
      <rPr>
        <sz val="10"/>
        <color rgb="FFCC0000"/>
        <rFont val="Arial"/>
      </rPr>
      <t xml:space="preserve"> </t>
    </r>
    <r>
      <rPr>
        <sz val="10"/>
        <color rgb="FFE69138"/>
        <rFont val="Arial"/>
      </rPr>
      <t>003</t>
    </r>
  </si>
  <si>
    <t>Week 10</t>
  </si>
  <si>
    <t>Break 1</t>
  </si>
  <si>
    <t>10 (Overdue)</t>
  </si>
  <si>
    <t>No assigned stories; iteration is used as a buffer to polish project and fix bugs.</t>
  </si>
  <si>
    <t>14 (Overdue)</t>
  </si>
  <si>
    <t>31 (New)</t>
  </si>
  <si>
    <t>29 (New)</t>
  </si>
  <si>
    <t>Break 2</t>
  </si>
  <si>
    <t>Break 3</t>
  </si>
  <si>
    <t>Break 4</t>
  </si>
  <si>
    <t>Week 1</t>
  </si>
  <si>
    <t>12 (Overdue)</t>
  </si>
  <si>
    <t>15 (Overdue)</t>
  </si>
  <si>
    <t>23 (Overdue)</t>
  </si>
  <si>
    <t>17 (Overdue)</t>
  </si>
  <si>
    <t>27 (Overdue)</t>
  </si>
  <si>
    <t>29 (Overdue)</t>
  </si>
  <si>
    <t>32 (New)</t>
  </si>
  <si>
    <t>32 (Overdue)</t>
  </si>
  <si>
    <t>03 (Updates)</t>
  </si>
  <si>
    <t>04 (Updates)</t>
  </si>
  <si>
    <t>25 (Overdue)</t>
  </si>
  <si>
    <t>13 (Outsourced)</t>
  </si>
  <si>
    <t>30 (Overdue)</t>
  </si>
  <si>
    <t>06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</si>
</sst>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809]* #,##0.000_);_([$£-809]* \(#,##0.000\);_([$£-809]* &quot;-&quot;??.0_);_(@_)"/>
    <numFmt numFmtId="165" formatCode="_([$£-809]* #,##0.00_);_([$£-809]* \(#,##0.00\);_([$£-809]* &quot;-&quot;??_);_(@_)"/>
  </numFmts>
  <fonts count="19" x14ac:knownFonts="1">
    <font>
      <sz val="10"/>
      <color rgb="FF000000"/>
      <name val="Arial"/>
    </font>
    <font>
      <b/>
      <sz val="10"/>
      <name val="Arial"/>
    </font>
    <font>
      <sz val="10"/>
      <color theme="1"/>
      <name val="Arial"/>
    </font>
    <font>
      <b/>
      <sz val="10"/>
      <color theme="1"/>
      <name val="Arial"/>
    </font>
    <font>
      <b/>
      <sz val="12"/>
      <color theme="1"/>
      <name val="Arial"/>
    </font>
    <font>
      <b/>
      <sz val="10"/>
      <color rgb="FFFFFFFF"/>
      <name val="Arial"/>
    </font>
    <font>
      <sz val="11"/>
      <color rgb="FF000000"/>
      <name val="Arial"/>
    </font>
    <font>
      <sz val="10"/>
      <name val="Arial"/>
    </font>
    <font>
      <sz val="10"/>
      <color rgb="FFFFFFFF"/>
      <name val="Arial"/>
    </font>
    <font>
      <sz val="10"/>
      <name val="Arial"/>
    </font>
    <font>
      <i/>
      <sz val="10"/>
      <color theme="1"/>
      <name val="Arial"/>
    </font>
    <font>
      <b/>
      <sz val="10"/>
      <color rgb="FF000000"/>
      <name val="Arial"/>
    </font>
    <font>
      <sz val="10"/>
      <color rgb="FF000000"/>
      <name val="Arial"/>
    </font>
    <font>
      <i/>
      <sz val="10"/>
      <color rgb="FF000000"/>
      <name val="Arial"/>
    </font>
    <font>
      <sz val="10"/>
      <color rgb="FFCC0000"/>
      <name val="Arial"/>
    </font>
    <font>
      <sz val="10"/>
      <color rgb="FFFF0000"/>
      <name val="Arial"/>
    </font>
    <font>
      <sz val="10"/>
      <color rgb="FF6AA84F"/>
      <name val="Arial"/>
    </font>
    <font>
      <sz val="10"/>
      <color rgb="FFE69138"/>
      <name val="Arial"/>
    </font>
    <font>
      <b/>
      <sz val="10"/>
      <color rgb="FF000000"/>
      <name val="Arial"/>
      <family val="2"/>
    </font>
  </fonts>
  <fills count="14">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073763"/>
        <bgColor rgb="FF073763"/>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D8E9D0"/>
        <bgColor rgb="FFD8E9D0"/>
      </patternFill>
    </fill>
    <fill>
      <patternFill patternType="solid">
        <fgColor rgb="FFDFEED8"/>
        <bgColor rgb="FFDFEED8"/>
      </patternFill>
    </fill>
    <fill>
      <patternFill patternType="solid">
        <fgColor rgb="FF93C47D"/>
        <bgColor rgb="FF93C47D"/>
      </patternFill>
    </fill>
    <fill>
      <patternFill patternType="solid">
        <fgColor rgb="FFFCE5CD"/>
        <bgColor rgb="FFFCE5CD"/>
      </patternFill>
    </fill>
    <fill>
      <patternFill patternType="solid">
        <fgColor rgb="FFEA9999"/>
        <bgColor rgb="FFEA9999"/>
      </patternFill>
    </fill>
    <fill>
      <patternFill patternType="solid">
        <fgColor rgb="FFD4E8CB"/>
        <bgColor rgb="FFD4E8CB"/>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dotted">
        <color rgb="FF000000"/>
      </bottom>
      <diagonal/>
    </border>
    <border>
      <left/>
      <right style="thin">
        <color rgb="FF000000"/>
      </right>
      <top/>
      <bottom style="dotted">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dotted">
        <color rgb="FF000000"/>
      </top>
      <bottom/>
      <diagonal/>
    </border>
    <border>
      <left style="thin">
        <color rgb="FF000000"/>
      </left>
      <right style="thin">
        <color rgb="FF000000"/>
      </right>
      <top style="dotted">
        <color rgb="FF000000"/>
      </top>
      <bottom style="dotted">
        <color rgb="FF000000"/>
      </bottom>
      <diagonal/>
    </border>
    <border>
      <left/>
      <right style="thin">
        <color rgb="FF000000"/>
      </right>
      <top/>
      <bottom/>
      <diagonal/>
    </border>
    <border>
      <left style="thin">
        <color rgb="FF000000"/>
      </left>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dotted">
        <color rgb="FF000000"/>
      </right>
      <top style="dotted">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7">
    <xf numFmtId="0" fontId="0" fillId="0" borderId="0" xfId="0" applyFont="1" applyAlignment="1"/>
    <xf numFmtId="0" fontId="2" fillId="0" borderId="0" xfId="0" applyFont="1" applyAlignment="1"/>
    <xf numFmtId="0" fontId="3" fillId="0" borderId="0" xfId="0" applyFont="1" applyAlignment="1">
      <alignment horizontal="center"/>
    </xf>
    <xf numFmtId="0" fontId="3" fillId="3" borderId="1" xfId="0" applyFont="1" applyFill="1" applyBorder="1" applyAlignment="1">
      <alignment horizontal="center" vertical="center"/>
    </xf>
    <xf numFmtId="0" fontId="4" fillId="0" borderId="0" xfId="0" applyFont="1" applyAlignment="1">
      <alignment horizontal="left"/>
    </xf>
    <xf numFmtId="164" fontId="5" fillId="4" borderId="3" xfId="0" applyNumberFormat="1" applyFont="1" applyFill="1" applyBorder="1" applyAlignment="1">
      <alignment horizontal="center"/>
    </xf>
    <xf numFmtId="0" fontId="6" fillId="0" borderId="5" xfId="0" applyFont="1" applyBorder="1" applyAlignment="1">
      <alignment horizontal="center"/>
    </xf>
    <xf numFmtId="164" fontId="5" fillId="4" borderId="6" xfId="0" applyNumberFormat="1" applyFont="1" applyFill="1" applyBorder="1" applyAlignment="1">
      <alignment horizontal="center"/>
    </xf>
    <xf numFmtId="0" fontId="3" fillId="0" borderId="0" xfId="0" applyFont="1" applyAlignment="1">
      <alignment horizontal="right"/>
    </xf>
    <xf numFmtId="0" fontId="2" fillId="3" borderId="4" xfId="0" applyFont="1" applyFill="1" applyBorder="1" applyAlignment="1">
      <alignment horizontal="center"/>
    </xf>
    <xf numFmtId="2" fontId="2" fillId="3" borderId="4" xfId="0" applyNumberFormat="1" applyFont="1" applyFill="1" applyBorder="1" applyAlignment="1">
      <alignment horizontal="center"/>
    </xf>
    <xf numFmtId="0" fontId="2" fillId="0" borderId="0" xfId="0" applyFont="1" applyAlignment="1">
      <alignment horizontal="center"/>
    </xf>
    <xf numFmtId="2" fontId="2" fillId="3" borderId="7" xfId="0" applyNumberFormat="1" applyFont="1" applyFill="1" applyBorder="1" applyAlignment="1">
      <alignment horizontal="center"/>
    </xf>
    <xf numFmtId="0" fontId="7" fillId="0" borderId="5" xfId="0" applyFont="1" applyBorder="1" applyAlignment="1">
      <alignment horizontal="center"/>
    </xf>
    <xf numFmtId="9" fontId="2" fillId="3" borderId="4" xfId="0" applyNumberFormat="1" applyFont="1" applyFill="1" applyBorder="1" applyAlignment="1">
      <alignment horizontal="center"/>
    </xf>
    <xf numFmtId="43" fontId="2" fillId="0" borderId="4" xfId="0" applyNumberFormat="1" applyFont="1" applyBorder="1" applyAlignment="1">
      <alignment horizontal="left" vertical="center"/>
    </xf>
    <xf numFmtId="165" fontId="2" fillId="3" borderId="4" xfId="0" applyNumberFormat="1" applyFont="1" applyFill="1" applyBorder="1" applyAlignment="1">
      <alignment horizontal="center"/>
    </xf>
    <xf numFmtId="0" fontId="2" fillId="0" borderId="4" xfId="0" applyFont="1" applyBorder="1" applyAlignment="1">
      <alignment horizontal="center"/>
    </xf>
    <xf numFmtId="165" fontId="2" fillId="3" borderId="8" xfId="0" applyNumberFormat="1" applyFont="1" applyFill="1" applyBorder="1" applyAlignment="1">
      <alignment horizontal="center"/>
    </xf>
    <xf numFmtId="165" fontId="2" fillId="0" borderId="4" xfId="0" applyNumberFormat="1" applyFont="1" applyBorder="1" applyAlignment="1">
      <alignment horizontal="center" vertical="center"/>
    </xf>
    <xf numFmtId="9" fontId="2" fillId="3" borderId="4" xfId="0" applyNumberFormat="1" applyFont="1" applyFill="1" applyBorder="1" applyAlignment="1">
      <alignment horizontal="center"/>
    </xf>
    <xf numFmtId="2" fontId="2" fillId="0" borderId="0" xfId="0" applyNumberFormat="1" applyFont="1"/>
    <xf numFmtId="165" fontId="2" fillId="0" borderId="4" xfId="0" applyNumberFormat="1" applyFont="1" applyBorder="1" applyAlignment="1">
      <alignment horizontal="right" vertical="center"/>
    </xf>
    <xf numFmtId="14" fontId="8" fillId="4" borderId="9" xfId="0" applyNumberFormat="1" applyFont="1" applyFill="1" applyBorder="1" applyAlignment="1">
      <alignment horizontal="center"/>
    </xf>
    <xf numFmtId="165" fontId="2" fillId="0" borderId="0" xfId="0" applyNumberFormat="1" applyFont="1"/>
    <xf numFmtId="43" fontId="2" fillId="0" borderId="8" xfId="0" applyNumberFormat="1" applyFont="1" applyBorder="1" applyAlignment="1">
      <alignment horizontal="left" vertical="center"/>
    </xf>
    <xf numFmtId="43" fontId="2" fillId="0" borderId="8" xfId="0" applyNumberFormat="1" applyFont="1" applyBorder="1" applyAlignment="1">
      <alignment horizontal="left" vertical="center"/>
    </xf>
    <xf numFmtId="0" fontId="2" fillId="3" borderId="8" xfId="0" applyFont="1" applyFill="1" applyBorder="1" applyAlignment="1">
      <alignment horizontal="center"/>
    </xf>
    <xf numFmtId="0" fontId="2" fillId="0" borderId="8" xfId="0" applyFont="1" applyBorder="1" applyAlignment="1">
      <alignment horizontal="center"/>
    </xf>
    <xf numFmtId="2" fontId="2" fillId="3" borderId="8" xfId="0" applyNumberFormat="1" applyFont="1" applyFill="1" applyBorder="1" applyAlignment="1">
      <alignment horizontal="center"/>
    </xf>
    <xf numFmtId="165" fontId="2" fillId="0" borderId="8" xfId="0" applyNumberFormat="1" applyFont="1" applyBorder="1" applyAlignment="1">
      <alignment horizontal="center" vertical="center"/>
    </xf>
    <xf numFmtId="0" fontId="2" fillId="0" borderId="5" xfId="0" applyFont="1" applyBorder="1" applyAlignment="1">
      <alignment horizontal="center"/>
    </xf>
    <xf numFmtId="9" fontId="2" fillId="3" borderId="8" xfId="0" applyNumberFormat="1" applyFont="1" applyFill="1" applyBorder="1" applyAlignment="1">
      <alignment horizontal="center"/>
    </xf>
    <xf numFmtId="1" fontId="2" fillId="0" borderId="0" xfId="0" applyNumberFormat="1" applyFont="1" applyAlignment="1">
      <alignment horizontal="center"/>
    </xf>
    <xf numFmtId="0" fontId="7" fillId="0" borderId="5" xfId="0" applyFont="1" applyBorder="1" applyAlignment="1">
      <alignment horizontal="center"/>
    </xf>
    <xf numFmtId="9" fontId="2" fillId="3" borderId="8" xfId="0" applyNumberFormat="1" applyFont="1" applyFill="1" applyBorder="1" applyAlignment="1">
      <alignment horizontal="center"/>
    </xf>
    <xf numFmtId="164" fontId="10" fillId="2" borderId="10" xfId="0" applyNumberFormat="1" applyFont="1" applyFill="1" applyBorder="1" applyAlignment="1">
      <alignment horizontal="right"/>
    </xf>
    <xf numFmtId="0" fontId="2" fillId="0" borderId="11" xfId="0" applyFont="1" applyBorder="1" applyAlignment="1">
      <alignment horizontal="center"/>
    </xf>
    <xf numFmtId="0" fontId="2" fillId="0" borderId="12" xfId="0" applyFont="1" applyBorder="1" applyAlignment="1">
      <alignment horizontal="center"/>
    </xf>
    <xf numFmtId="0" fontId="12" fillId="0" borderId="5" xfId="0" applyFont="1" applyBorder="1" applyAlignment="1">
      <alignment horizontal="center"/>
    </xf>
    <xf numFmtId="0" fontId="2" fillId="0" borderId="13" xfId="0" applyFont="1" applyBorder="1" applyAlignment="1">
      <alignment horizontal="center"/>
    </xf>
    <xf numFmtId="0" fontId="12" fillId="0" borderId="5" xfId="0" applyFont="1" applyBorder="1" applyAlignment="1">
      <alignment horizontal="center"/>
    </xf>
    <xf numFmtId="0" fontId="3" fillId="0" borderId="14" xfId="0" applyFont="1" applyBorder="1" applyAlignment="1">
      <alignment horizontal="center"/>
    </xf>
    <xf numFmtId="0" fontId="2" fillId="0" borderId="14" xfId="0" applyFont="1" applyBorder="1" applyAlignment="1">
      <alignment horizontal="center"/>
    </xf>
    <xf numFmtId="43" fontId="2" fillId="0" borderId="7" xfId="0" applyNumberFormat="1" applyFont="1" applyBorder="1" applyAlignment="1">
      <alignment horizontal="left" vertical="center"/>
    </xf>
    <xf numFmtId="43" fontId="2" fillId="0" borderId="7" xfId="0" applyNumberFormat="1" applyFont="1" applyBorder="1" applyAlignment="1">
      <alignment horizontal="left" vertical="center"/>
    </xf>
    <xf numFmtId="164" fontId="13" fillId="2" borderId="15" xfId="0" applyNumberFormat="1" applyFont="1" applyFill="1" applyBorder="1" applyAlignment="1">
      <alignment horizontal="right"/>
    </xf>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7" fillId="0" borderId="5" xfId="0" applyFont="1" applyBorder="1" applyAlignment="1">
      <alignment horizontal="center" vertical="center"/>
    </xf>
    <xf numFmtId="0" fontId="3" fillId="0" borderId="8" xfId="0" applyFont="1" applyBorder="1" applyAlignment="1">
      <alignment horizontal="center"/>
    </xf>
    <xf numFmtId="0" fontId="2" fillId="0" borderId="8" xfId="0" applyFont="1" applyBorder="1" applyAlignment="1">
      <alignment horizontal="center"/>
    </xf>
    <xf numFmtId="2" fontId="2" fillId="3" borderId="8" xfId="0" applyNumberFormat="1" applyFont="1" applyFill="1" applyBorder="1" applyAlignment="1">
      <alignment horizontal="center"/>
    </xf>
    <xf numFmtId="0" fontId="2" fillId="0" borderId="7" xfId="0" applyFont="1" applyBorder="1" applyAlignment="1">
      <alignment horizontal="center"/>
    </xf>
    <xf numFmtId="165" fontId="2" fillId="0" borderId="7" xfId="0" applyNumberFormat="1" applyFont="1" applyBorder="1" applyAlignment="1">
      <alignment horizontal="center" vertical="center"/>
    </xf>
    <xf numFmtId="165" fontId="2" fillId="0" borderId="7" xfId="0" applyNumberFormat="1" applyFont="1" applyBorder="1" applyAlignment="1">
      <alignment horizontal="center" vertical="center"/>
    </xf>
    <xf numFmtId="0" fontId="2" fillId="0" borderId="1" xfId="0" applyFont="1" applyBorder="1"/>
    <xf numFmtId="0" fontId="3" fillId="0" borderId="1" xfId="0" applyFont="1" applyBorder="1" applyAlignment="1">
      <alignment horizontal="center"/>
    </xf>
    <xf numFmtId="0" fontId="2" fillId="3" borderId="8" xfId="0" applyFont="1" applyFill="1" applyBorder="1" applyAlignment="1">
      <alignment horizontal="center"/>
    </xf>
    <xf numFmtId="2" fontId="2" fillId="3" borderId="19" xfId="0" applyNumberFormat="1" applyFont="1" applyFill="1" applyBorder="1" applyAlignment="1">
      <alignment horizontal="center"/>
    </xf>
    <xf numFmtId="0" fontId="3" fillId="0" borderId="1" xfId="0" applyFont="1" applyBorder="1" applyAlignment="1">
      <alignment horizontal="center"/>
    </xf>
    <xf numFmtId="165" fontId="3" fillId="0" borderId="1" xfId="0" applyNumberFormat="1" applyFont="1" applyBorder="1" applyAlignment="1">
      <alignment horizontal="center"/>
    </xf>
    <xf numFmtId="0" fontId="2" fillId="0" borderId="5" xfId="0" applyFont="1" applyBorder="1" applyAlignment="1">
      <alignment horizontal="center" vertical="center"/>
    </xf>
    <xf numFmtId="0" fontId="2" fillId="0" borderId="0" xfId="0" applyFont="1" applyAlignment="1"/>
    <xf numFmtId="0" fontId="7" fillId="3" borderId="19" xfId="0" applyFont="1" applyFill="1" applyBorder="1" applyAlignment="1">
      <alignment horizontal="center"/>
    </xf>
    <xf numFmtId="2" fontId="2" fillId="3" borderId="8" xfId="0" applyNumberFormat="1" applyFont="1" applyFill="1" applyBorder="1" applyAlignment="1">
      <alignment horizontal="left" vertical="center"/>
    </xf>
    <xf numFmtId="0" fontId="2" fillId="0" borderId="4" xfId="0" applyFont="1" applyBorder="1" applyAlignment="1">
      <alignment horizontal="center" vertical="center"/>
    </xf>
    <xf numFmtId="2" fontId="14" fillId="3" borderId="4" xfId="0" applyNumberFormat="1" applyFont="1" applyFill="1" applyBorder="1" applyAlignment="1">
      <alignment horizontal="center" vertical="center"/>
    </xf>
    <xf numFmtId="2" fontId="2" fillId="3" borderId="4" xfId="0" applyNumberFormat="1" applyFont="1" applyFill="1" applyBorder="1" applyAlignment="1">
      <alignment horizontal="center" vertical="center"/>
    </xf>
    <xf numFmtId="2" fontId="2" fillId="3" borderId="7" xfId="0" applyNumberFormat="1" applyFont="1" applyFill="1" applyBorder="1" applyAlignment="1">
      <alignment horizontal="center" vertical="center"/>
    </xf>
    <xf numFmtId="9" fontId="2" fillId="3" borderId="8"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165" fontId="2" fillId="3" borderId="8" xfId="0" applyNumberFormat="1" applyFont="1" applyFill="1" applyBorder="1" applyAlignment="1">
      <alignment horizontal="center" vertical="center"/>
    </xf>
    <xf numFmtId="9" fontId="2" fillId="3" borderId="19" xfId="0" applyNumberFormat="1" applyFont="1" applyFill="1" applyBorder="1" applyAlignment="1">
      <alignment horizontal="center"/>
    </xf>
    <xf numFmtId="9" fontId="2" fillId="3" borderId="4" xfId="0" applyNumberFormat="1" applyFont="1" applyFill="1" applyBorder="1" applyAlignment="1">
      <alignment horizontal="center" vertical="center"/>
    </xf>
    <xf numFmtId="165" fontId="2" fillId="3" borderId="19" xfId="0" applyNumberFormat="1" applyFont="1" applyFill="1" applyBorder="1" applyAlignment="1">
      <alignment horizontal="center"/>
    </xf>
    <xf numFmtId="165" fontId="2" fillId="3" borderId="4" xfId="0" applyNumberFormat="1" applyFont="1" applyFill="1" applyBorder="1" applyAlignment="1">
      <alignment horizontal="right" vertical="center"/>
    </xf>
    <xf numFmtId="165" fontId="2" fillId="3" borderId="4" xfId="0" applyNumberFormat="1" applyFont="1" applyFill="1" applyBorder="1" applyAlignment="1">
      <alignment horizontal="right" vertical="center"/>
    </xf>
    <xf numFmtId="0" fontId="3" fillId="3" borderId="1" xfId="0" applyFont="1" applyFill="1" applyBorder="1" applyAlignment="1">
      <alignment horizontal="center"/>
    </xf>
    <xf numFmtId="2" fontId="3" fillId="3" borderId="1" xfId="0" applyNumberFormat="1" applyFont="1" applyFill="1" applyBorder="1" applyAlignment="1">
      <alignment horizontal="center"/>
    </xf>
    <xf numFmtId="9" fontId="3" fillId="3" borderId="1" xfId="0" applyNumberFormat="1" applyFont="1" applyFill="1" applyBorder="1" applyAlignment="1">
      <alignment horizontal="center"/>
    </xf>
    <xf numFmtId="0" fontId="2" fillId="0" borderId="8" xfId="0" applyFont="1" applyBorder="1" applyAlignment="1">
      <alignment horizontal="center" vertical="center"/>
    </xf>
    <xf numFmtId="165" fontId="3" fillId="3" borderId="1" xfId="0" applyNumberFormat="1" applyFont="1" applyFill="1" applyBorder="1" applyAlignment="1">
      <alignment horizontal="center"/>
    </xf>
    <xf numFmtId="9" fontId="2" fillId="3" borderId="8" xfId="0" applyNumberFormat="1" applyFont="1" applyFill="1" applyBorder="1" applyAlignment="1">
      <alignment horizontal="center" vertical="center"/>
    </xf>
    <xf numFmtId="164" fontId="13" fillId="2" borderId="20" xfId="0" applyNumberFormat="1" applyFont="1" applyFill="1" applyBorder="1" applyAlignment="1">
      <alignment horizontal="right"/>
    </xf>
    <xf numFmtId="164" fontId="5" fillId="4" borderId="3" xfId="0" applyNumberFormat="1" applyFont="1" applyFill="1" applyBorder="1" applyAlignment="1">
      <alignment horizontal="center"/>
    </xf>
    <xf numFmtId="0" fontId="2" fillId="0" borderId="21" xfId="0" applyFont="1" applyBorder="1" applyAlignment="1">
      <alignment horizontal="center"/>
    </xf>
    <xf numFmtId="164" fontId="5" fillId="4" borderId="6" xfId="0" applyNumberFormat="1" applyFont="1" applyFill="1" applyBorder="1" applyAlignment="1">
      <alignment horizontal="center"/>
    </xf>
    <xf numFmtId="0" fontId="2" fillId="0" borderId="22" xfId="0" applyFont="1" applyBorder="1" applyAlignment="1">
      <alignment horizontal="center"/>
    </xf>
    <xf numFmtId="0" fontId="2" fillId="0" borderId="8" xfId="0" applyFont="1" applyBorder="1" applyAlignment="1">
      <alignment horizontal="center" vertical="center"/>
    </xf>
    <xf numFmtId="0" fontId="2" fillId="0" borderId="23" xfId="0" applyFont="1" applyBorder="1" applyAlignment="1">
      <alignment horizontal="center"/>
    </xf>
    <xf numFmtId="0" fontId="3" fillId="0" borderId="24" xfId="0" applyFont="1" applyBorder="1" applyAlignment="1">
      <alignment horizontal="center"/>
    </xf>
    <xf numFmtId="165" fontId="2" fillId="0" borderId="4" xfId="0" applyNumberFormat="1" applyFont="1" applyBorder="1" applyAlignment="1">
      <alignment horizontal="center" vertical="center"/>
    </xf>
    <xf numFmtId="14" fontId="8" fillId="4" borderId="9" xfId="0" applyNumberFormat="1" applyFont="1" applyFill="1" applyBorder="1" applyAlignment="1">
      <alignment horizontal="center"/>
    </xf>
    <xf numFmtId="0" fontId="2" fillId="0" borderId="24" xfId="0" applyFont="1" applyBorder="1" applyAlignment="1">
      <alignment horizontal="center"/>
    </xf>
    <xf numFmtId="0" fontId="3" fillId="0" borderId="0" xfId="0" applyFont="1" applyAlignment="1">
      <alignment horizontal="right" vertical="center"/>
    </xf>
    <xf numFmtId="2" fontId="2" fillId="3" borderId="8" xfId="0" applyNumberFormat="1" applyFont="1" applyFill="1" applyBorder="1" applyAlignment="1">
      <alignment horizontal="left" vertical="center" wrapText="1"/>
    </xf>
    <xf numFmtId="0" fontId="3" fillId="0" borderId="25" xfId="0" applyFont="1" applyBorder="1" applyAlignment="1">
      <alignment horizontal="center"/>
    </xf>
    <xf numFmtId="164" fontId="2" fillId="0" borderId="0" xfId="0" applyNumberFormat="1" applyFont="1"/>
    <xf numFmtId="0" fontId="2" fillId="0" borderId="0" xfId="0" applyFont="1"/>
    <xf numFmtId="0" fontId="3" fillId="0" borderId="8" xfId="0" applyFont="1" applyBorder="1" applyAlignment="1">
      <alignment horizontal="center"/>
    </xf>
    <xf numFmtId="165" fontId="3" fillId="0" borderId="26" xfId="0" applyNumberFormat="1" applyFont="1" applyBorder="1" applyAlignment="1">
      <alignment horizontal="center"/>
    </xf>
    <xf numFmtId="165" fontId="3" fillId="0" borderId="26" xfId="0" applyNumberFormat="1" applyFont="1" applyBorder="1" applyAlignment="1">
      <alignment horizontal="center"/>
    </xf>
    <xf numFmtId="165" fontId="2" fillId="3" borderId="4" xfId="0" applyNumberFormat="1" applyFont="1" applyFill="1" applyBorder="1" applyAlignment="1">
      <alignment horizontal="center" vertical="center"/>
    </xf>
    <xf numFmtId="0" fontId="2" fillId="3" borderId="8" xfId="0" applyFont="1" applyFill="1" applyBorder="1" applyAlignment="1">
      <alignment horizontal="center"/>
    </xf>
    <xf numFmtId="2" fontId="2" fillId="3" borderId="19" xfId="0" applyNumberFormat="1" applyFont="1" applyFill="1" applyBorder="1" applyAlignment="1">
      <alignment horizontal="center"/>
    </xf>
    <xf numFmtId="9" fontId="2" fillId="3" borderId="19" xfId="0" applyNumberFormat="1" applyFont="1" applyFill="1" applyBorder="1" applyAlignment="1">
      <alignment horizontal="center"/>
    </xf>
    <xf numFmtId="2" fontId="2" fillId="3" borderId="7" xfId="0" applyNumberFormat="1" applyFont="1" applyFill="1" applyBorder="1" applyAlignment="1">
      <alignment horizontal="left" vertical="center"/>
    </xf>
    <xf numFmtId="0" fontId="2" fillId="0" borderId="7" xfId="0" applyFont="1" applyBorder="1" applyAlignment="1">
      <alignment horizontal="center" vertical="center"/>
    </xf>
    <xf numFmtId="2" fontId="14" fillId="3" borderId="27"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165" fontId="2" fillId="3" borderId="7" xfId="0" applyNumberFormat="1" applyFont="1" applyFill="1" applyBorder="1" applyAlignment="1">
      <alignment horizontal="center" vertical="center"/>
    </xf>
    <xf numFmtId="0" fontId="3" fillId="3" borderId="2" xfId="0" applyFont="1" applyFill="1" applyBorder="1" applyAlignment="1">
      <alignment horizontal="center"/>
    </xf>
    <xf numFmtId="0" fontId="2" fillId="6" borderId="8" xfId="0" applyFont="1" applyFill="1" applyBorder="1" applyAlignment="1">
      <alignment horizontal="center"/>
    </xf>
    <xf numFmtId="0" fontId="2" fillId="0" borderId="28" xfId="0" applyFont="1" applyBorder="1" applyAlignment="1">
      <alignment horizontal="center"/>
    </xf>
    <xf numFmtId="0" fontId="2" fillId="7" borderId="8" xfId="0" applyFont="1" applyFill="1" applyBorder="1" applyAlignment="1">
      <alignment horizontal="center"/>
    </xf>
    <xf numFmtId="0" fontId="3" fillId="0" borderId="24" xfId="0" applyFont="1" applyBorder="1" applyAlignment="1">
      <alignment horizontal="center"/>
    </xf>
    <xf numFmtId="2" fontId="15" fillId="3" borderId="1" xfId="0" applyNumberFormat="1" applyFont="1" applyFill="1" applyBorder="1" applyAlignment="1">
      <alignment horizontal="center"/>
    </xf>
    <xf numFmtId="0" fontId="3" fillId="0" borderId="22" xfId="0" applyFont="1" applyBorder="1" applyAlignment="1">
      <alignment horizontal="center"/>
    </xf>
    <xf numFmtId="0" fontId="3" fillId="3" borderId="0" xfId="0" applyFont="1" applyFill="1" applyAlignment="1">
      <alignment horizontal="center"/>
    </xf>
    <xf numFmtId="2" fontId="3" fillId="3" borderId="0" xfId="0" applyNumberFormat="1" applyFont="1" applyFill="1" applyAlignment="1">
      <alignment horizontal="center"/>
    </xf>
    <xf numFmtId="9" fontId="3" fillId="3" borderId="0" xfId="0" applyNumberFormat="1" applyFont="1" applyFill="1" applyAlignment="1">
      <alignment horizontal="center"/>
    </xf>
    <xf numFmtId="165" fontId="3" fillId="3" borderId="0" xfId="0" applyNumberFormat="1" applyFont="1" applyFill="1" applyAlignment="1">
      <alignment horizontal="center"/>
    </xf>
    <xf numFmtId="165" fontId="2" fillId="3" borderId="8" xfId="0" applyNumberFormat="1" applyFont="1" applyFill="1" applyBorder="1" applyAlignment="1">
      <alignment horizontal="center"/>
    </xf>
    <xf numFmtId="2" fontId="2" fillId="8" borderId="19" xfId="0" applyNumberFormat="1" applyFont="1" applyFill="1" applyBorder="1" applyAlignment="1">
      <alignment horizontal="center"/>
    </xf>
    <xf numFmtId="9" fontId="2" fillId="9" borderId="19" xfId="0" applyNumberFormat="1" applyFont="1" applyFill="1" applyBorder="1" applyAlignment="1">
      <alignment horizontal="center"/>
    </xf>
    <xf numFmtId="165" fontId="2" fillId="8" borderId="19" xfId="0" applyNumberFormat="1" applyFont="1" applyFill="1" applyBorder="1" applyAlignment="1">
      <alignment horizontal="center"/>
    </xf>
    <xf numFmtId="9" fontId="2" fillId="10" borderId="19" xfId="0" applyNumberFormat="1" applyFont="1" applyFill="1" applyBorder="1" applyAlignment="1">
      <alignment horizontal="center"/>
    </xf>
    <xf numFmtId="0" fontId="2" fillId="11" borderId="8" xfId="0" applyFont="1" applyFill="1" applyBorder="1" applyAlignment="1">
      <alignment horizontal="center"/>
    </xf>
    <xf numFmtId="2" fontId="2" fillId="12" borderId="19" xfId="0" applyNumberFormat="1" applyFont="1" applyFill="1" applyBorder="1" applyAlignment="1">
      <alignment horizontal="center"/>
    </xf>
    <xf numFmtId="9" fontId="2" fillId="13" borderId="19" xfId="0" applyNumberFormat="1" applyFont="1" applyFill="1" applyBorder="1" applyAlignment="1">
      <alignment horizontal="center"/>
    </xf>
    <xf numFmtId="165" fontId="2" fillId="12" borderId="19" xfId="0" applyNumberFormat="1" applyFont="1" applyFill="1" applyBorder="1" applyAlignment="1">
      <alignment horizontal="center"/>
    </xf>
    <xf numFmtId="0" fontId="2" fillId="0" borderId="0" xfId="0" applyFont="1"/>
    <xf numFmtId="9" fontId="2" fillId="0" borderId="0" xfId="0" applyNumberFormat="1" applyFont="1"/>
    <xf numFmtId="0" fontId="2" fillId="3" borderId="0" xfId="0" applyFont="1" applyFill="1"/>
    <xf numFmtId="0" fontId="2" fillId="0" borderId="0" xfId="0" applyFont="1" applyAlignment="1">
      <alignment horizontal="center" vertical="center"/>
    </xf>
    <xf numFmtId="0" fontId="2" fillId="0" borderId="18" xfId="0" applyFont="1" applyBorder="1" applyAlignment="1">
      <alignment horizontal="center" vertical="center"/>
    </xf>
    <xf numFmtId="2" fontId="2" fillId="3" borderId="19" xfId="0" applyNumberFormat="1" applyFont="1" applyFill="1" applyBorder="1" applyAlignment="1">
      <alignment horizontal="center"/>
    </xf>
    <xf numFmtId="165" fontId="2" fillId="3" borderId="8" xfId="0" applyNumberFormat="1" applyFont="1" applyFill="1" applyBorder="1" applyAlignment="1">
      <alignment horizontal="center"/>
    </xf>
    <xf numFmtId="165" fontId="2" fillId="3" borderId="8" xfId="0" applyNumberFormat="1" applyFont="1" applyFill="1" applyBorder="1" applyAlignment="1">
      <alignment horizontal="center"/>
    </xf>
    <xf numFmtId="9" fontId="2" fillId="3" borderId="8" xfId="0" applyNumberFormat="1" applyFont="1" applyFill="1" applyBorder="1" applyAlignment="1">
      <alignment horizontal="center"/>
    </xf>
    <xf numFmtId="2" fontId="2" fillId="3" borderId="8" xfId="0" applyNumberFormat="1" applyFont="1" applyFill="1" applyBorder="1" applyAlignment="1">
      <alignment horizontal="center"/>
    </xf>
    <xf numFmtId="164" fontId="5" fillId="4" borderId="3" xfId="0" applyNumberFormat="1" applyFont="1" applyFill="1" applyBorder="1" applyAlignment="1">
      <alignment horizontal="center" vertical="center"/>
    </xf>
    <xf numFmtId="0" fontId="9" fillId="0" borderId="9" xfId="0" applyFont="1" applyBorder="1"/>
    <xf numFmtId="0" fontId="3" fillId="0" borderId="25" xfId="0" applyFont="1" applyBorder="1" applyAlignment="1">
      <alignment horizontal="center" vertical="center"/>
    </xf>
    <xf numFmtId="0" fontId="9" fillId="0" borderId="25" xfId="0" applyFont="1" applyBorder="1"/>
    <xf numFmtId="0" fontId="2" fillId="3" borderId="4" xfId="0" applyNumberFormat="1" applyFont="1" applyFill="1" applyBorder="1" applyAlignment="1">
      <alignment horizontal="left" vertical="center"/>
    </xf>
    <xf numFmtId="1" fontId="1" fillId="0" borderId="4" xfId="0" applyNumberFormat="1" applyFont="1" applyFill="1" applyBorder="1" applyAlignment="1">
      <alignment horizontal="center"/>
    </xf>
    <xf numFmtId="1" fontId="11" fillId="0" borderId="4" xfId="0" applyNumberFormat="1" applyFont="1" applyFill="1" applyBorder="1" applyAlignment="1">
      <alignment horizontal="center"/>
    </xf>
    <xf numFmtId="1" fontId="1" fillId="0" borderId="4" xfId="0" applyNumberFormat="1" applyFont="1" applyFill="1" applyBorder="1" applyAlignment="1">
      <alignment horizontal="center" vertical="center"/>
    </xf>
    <xf numFmtId="1" fontId="1" fillId="0" borderId="8" xfId="0" applyNumberFormat="1" applyFont="1" applyFill="1" applyBorder="1" applyAlignment="1">
      <alignment horizontal="center"/>
    </xf>
    <xf numFmtId="1" fontId="1" fillId="0" borderId="27" xfId="0" applyNumberFormat="1" applyFont="1" applyFill="1" applyBorder="1" applyAlignment="1">
      <alignment horizontal="center"/>
    </xf>
    <xf numFmtId="0" fontId="7" fillId="5" borderId="9" xfId="0" applyFont="1" applyFill="1" applyBorder="1" applyAlignment="1">
      <alignment horizontal="center"/>
    </xf>
    <xf numFmtId="0" fontId="18" fillId="0" borderId="29" xfId="0" applyFont="1" applyBorder="1" applyAlignment="1">
      <alignment horizontal="center"/>
    </xf>
    <xf numFmtId="0" fontId="1" fillId="0" borderId="1" xfId="0" applyFont="1" applyFill="1" applyBorder="1" applyAlignment="1">
      <alignment horizontal="center"/>
    </xf>
    <xf numFmtId="0" fontId="1" fillId="0" borderId="2" xfId="0" applyFont="1" applyFill="1" applyBorder="1" applyAlignment="1">
      <alignment horizontal="center"/>
    </xf>
  </cellXfs>
  <cellStyles count="1">
    <cellStyle name="Normal" xfId="0" builtinId="0"/>
  </cellStyles>
  <dxfs count="54">
    <dxf>
      <fill>
        <patternFill patternType="none">
          <fgColor indexed="64"/>
          <bgColor auto="1"/>
        </patternFill>
      </fill>
    </dxf>
    <dxf>
      <font>
        <b/>
        <family val="2"/>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family val="2"/>
      </font>
      <alignment horizontal="center" vertical="bottom" textRotation="0" wrapText="0" indent="0" justifyLastLine="0" shrinkToFit="0" readingOrder="0"/>
      <border diagonalUp="0" diagonalDown="0">
        <left style="thin">
          <color indexed="64"/>
        </left>
        <right/>
        <top/>
        <bottom/>
        <vertical style="thin">
          <color indexed="64"/>
        </vertical>
        <horizontal style="thin">
          <color indexed="64"/>
        </horizontal>
      </border>
    </dxf>
    <dxf>
      <font>
        <b/>
        <family val="2"/>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family val="2"/>
      </font>
      <alignment horizontal="center" vertical="bottom" textRotation="0" wrapText="0" indent="0" justifyLastLine="0" shrinkToFit="0" readingOrder="0"/>
      <border diagonalUp="0" diagonalDown="0">
        <left/>
        <right style="thin">
          <color indexed="64"/>
        </right>
        <top/>
        <bottom/>
        <vertical style="thin">
          <color indexed="64"/>
        </vertical>
        <horizontal style="thin">
          <color indexed="64"/>
        </horizontal>
      </border>
    </dxf>
    <dxf>
      <border>
        <top style="thin">
          <color indexed="64"/>
        </top>
      </border>
    </dxf>
    <dxf>
      <fill>
        <patternFill patternType="none">
          <fgColor indexed="64"/>
          <bgColor auto="1"/>
        </patternFill>
      </fill>
    </dxf>
    <dxf>
      <border outline="0">
        <left style="thin">
          <color rgb="FF000000"/>
        </left>
      </border>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6FA8DC"/>
          <bgColor rgb="FF6FA8DC"/>
        </patternFill>
      </fill>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2">
    <tableStyle name="User Stories-style" pivot="0" count="4" xr9:uid="{00000000-0011-0000-FFFF-FFFF00000000}">
      <tableStyleElement type="headerRow" dxfId="53"/>
      <tableStyleElement type="totalRow" dxfId="50"/>
      <tableStyleElement type="firstRowStripe" dxfId="52"/>
      <tableStyleElement type="secondRowStripe" dxfId="51"/>
    </tableStyle>
    <tableStyle name="Iteration 0-style" pivot="0" count="4" xr9:uid="{00000000-0011-0000-FFFF-FFFF01000000}">
      <tableStyleElement type="headerRow" dxfId="49"/>
      <tableStyleElement type="totalRow" dxfId="46"/>
      <tableStyleElement type="firstRowStripe" dxfId="48"/>
      <tableStyleElement type="secondRowStripe" dxfId="47"/>
    </tableStyle>
    <tableStyle name="Iteration 1-style" pivot="0" count="4" xr9:uid="{00000000-0011-0000-FFFF-FFFF02000000}">
      <tableStyleElement type="headerRow" dxfId="45"/>
      <tableStyleElement type="totalRow" dxfId="42"/>
      <tableStyleElement type="firstRowStripe" dxfId="44"/>
      <tableStyleElement type="secondRowStripe" dxfId="43"/>
    </tableStyle>
    <tableStyle name="Iteration 2-style" pivot="0" count="4" xr9:uid="{00000000-0011-0000-FFFF-FFFF03000000}">
      <tableStyleElement type="headerRow" dxfId="41"/>
      <tableStyleElement type="totalRow" dxfId="38"/>
      <tableStyleElement type="firstRowStripe" dxfId="40"/>
      <tableStyleElement type="secondRowStripe" dxfId="39"/>
    </tableStyle>
    <tableStyle name="Overview-style" pivot="0" count="4" xr9:uid="{00000000-0011-0000-FFFF-FFFF04000000}">
      <tableStyleElement type="headerRow" dxfId="37"/>
      <tableStyleElement type="totalRow" dxfId="34"/>
      <tableStyleElement type="firstRowStripe" dxfId="36"/>
      <tableStyleElement type="secondRowStripe" dxfId="35"/>
    </tableStyle>
    <tableStyle name="Overview-style 2" pivot="0" count="4" xr9:uid="{00000000-0011-0000-FFFF-FFFF05000000}">
      <tableStyleElement type="headerRow" dxfId="33"/>
      <tableStyleElement type="totalRow" dxfId="30"/>
      <tableStyleElement type="firstRowStripe" dxfId="32"/>
      <tableStyleElement type="secondRowStripe" dxfId="31"/>
    </tableStyle>
    <tableStyle name="Iteration 3-style" pivot="0" count="4" xr9:uid="{00000000-0011-0000-FFFF-FFFF06000000}">
      <tableStyleElement type="headerRow" dxfId="29"/>
      <tableStyleElement type="totalRow" dxfId="26"/>
      <tableStyleElement type="firstRowStripe" dxfId="28"/>
      <tableStyleElement type="secondRowStripe" dxfId="27"/>
    </tableStyle>
    <tableStyle name="Iteration 4-style" pivot="0" count="4" xr9:uid="{00000000-0011-0000-FFFF-FFFF07000000}">
      <tableStyleElement type="headerRow" dxfId="25"/>
      <tableStyleElement type="totalRow" dxfId="22"/>
      <tableStyleElement type="firstRowStripe" dxfId="24"/>
      <tableStyleElement type="secondRowStripe" dxfId="23"/>
    </tableStyle>
    <tableStyle name="Iteration 4-style 2" pivot="0" count="2" xr9:uid="{00000000-0011-0000-FFFF-FFFF08000000}">
      <tableStyleElement type="firstRowStripe" dxfId="21"/>
      <tableStyleElement type="secondRowStripe" dxfId="20"/>
    </tableStyle>
    <tableStyle name="Iteration 5-style" pivot="0" count="4" xr9:uid="{00000000-0011-0000-FFFF-FFFF09000000}">
      <tableStyleElement type="headerRow" dxfId="19"/>
      <tableStyleElement type="totalRow" dxfId="16"/>
      <tableStyleElement type="firstRowStripe" dxfId="18"/>
      <tableStyleElement type="secondRowStripe" dxfId="17"/>
    </tableStyle>
    <tableStyle name="Iteration 7-style" pivot="0" count="4" xr9:uid="{00000000-0011-0000-FFFF-FFFF0A000000}">
      <tableStyleElement type="headerRow" dxfId="15"/>
      <tableStyleElement type="totalRow" dxfId="12"/>
      <tableStyleElement type="firstRowStripe" dxfId="14"/>
      <tableStyleElement type="secondRowStripe" dxfId="13"/>
    </tableStyle>
    <tableStyle name="Iteration 6-style" pivot="0" count="4" xr9:uid="{00000000-0011-0000-FFFF-FFFF0B000000}">
      <tableStyleElement type="headerRow" dxfId="11"/>
      <tableStyleElement type="totalRow" dxfId="8"/>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ser_Stories" displayName="User_Stories" ref="B2:D35" totalsRowCount="1" headerRowDxfId="0" totalsRowDxfId="1" totalsRowBorderDxfId="5">
  <autoFilter ref="B2:D34" xr:uid="{EE8C23F4-3CC2-2F4E-81C7-D5AA9B520C6D}">
    <filterColumn colId="0" hiddenButton="1"/>
    <filterColumn colId="1" hiddenButton="1"/>
    <filterColumn colId="2" hiddenButton="1"/>
  </autoFilter>
  <tableColumns count="3">
    <tableColumn id="1" xr3:uid="{00000000-0010-0000-0000-000001000000}" name="User Story ID" totalsRowLabel="Total:" dataDxfId="6" totalsRowDxfId="4"/>
    <tableColumn id="2" xr3:uid="{00000000-0010-0000-0000-000002000000}" name="Estimated Days to Complete" totalsRowFunction="sum" dataDxfId="7" totalsRowDxfId="3"/>
    <tableColumn id="3" xr3:uid="{00000000-0010-0000-0000-000003000000}" name=" Estimation in Hours" totalsRowFunction="sum" totalsRowDxfId="2"/>
  </tableColumns>
  <tableStyleInfo name="User Stories-sty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B2:J13">
  <tableColumns count="9">
    <tableColumn id="1" xr3:uid="{00000000-0010-0000-0900-000001000000}" name="User Story"/>
    <tableColumn id="2" xr3:uid="{00000000-0010-0000-0900-000002000000}" name="Estimated Hrs"/>
    <tableColumn id="3" xr3:uid="{00000000-0010-0000-0900-000003000000}" name="Actual Hrs"/>
    <tableColumn id="4" xr3:uid="{00000000-0010-0000-0900-000004000000}" name="Hrs Difference"/>
    <tableColumn id="5" xr3:uid="{00000000-0010-0000-0900-000005000000}" name="Completion"/>
    <tableColumn id="6" xr3:uid="{00000000-0010-0000-0900-000006000000}" name="Estimated Cost"/>
    <tableColumn id="7" xr3:uid="{00000000-0010-0000-0900-000007000000}" name="Current Cost"/>
    <tableColumn id="8" xr3:uid="{00000000-0010-0000-0900-000008000000}" name="Cost Difference"/>
    <tableColumn id="9" xr3:uid="{00000000-0010-0000-0900-000009000000}" name="Percentage Expenditure"/>
  </tableColumns>
  <tableStyleInfo name="Iteration 5-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_12" displayName="Table_12" ref="B2:J11">
  <tableColumns count="9">
    <tableColumn id="1" xr3:uid="{00000000-0010-0000-0A00-000001000000}" name="User Story"/>
    <tableColumn id="2" xr3:uid="{00000000-0010-0000-0A00-000002000000}" name="Estimated Hrs"/>
    <tableColumn id="3" xr3:uid="{00000000-0010-0000-0A00-000003000000}" name="Actual Hrs"/>
    <tableColumn id="4" xr3:uid="{00000000-0010-0000-0A00-000004000000}" name="Hrs Difference"/>
    <tableColumn id="5" xr3:uid="{00000000-0010-0000-0A00-000005000000}" name="Completion"/>
    <tableColumn id="6" xr3:uid="{00000000-0010-0000-0A00-000006000000}" name="Estimated Cost"/>
    <tableColumn id="7" xr3:uid="{00000000-0010-0000-0A00-000007000000}" name="Current Cost"/>
    <tableColumn id="8" xr3:uid="{00000000-0010-0000-0A00-000008000000}" name="Cost Difference"/>
    <tableColumn id="9" xr3:uid="{00000000-0010-0000-0A00-000009000000}" name="Percentage Expenditure"/>
  </tableColumns>
  <tableStyleInfo name="Iteration 6-style"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Table_11" displayName="Table_11" ref="B2:J11">
  <tableColumns count="9">
    <tableColumn id="1" xr3:uid="{00000000-0010-0000-0B00-000001000000}" name="User Story"/>
    <tableColumn id="2" xr3:uid="{00000000-0010-0000-0B00-000002000000}" name="Estimated Hrs"/>
    <tableColumn id="3" xr3:uid="{00000000-0010-0000-0B00-000003000000}" name="Actual Hrs"/>
    <tableColumn id="4" xr3:uid="{00000000-0010-0000-0B00-000004000000}" name="Hrs Difference"/>
    <tableColumn id="5" xr3:uid="{00000000-0010-0000-0B00-000005000000}" name="Completion"/>
    <tableColumn id="6" xr3:uid="{00000000-0010-0000-0B00-000006000000}" name="Estimated Cost"/>
    <tableColumn id="7" xr3:uid="{00000000-0010-0000-0B00-000007000000}" name="Current Cost"/>
    <tableColumn id="8" xr3:uid="{00000000-0010-0000-0B00-000008000000}" name="Cost Difference"/>
    <tableColumn id="9" xr3:uid="{00000000-0010-0000-0B00-000009000000}" name="Percentage Expenditure"/>
  </tableColumns>
  <tableStyleInfo name="Iteration 7-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_5" displayName="Table_5" ref="B3:G12">
  <tableColumns count="6">
    <tableColumn id="1" xr3:uid="{00000000-0010-0000-0100-000001000000}" name="Iteration Period"/>
    <tableColumn id="2" xr3:uid="{00000000-0010-0000-0100-000002000000}" name="User Stories"/>
    <tableColumn id="3" xr3:uid="{00000000-0010-0000-0100-000003000000}" name="Estimated Total Hrs"/>
    <tableColumn id="4" xr3:uid="{00000000-0010-0000-0100-000004000000}" name="Cost"/>
    <tableColumn id="5" xr3:uid="{00000000-0010-0000-0100-000005000000}" name="Cost with Admin Hours (£)"/>
    <tableColumn id="6" xr3:uid="{00000000-0010-0000-0100-000006000000}" name="Per Week Of Iteration (£)"/>
  </tableColumns>
  <tableStyleInfo name="Overview-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_6" displayName="Table_6" ref="B15:P24">
  <tableColumns count="15">
    <tableColumn id="1" xr3:uid="{00000000-0010-0000-0200-000001000000}" name="Iteration Period"/>
    <tableColumn id="2" xr3:uid="{00000000-0010-0000-0200-000002000000}" name="User Stories"/>
    <tableColumn id="3" xr3:uid="{00000000-0010-0000-0200-000003000000}" name="Estimated Total Hrs"/>
    <tableColumn id="4" xr3:uid="{00000000-0010-0000-0200-000004000000}" name="Extra Hours"/>
    <tableColumn id="5" xr3:uid="{00000000-0010-0000-0200-000005000000}" name="Actual Hrs"/>
    <tableColumn id="6" xr3:uid="{00000000-0010-0000-0200-000006000000}" name="Hrs Difference"/>
    <tableColumn id="7" xr3:uid="{00000000-0010-0000-0200-000007000000}" name="Completion"/>
    <tableColumn id="8" xr3:uid="{00000000-0010-0000-0200-000008000000}" name="Estimated Cost"/>
    <tableColumn id="9" xr3:uid="{00000000-0010-0000-0200-000009000000}" name="Current Cost"/>
    <tableColumn id="10" xr3:uid="{00000000-0010-0000-0200-00000A000000}" name="Cost Difference"/>
    <tableColumn id="11" xr3:uid="{00000000-0010-0000-0200-00000B000000}" name="Percentage Expenditure"/>
    <tableColumn id="12" xr3:uid="{00000000-0010-0000-0200-00000C000000}" name="Iteration Cost"/>
    <tableColumn id="13" xr3:uid="{00000000-0010-0000-0200-00000D000000}" name="Iteration Budget"/>
    <tableColumn id="14" xr3:uid="{00000000-0010-0000-0200-00000E000000}" name="Remaining Iteration Budget"/>
    <tableColumn id="15" xr3:uid="{00000000-0010-0000-0200-00000F000000}" name="Notes"/>
  </tableColumns>
  <tableStyleInfo name="Overview-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_2" displayName="Table_2" ref="B2:J11">
  <tableColumns count="9">
    <tableColumn id="1" xr3:uid="{00000000-0010-0000-0300-000001000000}" name="User Story"/>
    <tableColumn id="2" xr3:uid="{00000000-0010-0000-0300-000002000000}" name="Estimated Hrs"/>
    <tableColumn id="3" xr3:uid="{00000000-0010-0000-0300-000003000000}" name="Actual Hrs"/>
    <tableColumn id="4" xr3:uid="{00000000-0010-0000-0300-000004000000}" name="Hrs Difference"/>
    <tableColumn id="5" xr3:uid="{00000000-0010-0000-0300-000005000000}" name="Completion"/>
    <tableColumn id="6" xr3:uid="{00000000-0010-0000-0300-000006000000}" name="Estimated Cost"/>
    <tableColumn id="7" xr3:uid="{00000000-0010-0000-0300-000007000000}" name="Current Cost"/>
    <tableColumn id="8" xr3:uid="{00000000-0010-0000-0300-000008000000}" name="Cost Difference"/>
    <tableColumn id="9" xr3:uid="{00000000-0010-0000-0300-000009000000}" name="Percentage Expenditure"/>
  </tableColumns>
  <tableStyleInfo name="Iteration 0-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_3" displayName="Table_3" ref="B2:J11">
  <tableColumns count="9">
    <tableColumn id="1" xr3:uid="{00000000-0010-0000-0400-000001000000}" name="User Story"/>
    <tableColumn id="2" xr3:uid="{00000000-0010-0000-0400-000002000000}" name="Estimated Hrs"/>
    <tableColumn id="3" xr3:uid="{00000000-0010-0000-0400-000003000000}" name="Actual Hrs"/>
    <tableColumn id="4" xr3:uid="{00000000-0010-0000-0400-000004000000}" name="Hrs Difference"/>
    <tableColumn id="5" xr3:uid="{00000000-0010-0000-0400-000005000000}" name="Completion"/>
    <tableColumn id="6" xr3:uid="{00000000-0010-0000-0400-000006000000}" name="Estimated Cost"/>
    <tableColumn id="7" xr3:uid="{00000000-0010-0000-0400-000007000000}" name="Current Cost"/>
    <tableColumn id="8" xr3:uid="{00000000-0010-0000-0400-000008000000}" name="Cost Difference"/>
    <tableColumn id="9" xr3:uid="{00000000-0010-0000-0400-000009000000}" name="Percentage Expenditure"/>
  </tableColumns>
  <tableStyleInfo name="Iteration 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_4" displayName="Table_4" ref="B2:J10">
  <tableColumns count="9">
    <tableColumn id="1" xr3:uid="{00000000-0010-0000-0500-000001000000}" name="User Story"/>
    <tableColumn id="2" xr3:uid="{00000000-0010-0000-0500-000002000000}" name="Estimated Hrs"/>
    <tableColumn id="3" xr3:uid="{00000000-0010-0000-0500-000003000000}" name="Actual Hrs"/>
    <tableColumn id="4" xr3:uid="{00000000-0010-0000-0500-000004000000}" name="Hrs Difference"/>
    <tableColumn id="5" xr3:uid="{00000000-0010-0000-0500-000005000000}" name="Completion"/>
    <tableColumn id="6" xr3:uid="{00000000-0010-0000-0500-000006000000}" name="Estimated Cost"/>
    <tableColumn id="7" xr3:uid="{00000000-0010-0000-0500-000007000000}" name="Current Cost"/>
    <tableColumn id="8" xr3:uid="{00000000-0010-0000-0500-000008000000}" name="Cost Difference"/>
    <tableColumn id="9" xr3:uid="{00000000-0010-0000-0500-000009000000}" name="Percentage Expenditure"/>
  </tableColumns>
  <tableStyleInfo name="Iteration 2-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2:J13">
  <tableColumns count="9">
    <tableColumn id="1" xr3:uid="{00000000-0010-0000-0600-000001000000}" name="User Story"/>
    <tableColumn id="2" xr3:uid="{00000000-0010-0000-0600-000002000000}" name="Estimated Hrs"/>
    <tableColumn id="3" xr3:uid="{00000000-0010-0000-0600-000003000000}" name="Actual Hrs"/>
    <tableColumn id="4" xr3:uid="{00000000-0010-0000-0600-000004000000}" name="Hrs Difference"/>
    <tableColumn id="5" xr3:uid="{00000000-0010-0000-0600-000005000000}" name="Completion"/>
    <tableColumn id="6" xr3:uid="{00000000-0010-0000-0600-000006000000}" name="Estimated Cost"/>
    <tableColumn id="7" xr3:uid="{00000000-0010-0000-0600-000007000000}" name="Current Cost"/>
    <tableColumn id="8" xr3:uid="{00000000-0010-0000-0600-000008000000}" name="Cost Difference"/>
    <tableColumn id="9" xr3:uid="{00000000-0010-0000-0600-000009000000}" name="Percentage Expenditure"/>
  </tableColumns>
  <tableStyleInfo name="Iteration 3-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B2:J12">
  <tableColumns count="9">
    <tableColumn id="1" xr3:uid="{00000000-0010-0000-0700-000001000000}" name="User Story"/>
    <tableColumn id="2" xr3:uid="{00000000-0010-0000-0700-000002000000}" name="Estimated Hrs"/>
    <tableColumn id="3" xr3:uid="{00000000-0010-0000-0700-000003000000}" name="Actual Hrs"/>
    <tableColumn id="4" xr3:uid="{00000000-0010-0000-0700-000004000000}" name="Hrs Difference"/>
    <tableColumn id="5" xr3:uid="{00000000-0010-0000-0700-000005000000}" name="Completion"/>
    <tableColumn id="6" xr3:uid="{00000000-0010-0000-0700-000006000000}" name="Estimated Cost"/>
    <tableColumn id="7" xr3:uid="{00000000-0010-0000-0700-000007000000}" name="Current Cost"/>
    <tableColumn id="8" xr3:uid="{00000000-0010-0000-0700-000008000000}" name="Cost Difference"/>
    <tableColumn id="9" xr3:uid="{00000000-0010-0000-0700-000009000000}" name="Percentage Expenditure"/>
  </tableColumns>
  <tableStyleInfo name="Iteration 4-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B15:B16" headerRowCount="0">
  <tableColumns count="1">
    <tableColumn id="1" xr3:uid="{00000000-0010-0000-0800-000001000000}" name="Column1"/>
  </tableColumns>
  <tableStyleInfo name="Iteration 4-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G35"/>
  <sheetViews>
    <sheetView showGridLines="0" tabSelected="1" workbookViewId="0">
      <selection activeCell="F12" sqref="F12"/>
    </sheetView>
  </sheetViews>
  <sheetFormatPr baseColWidth="10" defaultColWidth="14.5" defaultRowHeight="15.75" customHeight="1" x14ac:dyDescent="0.15"/>
  <cols>
    <col min="1" max="1" width="9" customWidth="1"/>
    <col min="2" max="4" width="29.5" customWidth="1"/>
    <col min="6" max="6" width="30.6640625" customWidth="1"/>
    <col min="7" max="7" width="21" customWidth="1"/>
  </cols>
  <sheetData>
    <row r="2" spans="2:7" ht="15.75" customHeight="1" x14ac:dyDescent="0.15">
      <c r="B2" s="155" t="s">
        <v>0</v>
      </c>
      <c r="C2" s="156" t="s">
        <v>3</v>
      </c>
      <c r="D2" s="156" t="s">
        <v>4</v>
      </c>
      <c r="F2" s="1"/>
      <c r="G2" s="2" t="s">
        <v>5</v>
      </c>
    </row>
    <row r="3" spans="2:7" ht="15.75" customHeight="1" x14ac:dyDescent="0.15">
      <c r="B3" s="148">
        <v>1</v>
      </c>
      <c r="C3" s="6">
        <v>2</v>
      </c>
      <c r="D3" s="6">
        <f t="shared" ref="D3:D32" si="0">C3*8</f>
        <v>16</v>
      </c>
      <c r="F3" s="8" t="s">
        <v>27</v>
      </c>
      <c r="G3" s="11">
        <f>User_Stories[[#Totals],[ Estimation in Hours]]</f>
        <v>548</v>
      </c>
    </row>
    <row r="4" spans="2:7" ht="15.75" customHeight="1" x14ac:dyDescent="0.15">
      <c r="B4" s="148">
        <v>2</v>
      </c>
      <c r="C4" s="6">
        <v>1</v>
      </c>
      <c r="D4" s="6">
        <f t="shared" si="0"/>
        <v>8</v>
      </c>
      <c r="F4" s="8" t="s">
        <v>30</v>
      </c>
      <c r="G4" s="11">
        <f>G3/8</f>
        <v>68.5</v>
      </c>
    </row>
    <row r="5" spans="2:7" ht="15.75" customHeight="1" x14ac:dyDescent="0.15">
      <c r="B5" s="148">
        <v>3</v>
      </c>
      <c r="C5" s="13">
        <v>0.5</v>
      </c>
      <c r="D5" s="31">
        <f t="shared" si="0"/>
        <v>4</v>
      </c>
      <c r="F5" s="8" t="s">
        <v>39</v>
      </c>
      <c r="G5" s="33">
        <f>G3/7</f>
        <v>78.285714285714292</v>
      </c>
    </row>
    <row r="6" spans="2:7" ht="15.75" customHeight="1" x14ac:dyDescent="0.15">
      <c r="B6" s="148">
        <v>4</v>
      </c>
      <c r="C6" s="34">
        <v>0.5</v>
      </c>
      <c r="D6" s="31">
        <f t="shared" si="0"/>
        <v>4</v>
      </c>
      <c r="F6" s="8" t="s">
        <v>44</v>
      </c>
      <c r="G6" s="33">
        <f>G3/7/8</f>
        <v>9.7857142857142865</v>
      </c>
    </row>
    <row r="7" spans="2:7" ht="15.75" customHeight="1" x14ac:dyDescent="0.15">
      <c r="B7" s="148">
        <v>5</v>
      </c>
      <c r="C7" s="34">
        <v>0.5</v>
      </c>
      <c r="D7" s="31">
        <f t="shared" si="0"/>
        <v>4</v>
      </c>
    </row>
    <row r="8" spans="2:7" ht="15.75" customHeight="1" x14ac:dyDescent="0.15">
      <c r="B8" s="148">
        <v>6</v>
      </c>
      <c r="C8" s="34">
        <v>2</v>
      </c>
      <c r="D8" s="31">
        <f t="shared" si="0"/>
        <v>16</v>
      </c>
    </row>
    <row r="9" spans="2:7" ht="15.75" customHeight="1" x14ac:dyDescent="0.15">
      <c r="B9" s="148">
        <v>7</v>
      </c>
      <c r="C9" s="34">
        <v>1</v>
      </c>
      <c r="D9" s="31">
        <f t="shared" si="0"/>
        <v>8</v>
      </c>
    </row>
    <row r="10" spans="2:7" ht="15.75" customHeight="1" x14ac:dyDescent="0.15">
      <c r="B10" s="148">
        <v>8</v>
      </c>
      <c r="C10" s="34">
        <v>1</v>
      </c>
      <c r="D10" s="31">
        <f t="shared" si="0"/>
        <v>8</v>
      </c>
    </row>
    <row r="11" spans="2:7" ht="15.75" customHeight="1" x14ac:dyDescent="0.15">
      <c r="B11" s="148">
        <v>9</v>
      </c>
      <c r="C11" s="34">
        <v>1</v>
      </c>
      <c r="D11" s="31">
        <f t="shared" si="0"/>
        <v>8</v>
      </c>
    </row>
    <row r="12" spans="2:7" ht="15.75" customHeight="1" x14ac:dyDescent="0.15">
      <c r="B12" s="148">
        <v>10</v>
      </c>
      <c r="C12" s="34">
        <v>2</v>
      </c>
      <c r="D12" s="31">
        <f t="shared" si="0"/>
        <v>16</v>
      </c>
    </row>
    <row r="13" spans="2:7" ht="15.75" customHeight="1" x14ac:dyDescent="0.15">
      <c r="B13" s="148">
        <v>11</v>
      </c>
      <c r="C13" s="34">
        <v>1</v>
      </c>
      <c r="D13" s="31">
        <f t="shared" si="0"/>
        <v>8</v>
      </c>
    </row>
    <row r="14" spans="2:7" ht="15.75" customHeight="1" x14ac:dyDescent="0.15">
      <c r="B14" s="148">
        <v>12</v>
      </c>
      <c r="C14" s="34">
        <v>1</v>
      </c>
      <c r="D14" s="31">
        <f t="shared" si="0"/>
        <v>8</v>
      </c>
    </row>
    <row r="15" spans="2:7" ht="15.75" customHeight="1" x14ac:dyDescent="0.15">
      <c r="B15" s="149">
        <v>13</v>
      </c>
      <c r="C15" s="39">
        <v>3</v>
      </c>
      <c r="D15" s="41">
        <f t="shared" si="0"/>
        <v>24</v>
      </c>
    </row>
    <row r="16" spans="2:7" ht="15.75" customHeight="1" x14ac:dyDescent="0.15">
      <c r="B16" s="148">
        <v>14</v>
      </c>
      <c r="C16" s="34">
        <v>3</v>
      </c>
      <c r="D16" s="31">
        <f t="shared" si="0"/>
        <v>24</v>
      </c>
    </row>
    <row r="17" spans="2:4" ht="15.75" customHeight="1" x14ac:dyDescent="0.15">
      <c r="B17" s="148">
        <v>15</v>
      </c>
      <c r="C17" s="34">
        <v>2</v>
      </c>
      <c r="D17" s="31">
        <f t="shared" si="0"/>
        <v>16</v>
      </c>
    </row>
    <row r="18" spans="2:4" ht="15.75" customHeight="1" x14ac:dyDescent="0.15">
      <c r="B18" s="148">
        <v>16</v>
      </c>
      <c r="C18" s="34">
        <v>3</v>
      </c>
      <c r="D18" s="31">
        <f t="shared" si="0"/>
        <v>24</v>
      </c>
    </row>
    <row r="19" spans="2:4" ht="15.75" customHeight="1" x14ac:dyDescent="0.15">
      <c r="B19" s="148">
        <v>17</v>
      </c>
      <c r="C19" s="34">
        <v>7</v>
      </c>
      <c r="D19" s="31">
        <f t="shared" si="0"/>
        <v>56</v>
      </c>
    </row>
    <row r="20" spans="2:4" ht="15.75" customHeight="1" x14ac:dyDescent="0.15">
      <c r="B20" s="148">
        <v>18</v>
      </c>
      <c r="C20" s="34">
        <v>3</v>
      </c>
      <c r="D20" s="31">
        <f t="shared" si="0"/>
        <v>24</v>
      </c>
    </row>
    <row r="21" spans="2:4" ht="15.75" customHeight="1" x14ac:dyDescent="0.15">
      <c r="B21" s="148">
        <v>19</v>
      </c>
      <c r="C21" s="34">
        <v>3</v>
      </c>
      <c r="D21" s="31">
        <f t="shared" si="0"/>
        <v>24</v>
      </c>
    </row>
    <row r="22" spans="2:4" ht="15.75" customHeight="1" x14ac:dyDescent="0.15">
      <c r="B22" s="148">
        <v>20</v>
      </c>
      <c r="C22" s="34">
        <v>3</v>
      </c>
      <c r="D22" s="31">
        <f t="shared" si="0"/>
        <v>24</v>
      </c>
    </row>
    <row r="23" spans="2:4" ht="15.75" customHeight="1" x14ac:dyDescent="0.15">
      <c r="B23" s="148">
        <v>21</v>
      </c>
      <c r="C23" s="34">
        <v>3</v>
      </c>
      <c r="D23" s="31">
        <f t="shared" si="0"/>
        <v>24</v>
      </c>
    </row>
    <row r="24" spans="2:4" ht="15.75" customHeight="1" x14ac:dyDescent="0.15">
      <c r="B24" s="148">
        <v>22</v>
      </c>
      <c r="C24" s="34">
        <v>2</v>
      </c>
      <c r="D24" s="31">
        <f t="shared" si="0"/>
        <v>16</v>
      </c>
    </row>
    <row r="25" spans="2:4" ht="15.75" customHeight="1" x14ac:dyDescent="0.15">
      <c r="B25" s="148">
        <v>23</v>
      </c>
      <c r="C25" s="34">
        <v>3</v>
      </c>
      <c r="D25" s="31">
        <f t="shared" si="0"/>
        <v>24</v>
      </c>
    </row>
    <row r="26" spans="2:4" ht="15.75" customHeight="1" x14ac:dyDescent="0.15">
      <c r="B26" s="148">
        <v>24</v>
      </c>
      <c r="C26" s="34">
        <v>3</v>
      </c>
      <c r="D26" s="31">
        <f t="shared" si="0"/>
        <v>24</v>
      </c>
    </row>
    <row r="27" spans="2:4" ht="15.75" customHeight="1" x14ac:dyDescent="0.15">
      <c r="B27" s="148">
        <v>25</v>
      </c>
      <c r="C27" s="34">
        <v>4</v>
      </c>
      <c r="D27" s="31">
        <f t="shared" si="0"/>
        <v>32</v>
      </c>
    </row>
    <row r="28" spans="2:4" ht="15.75" customHeight="1" x14ac:dyDescent="0.15">
      <c r="B28" s="150">
        <v>26</v>
      </c>
      <c r="C28" s="50">
        <v>3</v>
      </c>
      <c r="D28" s="63">
        <f t="shared" si="0"/>
        <v>24</v>
      </c>
    </row>
    <row r="29" spans="2:4" ht="15.75" customHeight="1" x14ac:dyDescent="0.15">
      <c r="B29" s="150">
        <v>27</v>
      </c>
      <c r="C29" s="50">
        <v>1</v>
      </c>
      <c r="D29" s="63">
        <f t="shared" si="0"/>
        <v>8</v>
      </c>
    </row>
    <row r="30" spans="2:4" ht="15.75" customHeight="1" x14ac:dyDescent="0.15">
      <c r="B30" s="150">
        <v>28</v>
      </c>
      <c r="C30" s="50">
        <v>0.5</v>
      </c>
      <c r="D30" s="63">
        <f t="shared" si="0"/>
        <v>4</v>
      </c>
    </row>
    <row r="31" spans="2:4" ht="15.75" customHeight="1" x14ac:dyDescent="0.15">
      <c r="B31" s="148">
        <v>29</v>
      </c>
      <c r="C31" s="34">
        <v>3</v>
      </c>
      <c r="D31" s="31">
        <f t="shared" si="0"/>
        <v>24</v>
      </c>
    </row>
    <row r="32" spans="2:4" ht="15.75" customHeight="1" x14ac:dyDescent="0.15">
      <c r="B32" s="148">
        <v>30</v>
      </c>
      <c r="C32" s="34">
        <v>2</v>
      </c>
      <c r="D32" s="31">
        <f t="shared" si="0"/>
        <v>16</v>
      </c>
    </row>
    <row r="33" spans="2:4" ht="15.75" customHeight="1" x14ac:dyDescent="0.15">
      <c r="B33" s="151">
        <v>31</v>
      </c>
      <c r="C33" s="65">
        <v>1.5</v>
      </c>
      <c r="D33" s="65">
        <v>12</v>
      </c>
    </row>
    <row r="34" spans="2:4" ht="15.75" customHeight="1" x14ac:dyDescent="0.15">
      <c r="B34" s="152">
        <v>32</v>
      </c>
      <c r="C34" s="153">
        <v>2</v>
      </c>
      <c r="D34" s="153">
        <v>16</v>
      </c>
    </row>
    <row r="35" spans="2:4" ht="15.75" customHeight="1" x14ac:dyDescent="0.15">
      <c r="B35" s="154" t="s">
        <v>52</v>
      </c>
      <c r="C35" s="154">
        <f>SUBTOTAL(109,User_Stories[Estimated Days to Complete])</f>
        <v>68.5</v>
      </c>
      <c r="D35" s="154">
        <f>SUBTOTAL(109,User_Stories[[ Estimation in Hours]])</f>
        <v>548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Q17"/>
  <sheetViews>
    <sheetView showGridLines="0" workbookViewId="0"/>
  </sheetViews>
  <sheetFormatPr baseColWidth="10" defaultColWidth="14.5" defaultRowHeight="15.75" customHeight="1" x14ac:dyDescent="0.15"/>
  <cols>
    <col min="2" max="2" width="15.83203125" customWidth="1"/>
    <col min="3" max="3" width="17.1640625" customWidth="1"/>
    <col min="4" max="4" width="14.83203125" customWidth="1"/>
    <col min="5" max="5" width="15.1640625" customWidth="1"/>
    <col min="6" max="6" width="14.5" customWidth="1"/>
    <col min="7" max="7" width="14.6640625" customWidth="1"/>
    <col min="8" max="8" width="16.1640625" customWidth="1"/>
    <col min="9" max="9" width="18.6640625" customWidth="1"/>
    <col min="10" max="10" width="23" customWidth="1"/>
    <col min="11" max="12" width="15.83203125" customWidth="1"/>
    <col min="16" max="17" width="20.5" customWidth="1"/>
  </cols>
  <sheetData>
    <row r="2" spans="2:17" ht="15.75" customHeight="1" x14ac:dyDescent="0.15">
      <c r="B2" s="3" t="s">
        <v>1</v>
      </c>
      <c r="C2" s="3" t="s">
        <v>6</v>
      </c>
      <c r="D2" s="3" t="s">
        <v>7</v>
      </c>
      <c r="E2" s="3" t="s">
        <v>8</v>
      </c>
      <c r="F2" s="3" t="s">
        <v>10</v>
      </c>
      <c r="G2" s="3" t="s">
        <v>12</v>
      </c>
      <c r="H2" s="3" t="s">
        <v>14</v>
      </c>
      <c r="I2" s="3" t="s">
        <v>15</v>
      </c>
      <c r="J2" s="3" t="s">
        <v>18</v>
      </c>
      <c r="M2" s="86" t="s">
        <v>24</v>
      </c>
      <c r="N2" s="86" t="s">
        <v>25</v>
      </c>
      <c r="O2" s="88" t="s">
        <v>26</v>
      </c>
      <c r="P2" s="143" t="s">
        <v>28</v>
      </c>
      <c r="Q2" s="143" t="s">
        <v>29</v>
      </c>
    </row>
    <row r="3" spans="2:17" ht="15.75" customHeight="1" x14ac:dyDescent="0.15">
      <c r="B3" s="114" t="s">
        <v>107</v>
      </c>
      <c r="C3" s="10">
        <v>19</v>
      </c>
      <c r="D3" s="10">
        <v>5</v>
      </c>
      <c r="E3" s="12">
        <f t="shared" ref="E3:E5" si="0">D3-C3</f>
        <v>-14</v>
      </c>
      <c r="F3" s="14">
        <f>0.9</f>
        <v>0.9</v>
      </c>
      <c r="G3" s="16">
        <f t="shared" ref="G3:H3" si="1">C3*12.5</f>
        <v>237.5</v>
      </c>
      <c r="H3" s="16">
        <f t="shared" si="1"/>
        <v>62.5</v>
      </c>
      <c r="I3" s="18">
        <f t="shared" ref="I3:I5" si="2">H3-G3</f>
        <v>-175</v>
      </c>
      <c r="J3" s="20">
        <f>H3/G3</f>
        <v>0.26315789473684209</v>
      </c>
      <c r="K3" s="21"/>
      <c r="M3" s="94">
        <v>43962</v>
      </c>
      <c r="N3" s="23">
        <f t="shared" ref="N3:O3" si="3">M3+7</f>
        <v>43969</v>
      </c>
      <c r="O3" s="23">
        <f t="shared" si="3"/>
        <v>43976</v>
      </c>
      <c r="P3" s="144"/>
      <c r="Q3" s="144"/>
    </row>
    <row r="4" spans="2:17" ht="15.75" customHeight="1" x14ac:dyDescent="0.15">
      <c r="B4" s="114" t="s">
        <v>109</v>
      </c>
      <c r="C4" s="29">
        <v>0</v>
      </c>
      <c r="D4" s="29"/>
      <c r="E4" s="12">
        <f t="shared" si="0"/>
        <v>0</v>
      </c>
      <c r="F4" s="14"/>
      <c r="G4" s="16">
        <f t="shared" ref="G4:H4" si="4">C4*12.5</f>
        <v>0</v>
      </c>
      <c r="H4" s="16">
        <f t="shared" si="4"/>
        <v>0</v>
      </c>
      <c r="I4" s="18">
        <f t="shared" si="2"/>
        <v>0</v>
      </c>
      <c r="J4" s="35"/>
      <c r="K4" s="21"/>
      <c r="L4" s="36" t="s">
        <v>47</v>
      </c>
      <c r="M4" s="37">
        <v>0</v>
      </c>
      <c r="N4" s="38">
        <v>0</v>
      </c>
      <c r="O4" s="40">
        <v>0</v>
      </c>
      <c r="P4" s="42">
        <f>SUM(M4:O4)</f>
        <v>0</v>
      </c>
      <c r="Q4" s="101">
        <v>1.25</v>
      </c>
    </row>
    <row r="5" spans="2:17" ht="15.75" customHeight="1" x14ac:dyDescent="0.15">
      <c r="B5" s="129" t="s">
        <v>105</v>
      </c>
      <c r="C5" s="29">
        <v>0</v>
      </c>
      <c r="D5" s="29">
        <v>6</v>
      </c>
      <c r="E5" s="12">
        <f t="shared" si="0"/>
        <v>6</v>
      </c>
      <c r="F5" s="14">
        <v>1</v>
      </c>
      <c r="G5" s="16">
        <f t="shared" ref="G5:H5" si="5">C5*12.5</f>
        <v>0</v>
      </c>
      <c r="H5" s="16">
        <f t="shared" si="5"/>
        <v>75</v>
      </c>
      <c r="I5" s="18">
        <f t="shared" si="2"/>
        <v>75</v>
      </c>
      <c r="J5" s="35"/>
      <c r="K5" s="21"/>
      <c r="L5" s="46" t="s">
        <v>50</v>
      </c>
      <c r="M5" s="47">
        <v>0</v>
      </c>
      <c r="N5" s="48">
        <v>0</v>
      </c>
      <c r="O5" s="49">
        <v>0</v>
      </c>
      <c r="P5" s="51">
        <f>SUM(M5:N5)</f>
        <v>0</v>
      </c>
      <c r="Q5" s="101">
        <v>49.5</v>
      </c>
    </row>
    <row r="6" spans="2:17" ht="15.75" customHeight="1" x14ac:dyDescent="0.15">
      <c r="B6" s="27"/>
      <c r="C6" s="29"/>
      <c r="D6" s="29"/>
      <c r="E6" s="12"/>
      <c r="F6" s="35"/>
      <c r="G6" s="18"/>
      <c r="H6" s="18"/>
      <c r="I6" s="18"/>
      <c r="J6" s="35"/>
      <c r="K6" s="21"/>
      <c r="L6" s="46" t="s">
        <v>51</v>
      </c>
      <c r="M6" s="47">
        <v>0</v>
      </c>
      <c r="N6" s="48">
        <v>22.5</v>
      </c>
      <c r="O6" s="49">
        <v>13.75</v>
      </c>
      <c r="P6" s="51">
        <f>SUM(M6:O6)</f>
        <v>36.25</v>
      </c>
      <c r="Q6" s="101">
        <v>11.75</v>
      </c>
    </row>
    <row r="7" spans="2:17" ht="15.75" customHeight="1" x14ac:dyDescent="0.15">
      <c r="B7" s="27"/>
      <c r="C7" s="29"/>
      <c r="D7" s="29"/>
      <c r="E7" s="12"/>
      <c r="F7" s="35"/>
      <c r="G7" s="18"/>
      <c r="H7" s="18"/>
      <c r="I7" s="18"/>
      <c r="J7" s="35"/>
      <c r="K7" s="21"/>
      <c r="L7" s="46" t="s">
        <v>53</v>
      </c>
      <c r="M7" s="47">
        <v>0</v>
      </c>
      <c r="N7" s="48">
        <v>1</v>
      </c>
      <c r="O7" s="49">
        <v>0</v>
      </c>
      <c r="P7" s="51">
        <f>SUM(M7:N7)</f>
        <v>1</v>
      </c>
      <c r="Q7" s="101">
        <v>4.25</v>
      </c>
    </row>
    <row r="8" spans="2:17" ht="15.75" customHeight="1" x14ac:dyDescent="0.15">
      <c r="B8" s="105"/>
      <c r="C8" s="106"/>
      <c r="D8" s="106"/>
      <c r="E8" s="53"/>
      <c r="F8" s="107"/>
      <c r="G8" s="18"/>
      <c r="H8" s="18"/>
      <c r="I8" s="18"/>
      <c r="J8" s="35"/>
      <c r="L8" s="46" t="s">
        <v>61</v>
      </c>
      <c r="M8" s="47">
        <v>5</v>
      </c>
      <c r="N8" s="48">
        <v>9</v>
      </c>
      <c r="O8" s="49">
        <v>13</v>
      </c>
      <c r="P8" s="51">
        <f>SUM(M8:O8)</f>
        <v>27</v>
      </c>
      <c r="Q8" s="101">
        <v>1.75</v>
      </c>
    </row>
    <row r="9" spans="2:17" ht="15.75" customHeight="1" x14ac:dyDescent="0.15">
      <c r="B9" s="105"/>
      <c r="C9" s="106"/>
      <c r="D9" s="106"/>
      <c r="E9" s="53"/>
      <c r="F9" s="107"/>
      <c r="G9" s="18"/>
      <c r="H9" s="18"/>
      <c r="I9" s="18"/>
      <c r="J9" s="35"/>
      <c r="L9" s="46" t="s">
        <v>62</v>
      </c>
      <c r="M9" s="47">
        <v>0</v>
      </c>
      <c r="N9" s="48">
        <v>0</v>
      </c>
      <c r="O9" s="49">
        <v>0</v>
      </c>
      <c r="P9" s="51">
        <f t="shared" ref="P9:P11" si="6">SUM(M9:N9)</f>
        <v>0</v>
      </c>
      <c r="Q9" s="101">
        <v>68.5</v>
      </c>
    </row>
    <row r="10" spans="2:17" ht="15.75" customHeight="1" x14ac:dyDescent="0.15">
      <c r="B10" s="59"/>
      <c r="C10" s="106"/>
      <c r="D10" s="60"/>
      <c r="E10" s="60"/>
      <c r="F10" s="74"/>
      <c r="G10" s="76"/>
      <c r="H10" s="76"/>
      <c r="I10" s="76"/>
      <c r="J10" s="74"/>
      <c r="L10" s="46" t="s">
        <v>64</v>
      </c>
      <c r="M10" s="47">
        <v>0</v>
      </c>
      <c r="N10" s="48">
        <v>7</v>
      </c>
      <c r="O10" s="49">
        <v>0</v>
      </c>
      <c r="P10" s="51">
        <f t="shared" si="6"/>
        <v>7</v>
      </c>
      <c r="Q10" s="101">
        <v>30.25</v>
      </c>
    </row>
    <row r="11" spans="2:17" ht="15.75" customHeight="1" x14ac:dyDescent="0.15">
      <c r="B11" s="79" t="s">
        <v>52</v>
      </c>
      <c r="C11" s="80">
        <f t="shared" ref="C11:E11" si="7">SUM(C3:C10)</f>
        <v>19</v>
      </c>
      <c r="D11" s="80">
        <f t="shared" si="7"/>
        <v>11</v>
      </c>
      <c r="E11" s="80">
        <f t="shared" si="7"/>
        <v>-8</v>
      </c>
      <c r="F11" s="81">
        <f>1</f>
        <v>1</v>
      </c>
      <c r="G11" s="83">
        <f t="shared" ref="G11:I11" si="8">SUM(G3:G10)</f>
        <v>237.5</v>
      </c>
      <c r="H11" s="83">
        <f t="shared" si="8"/>
        <v>137.5</v>
      </c>
      <c r="I11" s="83">
        <f t="shared" si="8"/>
        <v>-100</v>
      </c>
      <c r="J11" s="81">
        <f>H11/G11</f>
        <v>0.57894736842105265</v>
      </c>
      <c r="L11" s="85" t="s">
        <v>65</v>
      </c>
      <c r="M11" s="87">
        <v>0</v>
      </c>
      <c r="N11" s="89">
        <v>7</v>
      </c>
      <c r="O11" s="91">
        <v>0</v>
      </c>
      <c r="P11" s="92">
        <f t="shared" si="6"/>
        <v>7</v>
      </c>
      <c r="Q11" s="117">
        <v>5.25</v>
      </c>
    </row>
    <row r="12" spans="2:17" ht="15.75" customHeight="1" x14ac:dyDescent="0.15">
      <c r="O12" s="96" t="s">
        <v>72</v>
      </c>
      <c r="P12" s="98">
        <f t="shared" ref="P12:Q12" si="9">SUM(P4:P11)</f>
        <v>78.25</v>
      </c>
      <c r="Q12" s="98">
        <f t="shared" si="9"/>
        <v>172.5</v>
      </c>
    </row>
    <row r="13" spans="2:17" ht="15.75" customHeight="1" x14ac:dyDescent="0.15">
      <c r="B13" s="99"/>
      <c r="H13" s="100"/>
      <c r="J13" s="100"/>
      <c r="O13" s="96" t="s">
        <v>75</v>
      </c>
      <c r="P13" s="145">
        <f>P12+Q12</f>
        <v>250.75</v>
      </c>
      <c r="Q13" s="146"/>
    </row>
    <row r="14" spans="2:17" ht="15.75" customHeight="1" x14ac:dyDescent="0.15">
      <c r="B14" s="99"/>
      <c r="C14" s="100"/>
      <c r="D14" s="100"/>
      <c r="E14" s="100"/>
      <c r="F14" s="100"/>
      <c r="H14" s="100"/>
      <c r="J14" s="100"/>
    </row>
    <row r="15" spans="2:17" ht="15.75" customHeight="1" x14ac:dyDescent="0.15">
      <c r="B15" s="99"/>
      <c r="H15" s="100"/>
      <c r="J15" s="100"/>
      <c r="O15" s="88" t="s">
        <v>14</v>
      </c>
      <c r="P15" s="86" t="s">
        <v>76</v>
      </c>
      <c r="Q15" s="86" t="s">
        <v>78</v>
      </c>
    </row>
    <row r="16" spans="2:17" ht="15.75" customHeight="1" x14ac:dyDescent="0.15">
      <c r="B16" s="99"/>
      <c r="D16" s="100"/>
      <c r="E16" s="100"/>
      <c r="F16" s="100"/>
      <c r="H16" s="100"/>
      <c r="J16" s="100"/>
      <c r="O16" s="102">
        <f>P13*12.5</f>
        <v>3134.375</v>
      </c>
      <c r="P16" s="103">
        <v>1800</v>
      </c>
      <c r="Q16" s="103">
        <f>P16-O16</f>
        <v>-1334.375</v>
      </c>
    </row>
    <row r="17" spans="2:10" ht="15.75" customHeight="1" x14ac:dyDescent="0.15">
      <c r="B17" s="99"/>
      <c r="H17" s="100"/>
      <c r="J17" s="100"/>
    </row>
  </sheetData>
  <mergeCells count="3">
    <mergeCell ref="P2:P3"/>
    <mergeCell ref="Q2:Q3"/>
    <mergeCell ref="P13:Q13"/>
  </mergeCells>
  <conditionalFormatting sqref="F3:F11">
    <cfRule type="colorScale" priority="1">
      <colorScale>
        <cfvo type="formula" val="0"/>
        <cfvo type="formula" val="1"/>
        <color rgb="FFFFFFFF"/>
        <color rgb="FF93C47D"/>
      </colorScale>
    </cfRule>
  </conditionalFormatting>
  <conditionalFormatting sqref="J3:J11">
    <cfRule type="colorScale" priority="2">
      <colorScale>
        <cfvo type="formula" val="0"/>
        <cfvo type="formula" val="1"/>
        <cfvo type="formula" val="2"/>
        <color rgb="FF93C47D"/>
        <color rgb="FFFFFFFF"/>
        <color rgb="FFEA9999"/>
      </colorScale>
    </cfRule>
  </conditionalFormatting>
  <conditionalFormatting sqref="E3:E11">
    <cfRule type="colorScale" priority="3">
      <colorScale>
        <cfvo type="percentile" val="1"/>
        <cfvo type="formula" val="0"/>
        <cfvo type="percentile" val="99"/>
        <color rgb="FF93C47D"/>
        <color rgb="FFFFFFFF"/>
        <color rgb="FFEA9999"/>
      </colorScale>
    </cfRule>
  </conditionalFormatting>
  <conditionalFormatting sqref="I3:I11">
    <cfRule type="colorScale" priority="4">
      <colorScale>
        <cfvo type="percentile" val="1"/>
        <cfvo type="formula" val="0"/>
        <cfvo type="percentile" val="99"/>
        <color rgb="FF93C47D"/>
        <color rgb="FFFFFFFF"/>
        <color rgb="FFEA9999"/>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P25"/>
  <sheetViews>
    <sheetView showGridLines="0" workbookViewId="0">
      <selection activeCell="L26" sqref="L26"/>
    </sheetView>
  </sheetViews>
  <sheetFormatPr baseColWidth="10" defaultColWidth="14.5" defaultRowHeight="15.75" customHeight="1" x14ac:dyDescent="0.15"/>
  <cols>
    <col min="2" max="2" width="30.5" customWidth="1"/>
    <col min="3" max="3" width="30.1640625" customWidth="1"/>
    <col min="4" max="4" width="19.5" customWidth="1"/>
    <col min="6" max="6" width="24.6640625" customWidth="1"/>
    <col min="7" max="7" width="26.6640625" customWidth="1"/>
    <col min="8" max="8" width="23.6640625" customWidth="1"/>
    <col min="9" max="9" width="14.6640625" customWidth="1"/>
    <col min="10" max="10" width="12.5" customWidth="1"/>
    <col min="11" max="11" width="14.83203125" customWidth="1"/>
    <col min="12" max="12" width="22.5" customWidth="1"/>
    <col min="13" max="13" width="21.5" customWidth="1"/>
    <col min="14" max="14" width="16.5" customWidth="1"/>
    <col min="15" max="15" width="26.5" customWidth="1"/>
    <col min="16" max="16" width="216.33203125" customWidth="1"/>
  </cols>
  <sheetData>
    <row r="2" spans="2:16" ht="16" x14ac:dyDescent="0.2">
      <c r="B2" s="4" t="s">
        <v>2</v>
      </c>
    </row>
    <row r="3" spans="2:16" ht="13" x14ac:dyDescent="0.15">
      <c r="B3" s="3" t="s">
        <v>9</v>
      </c>
      <c r="C3" s="3" t="s">
        <v>11</v>
      </c>
      <c r="D3" s="3" t="s">
        <v>13</v>
      </c>
      <c r="E3" s="3" t="s">
        <v>16</v>
      </c>
      <c r="F3" s="3" t="s">
        <v>17</v>
      </c>
      <c r="G3" s="3" t="s">
        <v>19</v>
      </c>
    </row>
    <row r="4" spans="2:16" ht="15.75" customHeight="1" x14ac:dyDescent="0.15">
      <c r="B4" s="15" t="s">
        <v>21</v>
      </c>
      <c r="C4" s="15" t="s">
        <v>31</v>
      </c>
      <c r="D4" s="17">
        <v>52</v>
      </c>
      <c r="E4" s="19">
        <f t="shared" ref="E4:E10" si="0">D4*12.5</f>
        <v>650</v>
      </c>
      <c r="F4" s="22" t="s">
        <v>32</v>
      </c>
      <c r="G4" s="22" t="s">
        <v>32</v>
      </c>
      <c r="H4" s="24"/>
    </row>
    <row r="5" spans="2:16" ht="13" x14ac:dyDescent="0.15">
      <c r="B5" s="25" t="s">
        <v>33</v>
      </c>
      <c r="C5" s="26" t="s">
        <v>34</v>
      </c>
      <c r="D5" s="28">
        <v>88</v>
      </c>
      <c r="E5" s="19">
        <f t="shared" si="0"/>
        <v>1100</v>
      </c>
      <c r="F5" s="30">
        <f t="shared" ref="F5:F11" si="1">900+E5</f>
        <v>2000</v>
      </c>
      <c r="G5" s="30">
        <f t="shared" ref="G5:G11" si="2">F5/2</f>
        <v>1000</v>
      </c>
      <c r="H5" s="24"/>
    </row>
    <row r="6" spans="2:16" ht="13" x14ac:dyDescent="0.15">
      <c r="B6" s="25" t="s">
        <v>35</v>
      </c>
      <c r="C6" s="26" t="s">
        <v>36</v>
      </c>
      <c r="D6" s="28">
        <v>80</v>
      </c>
      <c r="E6" s="19">
        <f t="shared" si="0"/>
        <v>1000</v>
      </c>
      <c r="F6" s="30">
        <f t="shared" si="1"/>
        <v>1900</v>
      </c>
      <c r="G6" s="30">
        <f t="shared" si="2"/>
        <v>950</v>
      </c>
      <c r="H6" s="24"/>
    </row>
    <row r="7" spans="2:16" ht="13" x14ac:dyDescent="0.15">
      <c r="B7" s="25" t="s">
        <v>37</v>
      </c>
      <c r="C7" s="26" t="s">
        <v>38</v>
      </c>
      <c r="D7" s="28">
        <v>72</v>
      </c>
      <c r="E7" s="19">
        <f t="shared" si="0"/>
        <v>900</v>
      </c>
      <c r="F7" s="30">
        <f t="shared" si="1"/>
        <v>1800</v>
      </c>
      <c r="G7" s="30">
        <f t="shared" si="2"/>
        <v>900</v>
      </c>
      <c r="H7" s="24"/>
    </row>
    <row r="8" spans="2:16" ht="13" x14ac:dyDescent="0.15">
      <c r="B8" s="25" t="s">
        <v>40</v>
      </c>
      <c r="C8" s="26" t="s">
        <v>41</v>
      </c>
      <c r="D8" s="28">
        <v>76</v>
      </c>
      <c r="E8" s="19">
        <f t="shared" si="0"/>
        <v>950</v>
      </c>
      <c r="F8" s="30">
        <f t="shared" si="1"/>
        <v>1850</v>
      </c>
      <c r="G8" s="30">
        <f t="shared" si="2"/>
        <v>925</v>
      </c>
      <c r="H8" s="24"/>
    </row>
    <row r="9" spans="2:16" ht="13" x14ac:dyDescent="0.15">
      <c r="B9" s="25" t="s">
        <v>42</v>
      </c>
      <c r="C9" s="26" t="s">
        <v>43</v>
      </c>
      <c r="D9" s="28">
        <v>72</v>
      </c>
      <c r="E9" s="19">
        <f t="shared" si="0"/>
        <v>900</v>
      </c>
      <c r="F9" s="30">
        <f t="shared" si="1"/>
        <v>1800</v>
      </c>
      <c r="G9" s="30">
        <f t="shared" si="2"/>
        <v>900</v>
      </c>
      <c r="H9" s="24"/>
    </row>
    <row r="10" spans="2:16" ht="13" x14ac:dyDescent="0.15">
      <c r="B10" s="25" t="s">
        <v>45</v>
      </c>
      <c r="C10" s="26" t="s">
        <v>46</v>
      </c>
      <c r="D10" s="28">
        <v>80</v>
      </c>
      <c r="E10" s="19">
        <f t="shared" si="0"/>
        <v>1000</v>
      </c>
      <c r="F10" s="30">
        <f t="shared" si="1"/>
        <v>1900</v>
      </c>
      <c r="G10" s="30">
        <f t="shared" si="2"/>
        <v>950</v>
      </c>
      <c r="H10" s="24"/>
    </row>
    <row r="11" spans="2:16" ht="16.5" customHeight="1" x14ac:dyDescent="0.15">
      <c r="B11" s="44" t="s">
        <v>48</v>
      </c>
      <c r="C11" s="45" t="s">
        <v>49</v>
      </c>
      <c r="D11" s="54" t="s">
        <v>49</v>
      </c>
      <c r="E11" s="55">
        <v>900</v>
      </c>
      <c r="F11" s="56">
        <f t="shared" si="1"/>
        <v>1800</v>
      </c>
      <c r="G11" s="56">
        <f t="shared" si="2"/>
        <v>900</v>
      </c>
      <c r="H11" s="24"/>
    </row>
    <row r="12" spans="2:16" ht="13" x14ac:dyDescent="0.15">
      <c r="B12" s="57"/>
      <c r="C12" s="58" t="s">
        <v>52</v>
      </c>
      <c r="D12" s="61">
        <f>SUM(D4:D9)</f>
        <v>440</v>
      </c>
      <c r="E12" s="62">
        <f t="shared" ref="E12:F12" si="3">SUM(E4:E11)</f>
        <v>7400</v>
      </c>
      <c r="F12" s="62">
        <f t="shared" si="3"/>
        <v>13050</v>
      </c>
      <c r="G12" s="62"/>
      <c r="H12" s="24"/>
    </row>
    <row r="13" spans="2:16" ht="13" x14ac:dyDescent="0.15">
      <c r="C13" s="64"/>
    </row>
    <row r="14" spans="2:16" ht="16" x14ac:dyDescent="0.2">
      <c r="B14" s="4" t="s">
        <v>54</v>
      </c>
    </row>
    <row r="15" spans="2:16" ht="13" x14ac:dyDescent="0.15">
      <c r="B15" s="3" t="s">
        <v>9</v>
      </c>
      <c r="C15" s="3" t="s">
        <v>11</v>
      </c>
      <c r="D15" s="3" t="s">
        <v>13</v>
      </c>
      <c r="E15" s="3" t="s">
        <v>55</v>
      </c>
      <c r="F15" s="3" t="s">
        <v>7</v>
      </c>
      <c r="G15" s="3" t="s">
        <v>8</v>
      </c>
      <c r="H15" s="3" t="s">
        <v>10</v>
      </c>
      <c r="I15" s="3" t="s">
        <v>12</v>
      </c>
      <c r="J15" s="3" t="s">
        <v>14</v>
      </c>
      <c r="K15" s="3" t="s">
        <v>15</v>
      </c>
      <c r="L15" s="3" t="s">
        <v>18</v>
      </c>
      <c r="M15" s="3" t="s">
        <v>56</v>
      </c>
      <c r="N15" s="3" t="s">
        <v>57</v>
      </c>
      <c r="O15" s="3" t="s">
        <v>58</v>
      </c>
      <c r="P15" s="3" t="s">
        <v>59</v>
      </c>
    </row>
    <row r="16" spans="2:16" ht="15.75" customHeight="1" x14ac:dyDescent="0.15">
      <c r="B16" s="66" t="s">
        <v>21</v>
      </c>
      <c r="C16" s="66" t="s">
        <v>60</v>
      </c>
      <c r="D16" s="67">
        <v>52</v>
      </c>
      <c r="E16" s="68">
        <v>0</v>
      </c>
      <c r="F16" s="69">
        <f>'Iteration 0'!$D$11</f>
        <v>62</v>
      </c>
      <c r="G16" s="70">
        <f t="shared" ref="G16:G23" si="4">F16-D16-E16</f>
        <v>10</v>
      </c>
      <c r="H16" s="71">
        <f>'Iteration 0'!$F$11</f>
        <v>1</v>
      </c>
      <c r="I16" s="72">
        <v>650</v>
      </c>
      <c r="J16" s="72">
        <f>F16*12.5</f>
        <v>775</v>
      </c>
      <c r="K16" s="73">
        <f t="shared" ref="K16:K23" si="5">J16-I16</f>
        <v>125</v>
      </c>
      <c r="L16" s="75">
        <f t="shared" ref="L16:L23" si="6">J16/I16</f>
        <v>1.1923076923076923</v>
      </c>
      <c r="M16" s="72">
        <f>'Iteration 0'!R16</f>
        <v>4809.375</v>
      </c>
      <c r="N16" s="77" t="s">
        <v>32</v>
      </c>
      <c r="O16" s="78">
        <f>H4</f>
        <v>0</v>
      </c>
      <c r="P16" s="147" t="s">
        <v>63</v>
      </c>
    </row>
    <row r="17" spans="2:16" ht="13" x14ac:dyDescent="0.15">
      <c r="B17" s="66" t="s">
        <v>33</v>
      </c>
      <c r="C17" s="66" t="s">
        <v>34</v>
      </c>
      <c r="D17" s="82">
        <v>88</v>
      </c>
      <c r="E17" s="68">
        <v>0</v>
      </c>
      <c r="F17" s="69">
        <f>'Iteration 1'!$D$11</f>
        <v>68.25</v>
      </c>
      <c r="G17" s="70">
        <f t="shared" si="4"/>
        <v>-19.75</v>
      </c>
      <c r="H17" s="71">
        <f>'Iteration 1'!$F$11</f>
        <v>0.91</v>
      </c>
      <c r="I17" s="72">
        <v>1100</v>
      </c>
      <c r="J17" s="73">
        <f>'Iteration 1'!H11</f>
        <v>853.125</v>
      </c>
      <c r="K17" s="73">
        <f t="shared" si="5"/>
        <v>-246.875</v>
      </c>
      <c r="L17" s="84">
        <f t="shared" si="6"/>
        <v>0.77556818181818177</v>
      </c>
      <c r="M17" s="73">
        <f>'Iteration 1'!O16</f>
        <v>1790.625</v>
      </c>
      <c r="N17" s="73">
        <v>2000</v>
      </c>
      <c r="O17" s="73">
        <f t="shared" ref="O17:O23" si="7">N17-M17</f>
        <v>209.375</v>
      </c>
      <c r="P17" s="147" t="s">
        <v>66</v>
      </c>
    </row>
    <row r="18" spans="2:16" ht="13" x14ac:dyDescent="0.15">
      <c r="B18" s="66" t="s">
        <v>35</v>
      </c>
      <c r="C18" s="66" t="s">
        <v>69</v>
      </c>
      <c r="D18" s="90">
        <v>80</v>
      </c>
      <c r="E18" s="68">
        <v>52.5</v>
      </c>
      <c r="F18" s="69">
        <f>'Iteration 2'!$D$10</f>
        <v>37.25</v>
      </c>
      <c r="G18" s="70">
        <f t="shared" si="4"/>
        <v>-95.25</v>
      </c>
      <c r="H18" s="71">
        <f>'Iteration 2'!$F$10</f>
        <v>0.28000000000000003</v>
      </c>
      <c r="I18" s="93">
        <v>1000</v>
      </c>
      <c r="J18" s="73">
        <f t="shared" ref="J18:J23" si="8">F18*12.5</f>
        <v>465.625</v>
      </c>
      <c r="K18" s="73">
        <f t="shared" si="5"/>
        <v>-534.375</v>
      </c>
      <c r="L18" s="84">
        <f t="shared" si="6"/>
        <v>0.46562500000000001</v>
      </c>
      <c r="M18" s="73">
        <f>'Iteration 2'!O16</f>
        <v>1487.5</v>
      </c>
      <c r="N18" s="73">
        <v>1900</v>
      </c>
      <c r="O18" s="73">
        <f t="shared" si="7"/>
        <v>412.5</v>
      </c>
      <c r="P18" s="147" t="s">
        <v>73</v>
      </c>
    </row>
    <row r="19" spans="2:16" ht="28" x14ac:dyDescent="0.15">
      <c r="B19" s="66" t="s">
        <v>37</v>
      </c>
      <c r="C19" s="97" t="s">
        <v>74</v>
      </c>
      <c r="D19" s="90">
        <v>72</v>
      </c>
      <c r="E19" s="68">
        <v>102.5</v>
      </c>
      <c r="F19" s="69">
        <f>'Iteration 3'!$D$13</f>
        <v>83.25</v>
      </c>
      <c r="G19" s="70">
        <f t="shared" si="4"/>
        <v>-91.25</v>
      </c>
      <c r="H19" s="71">
        <f>'Iteration 3'!$F$13</f>
        <v>0.84000000000000008</v>
      </c>
      <c r="I19" s="93">
        <v>900</v>
      </c>
      <c r="J19" s="73">
        <f t="shared" si="8"/>
        <v>1040.625</v>
      </c>
      <c r="K19" s="73">
        <f t="shared" si="5"/>
        <v>140.625</v>
      </c>
      <c r="L19" s="84">
        <f t="shared" si="6"/>
        <v>1.15625</v>
      </c>
      <c r="M19" s="73">
        <f>'Iteration 3'!O16</f>
        <v>1686.8749999999998</v>
      </c>
      <c r="N19" s="73">
        <v>1800</v>
      </c>
      <c r="O19" s="73">
        <f t="shared" si="7"/>
        <v>113.12500000000023</v>
      </c>
      <c r="P19" s="147" t="s">
        <v>77</v>
      </c>
    </row>
    <row r="20" spans="2:16" ht="28" x14ac:dyDescent="0.15">
      <c r="B20" s="66" t="s">
        <v>40</v>
      </c>
      <c r="C20" s="97" t="s">
        <v>79</v>
      </c>
      <c r="D20" s="90">
        <v>76</v>
      </c>
      <c r="E20" s="68">
        <v>61.5</v>
      </c>
      <c r="F20" s="70">
        <f>'Iteration 4'!$D$12</f>
        <v>118</v>
      </c>
      <c r="G20" s="70">
        <f t="shared" si="4"/>
        <v>-19.5</v>
      </c>
      <c r="H20" s="71">
        <f>'Iteration 4'!$F$12</f>
        <v>0.76</v>
      </c>
      <c r="I20" s="93">
        <v>950</v>
      </c>
      <c r="J20" s="73">
        <f t="shared" si="8"/>
        <v>1475</v>
      </c>
      <c r="K20" s="73">
        <f t="shared" si="5"/>
        <v>525</v>
      </c>
      <c r="L20" s="84">
        <f t="shared" si="6"/>
        <v>1.5526315789473684</v>
      </c>
      <c r="M20" s="73">
        <f>'Iteration 4'!O16</f>
        <v>2188.75</v>
      </c>
      <c r="N20" s="73">
        <v>1850</v>
      </c>
      <c r="O20" s="73">
        <f t="shared" si="7"/>
        <v>-338.75</v>
      </c>
      <c r="P20" s="147" t="s">
        <v>80</v>
      </c>
    </row>
    <row r="21" spans="2:16" ht="33.75" customHeight="1" x14ac:dyDescent="0.15">
      <c r="B21" s="66" t="s">
        <v>42</v>
      </c>
      <c r="C21" s="97" t="s">
        <v>81</v>
      </c>
      <c r="D21" s="90">
        <v>72</v>
      </c>
      <c r="E21" s="68">
        <v>14.75</v>
      </c>
      <c r="F21" s="70">
        <v>86.75</v>
      </c>
      <c r="G21" s="70">
        <f t="shared" si="4"/>
        <v>0</v>
      </c>
      <c r="H21" s="71">
        <f>'Iteration 5'!F12</f>
        <v>0.66666666666666663</v>
      </c>
      <c r="I21" s="104">
        <v>900</v>
      </c>
      <c r="J21" s="73">
        <f t="shared" si="8"/>
        <v>1084.375</v>
      </c>
      <c r="K21" s="73">
        <f t="shared" si="5"/>
        <v>184.375</v>
      </c>
      <c r="L21" s="84">
        <f t="shared" si="6"/>
        <v>1.2048611111111112</v>
      </c>
      <c r="M21" s="73">
        <f>'Iteration 5'!O16</f>
        <v>2140.625</v>
      </c>
      <c r="N21" s="73">
        <v>1800</v>
      </c>
      <c r="O21" s="73">
        <f t="shared" si="7"/>
        <v>-340.625</v>
      </c>
      <c r="P21" s="147" t="s">
        <v>82</v>
      </c>
    </row>
    <row r="22" spans="2:16" ht="13" x14ac:dyDescent="0.15">
      <c r="B22" s="66" t="s">
        <v>45</v>
      </c>
      <c r="C22" s="66" t="s">
        <v>83</v>
      </c>
      <c r="D22" s="82">
        <v>80</v>
      </c>
      <c r="E22" s="68">
        <v>32</v>
      </c>
      <c r="F22" s="70">
        <f>'Iteration 6'!$D$12</f>
        <v>25.5</v>
      </c>
      <c r="G22" s="70">
        <f t="shared" si="4"/>
        <v>-86.5</v>
      </c>
      <c r="H22" s="71">
        <f>'Iteration 6'!$F$12</f>
        <v>1</v>
      </c>
      <c r="I22" s="72">
        <v>1000</v>
      </c>
      <c r="J22" s="73">
        <f t="shared" si="8"/>
        <v>318.75</v>
      </c>
      <c r="K22" s="73">
        <f t="shared" si="5"/>
        <v>-681.25</v>
      </c>
      <c r="L22" s="84">
        <f t="shared" si="6"/>
        <v>0.31874999999999998</v>
      </c>
      <c r="M22" s="73">
        <f>'Iteration 6'!O16</f>
        <v>2081.25</v>
      </c>
      <c r="N22" s="73">
        <v>1900</v>
      </c>
      <c r="O22" s="73">
        <f t="shared" si="7"/>
        <v>-181.25</v>
      </c>
      <c r="P22" s="147" t="s">
        <v>84</v>
      </c>
    </row>
    <row r="23" spans="2:16" ht="13" x14ac:dyDescent="0.15">
      <c r="B23" s="108" t="s">
        <v>48</v>
      </c>
      <c r="C23" s="66" t="s">
        <v>85</v>
      </c>
      <c r="D23" s="109">
        <v>0</v>
      </c>
      <c r="E23" s="110">
        <v>39</v>
      </c>
      <c r="F23" s="70">
        <f>'Iteration 7'!$D$11</f>
        <v>11</v>
      </c>
      <c r="G23" s="70">
        <f t="shared" si="4"/>
        <v>-28</v>
      </c>
      <c r="H23" s="71">
        <f>'Iteration 7'!$F$11</f>
        <v>1</v>
      </c>
      <c r="I23" s="111">
        <v>900</v>
      </c>
      <c r="J23" s="73">
        <f t="shared" si="8"/>
        <v>137.5</v>
      </c>
      <c r="K23" s="73">
        <f t="shared" si="5"/>
        <v>-762.5</v>
      </c>
      <c r="L23" s="84">
        <f t="shared" si="6"/>
        <v>0.15277777777777779</v>
      </c>
      <c r="M23" s="73">
        <f>'Iteration 7'!O16</f>
        <v>3134.375</v>
      </c>
      <c r="N23" s="73">
        <v>1800</v>
      </c>
      <c r="O23" s="112">
        <f t="shared" si="7"/>
        <v>-1334.375</v>
      </c>
      <c r="P23" s="147" t="s">
        <v>89</v>
      </c>
    </row>
    <row r="24" spans="2:16" ht="13" x14ac:dyDescent="0.15">
      <c r="B24" s="57"/>
      <c r="C24" s="113" t="s">
        <v>52</v>
      </c>
      <c r="D24" s="80">
        <f>SUM(D16:D23) + 80+12 + 16</f>
        <v>628</v>
      </c>
      <c r="E24" s="118"/>
      <c r="F24" s="80">
        <f t="shared" ref="F24:G24" si="9">SUM(F16:F23)</f>
        <v>492</v>
      </c>
      <c r="G24" s="80">
        <f t="shared" si="9"/>
        <v>-330.25</v>
      </c>
      <c r="H24" s="81">
        <f>AVERAGE(H16:H23)</f>
        <v>0.80708333333333337</v>
      </c>
      <c r="I24" s="83">
        <f t="shared" ref="I24:K24" si="10">SUM(I16:I23)</f>
        <v>7400</v>
      </c>
      <c r="J24" s="83">
        <f t="shared" si="10"/>
        <v>6150</v>
      </c>
      <c r="K24" s="83">
        <f t="shared" si="10"/>
        <v>-1250</v>
      </c>
      <c r="L24" s="81">
        <f>AVERAGE(L16:L23)</f>
        <v>0.85234641774526632</v>
      </c>
      <c r="M24" s="83">
        <f t="shared" ref="M24:N24" si="11">SUM(M16:M23)</f>
        <v>19319.375</v>
      </c>
      <c r="N24" s="83">
        <f t="shared" si="11"/>
        <v>13050</v>
      </c>
      <c r="O24" s="83">
        <f>SUM(O17:O23)</f>
        <v>-1459.9999999999998</v>
      </c>
      <c r="P24" s="57"/>
    </row>
    <row r="25" spans="2:16" ht="13" x14ac:dyDescent="0.15">
      <c r="C25" s="120"/>
      <c r="D25" s="121"/>
      <c r="E25" s="121"/>
      <c r="F25" s="121"/>
      <c r="G25" s="121"/>
      <c r="H25" s="122"/>
      <c r="I25" s="123"/>
      <c r="J25" s="123"/>
      <c r="K25" s="123"/>
      <c r="L25" s="122"/>
      <c r="M25" s="123"/>
      <c r="N25" s="123"/>
      <c r="O25" s="123"/>
    </row>
  </sheetData>
  <conditionalFormatting sqref="H16:H25">
    <cfRule type="colorScale" priority="1">
      <colorScale>
        <cfvo type="formula" val="0"/>
        <cfvo type="formula" val="1"/>
        <color rgb="FFFFFFFF"/>
        <color rgb="FF93C47D"/>
      </colorScale>
    </cfRule>
  </conditionalFormatting>
  <conditionalFormatting sqref="K16:K25 G24:G25">
    <cfRule type="colorScale" priority="2">
      <colorScale>
        <cfvo type="percentile" val="1"/>
        <cfvo type="formula" val="0"/>
        <cfvo type="percentile" val="99"/>
        <color rgb="FF93C47D"/>
        <color rgb="FFFFFFFF"/>
        <color rgb="FFEA9999"/>
      </colorScale>
    </cfRule>
  </conditionalFormatting>
  <conditionalFormatting sqref="L16:L25">
    <cfRule type="colorScale" priority="3">
      <colorScale>
        <cfvo type="formula" val="0"/>
        <cfvo type="formula" val="1"/>
        <cfvo type="formula" val="2"/>
        <color rgb="FF93C47D"/>
        <color rgb="FFFFFFFF"/>
        <color rgb="FFEA9999"/>
      </colorScale>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T17"/>
  <sheetViews>
    <sheetView showGridLines="0" workbookViewId="0"/>
  </sheetViews>
  <sheetFormatPr baseColWidth="10" defaultColWidth="14.5" defaultRowHeight="15.75" customHeight="1" x14ac:dyDescent="0.15"/>
  <cols>
    <col min="2" max="2" width="15.83203125" customWidth="1"/>
    <col min="3" max="3" width="17.1640625" customWidth="1"/>
    <col min="4" max="4" width="14.83203125" customWidth="1"/>
    <col min="5" max="5" width="15.1640625" customWidth="1"/>
    <col min="6" max="6" width="14.5" customWidth="1"/>
    <col min="7" max="7" width="14.6640625" customWidth="1"/>
    <col min="8" max="8" width="16.1640625" customWidth="1"/>
    <col min="9" max="9" width="18.6640625" customWidth="1"/>
    <col min="10" max="10" width="23" customWidth="1"/>
    <col min="11" max="12" width="15.83203125" customWidth="1"/>
    <col min="19" max="20" width="20.5" customWidth="1"/>
  </cols>
  <sheetData>
    <row r="2" spans="2:20" ht="15.75" customHeight="1" x14ac:dyDescent="0.15">
      <c r="B2" s="3" t="s">
        <v>1</v>
      </c>
      <c r="C2" s="3" t="s">
        <v>6</v>
      </c>
      <c r="D2" s="3" t="s">
        <v>7</v>
      </c>
      <c r="E2" s="3" t="s">
        <v>8</v>
      </c>
      <c r="F2" s="3" t="s">
        <v>10</v>
      </c>
      <c r="G2" s="3" t="s">
        <v>12</v>
      </c>
      <c r="H2" s="3" t="s">
        <v>14</v>
      </c>
      <c r="I2" s="3" t="s">
        <v>15</v>
      </c>
      <c r="J2" s="3" t="s">
        <v>18</v>
      </c>
      <c r="M2" s="5" t="s">
        <v>20</v>
      </c>
      <c r="N2" s="5" t="s">
        <v>22</v>
      </c>
      <c r="O2" s="5" t="s">
        <v>23</v>
      </c>
      <c r="P2" s="5" t="s">
        <v>24</v>
      </c>
      <c r="Q2" s="5" t="s">
        <v>25</v>
      </c>
      <c r="R2" s="7" t="s">
        <v>26</v>
      </c>
      <c r="S2" s="143" t="s">
        <v>28</v>
      </c>
      <c r="T2" s="143" t="s">
        <v>29</v>
      </c>
    </row>
    <row r="3" spans="2:20" ht="15.75" customHeight="1" x14ac:dyDescent="0.15">
      <c r="B3" s="9">
        <v>1</v>
      </c>
      <c r="C3" s="10">
        <v>16</v>
      </c>
      <c r="D3" s="10">
        <v>38</v>
      </c>
      <c r="E3" s="12">
        <f t="shared" ref="E3:E6" si="0">D3-C3</f>
        <v>22</v>
      </c>
      <c r="F3" s="14">
        <v>1</v>
      </c>
      <c r="G3" s="16">
        <f t="shared" ref="G3:H3" si="1">C3*12.5</f>
        <v>200</v>
      </c>
      <c r="H3" s="16">
        <f t="shared" si="1"/>
        <v>475</v>
      </c>
      <c r="I3" s="18">
        <f t="shared" ref="I3:I6" si="2">H3-G3</f>
        <v>275</v>
      </c>
      <c r="J3" s="20">
        <f t="shared" ref="J3:J6" si="3">H3/G3</f>
        <v>2.375</v>
      </c>
      <c r="K3" s="21"/>
      <c r="M3" s="23">
        <v>43843</v>
      </c>
      <c r="N3" s="23">
        <f t="shared" ref="N3:R3" si="4">M3+7</f>
        <v>43850</v>
      </c>
      <c r="O3" s="23">
        <f t="shared" si="4"/>
        <v>43857</v>
      </c>
      <c r="P3" s="23">
        <f t="shared" si="4"/>
        <v>43864</v>
      </c>
      <c r="Q3" s="23">
        <f t="shared" si="4"/>
        <v>43871</v>
      </c>
      <c r="R3" s="23">
        <f t="shared" si="4"/>
        <v>43878</v>
      </c>
      <c r="S3" s="144"/>
      <c r="T3" s="144"/>
    </row>
    <row r="4" spans="2:20" ht="15.75" customHeight="1" x14ac:dyDescent="0.15">
      <c r="B4" s="27">
        <v>2</v>
      </c>
      <c r="C4" s="29">
        <v>8</v>
      </c>
      <c r="D4" s="29">
        <v>16</v>
      </c>
      <c r="E4" s="12">
        <f t="shared" si="0"/>
        <v>8</v>
      </c>
      <c r="F4" s="32">
        <v>1</v>
      </c>
      <c r="G4" s="18">
        <f t="shared" ref="G4:H4" si="5">C4*12.5</f>
        <v>100</v>
      </c>
      <c r="H4" s="18">
        <f t="shared" si="5"/>
        <v>200</v>
      </c>
      <c r="I4" s="18">
        <f t="shared" si="2"/>
        <v>100</v>
      </c>
      <c r="J4" s="35">
        <f t="shared" si="3"/>
        <v>2</v>
      </c>
      <c r="K4" s="21"/>
      <c r="L4" s="36" t="s">
        <v>47</v>
      </c>
      <c r="M4" s="37">
        <v>0</v>
      </c>
      <c r="N4" s="38">
        <v>5</v>
      </c>
      <c r="O4" s="38">
        <v>0</v>
      </c>
      <c r="P4" s="38">
        <v>4</v>
      </c>
      <c r="Q4" s="38">
        <v>0</v>
      </c>
      <c r="R4" s="40">
        <v>0</v>
      </c>
      <c r="S4" s="42">
        <f t="shared" ref="S4:S11" si="6">SUM(M4:R4)</f>
        <v>9</v>
      </c>
      <c r="T4" s="43">
        <f>24-S4</f>
        <v>15</v>
      </c>
    </row>
    <row r="5" spans="2:20" ht="15.75" customHeight="1" x14ac:dyDescent="0.15">
      <c r="B5" s="27">
        <v>5</v>
      </c>
      <c r="C5" s="29">
        <v>4</v>
      </c>
      <c r="D5" s="29">
        <v>2</v>
      </c>
      <c r="E5" s="12">
        <f t="shared" si="0"/>
        <v>-2</v>
      </c>
      <c r="F5" s="35">
        <f>1</f>
        <v>1</v>
      </c>
      <c r="G5" s="18">
        <f t="shared" ref="G5:H5" si="7">C5*12.5</f>
        <v>50</v>
      </c>
      <c r="H5" s="18">
        <f t="shared" si="7"/>
        <v>25</v>
      </c>
      <c r="I5" s="18">
        <f t="shared" si="2"/>
        <v>-25</v>
      </c>
      <c r="J5" s="35">
        <f t="shared" si="3"/>
        <v>0.5</v>
      </c>
      <c r="K5" s="21"/>
      <c r="L5" s="46" t="s">
        <v>50</v>
      </c>
      <c r="M5" s="47">
        <v>0</v>
      </c>
      <c r="N5" s="48">
        <v>0</v>
      </c>
      <c r="O5" s="48">
        <v>0</v>
      </c>
      <c r="P5" s="48">
        <v>0</v>
      </c>
      <c r="Q5" s="48">
        <v>0</v>
      </c>
      <c r="R5" s="49">
        <v>0</v>
      </c>
      <c r="S5" s="51">
        <f t="shared" si="6"/>
        <v>0</v>
      </c>
      <c r="T5" s="52">
        <f>75.25</f>
        <v>75.25</v>
      </c>
    </row>
    <row r="6" spans="2:20" ht="15.75" customHeight="1" x14ac:dyDescent="0.15">
      <c r="B6" s="27">
        <v>20</v>
      </c>
      <c r="C6" s="29">
        <v>24</v>
      </c>
      <c r="D6" s="29">
        <v>6</v>
      </c>
      <c r="E6" s="53">
        <f t="shared" si="0"/>
        <v>-18</v>
      </c>
      <c r="F6" s="32">
        <v>1</v>
      </c>
      <c r="G6" s="18">
        <f t="shared" ref="G6:H6" si="8">C6*12.5</f>
        <v>300</v>
      </c>
      <c r="H6" s="18">
        <f t="shared" si="8"/>
        <v>75</v>
      </c>
      <c r="I6" s="18">
        <f t="shared" si="2"/>
        <v>-225</v>
      </c>
      <c r="J6" s="35">
        <f t="shared" si="3"/>
        <v>0.25</v>
      </c>
      <c r="K6" s="21"/>
      <c r="L6" s="46" t="s">
        <v>51</v>
      </c>
      <c r="M6" s="47">
        <v>1</v>
      </c>
      <c r="N6" s="48">
        <v>7</v>
      </c>
      <c r="O6" s="48">
        <v>12</v>
      </c>
      <c r="P6" s="48">
        <v>13</v>
      </c>
      <c r="Q6" s="48">
        <v>0</v>
      </c>
      <c r="R6" s="49">
        <v>0</v>
      </c>
      <c r="S6" s="51">
        <f t="shared" si="6"/>
        <v>33</v>
      </c>
      <c r="T6" s="52">
        <f>65.5-S6</f>
        <v>32.5</v>
      </c>
    </row>
    <row r="7" spans="2:20" ht="15.75" customHeight="1" x14ac:dyDescent="0.15">
      <c r="B7" s="27"/>
      <c r="C7" s="29"/>
      <c r="D7" s="29"/>
      <c r="E7" s="53"/>
      <c r="F7" s="32"/>
      <c r="G7" s="18"/>
      <c r="H7" s="18"/>
      <c r="I7" s="18"/>
      <c r="J7" s="35"/>
      <c r="K7" s="21"/>
      <c r="L7" s="46" t="s">
        <v>53</v>
      </c>
      <c r="M7" s="47">
        <v>0</v>
      </c>
      <c r="N7" s="48">
        <v>0</v>
      </c>
      <c r="O7" s="48">
        <v>0</v>
      </c>
      <c r="P7" s="48">
        <v>0</v>
      </c>
      <c r="Q7" s="48">
        <v>0</v>
      </c>
      <c r="R7" s="49">
        <v>0</v>
      </c>
      <c r="S7" s="51">
        <f t="shared" si="6"/>
        <v>0</v>
      </c>
      <c r="T7" s="52">
        <v>44.25</v>
      </c>
    </row>
    <row r="8" spans="2:20" ht="15.75" customHeight="1" x14ac:dyDescent="0.15">
      <c r="B8" s="59"/>
      <c r="C8" s="60"/>
      <c r="D8" s="60"/>
      <c r="E8" s="60"/>
      <c r="F8" s="74"/>
      <c r="G8" s="76"/>
      <c r="H8" s="76"/>
      <c r="I8" s="76"/>
      <c r="J8" s="74"/>
      <c r="L8" s="46" t="s">
        <v>61</v>
      </c>
      <c r="M8" s="47">
        <v>0</v>
      </c>
      <c r="N8" s="48">
        <v>5</v>
      </c>
      <c r="O8" s="48">
        <v>6</v>
      </c>
      <c r="P8" s="48">
        <v>9</v>
      </c>
      <c r="Q8" s="48">
        <v>0</v>
      </c>
      <c r="R8" s="49">
        <v>0</v>
      </c>
      <c r="S8" s="51">
        <f t="shared" si="6"/>
        <v>20</v>
      </c>
      <c r="T8" s="52">
        <f>46-S8</f>
        <v>26</v>
      </c>
    </row>
    <row r="9" spans="2:20" ht="15.75" customHeight="1" x14ac:dyDescent="0.15">
      <c r="B9" s="59"/>
      <c r="C9" s="60"/>
      <c r="D9" s="60"/>
      <c r="E9" s="60"/>
      <c r="F9" s="74"/>
      <c r="G9" s="76"/>
      <c r="H9" s="76"/>
      <c r="I9" s="76"/>
      <c r="J9" s="74"/>
      <c r="L9" s="46" t="s">
        <v>62</v>
      </c>
      <c r="M9" s="47">
        <v>0</v>
      </c>
      <c r="N9" s="48">
        <v>0</v>
      </c>
      <c r="O9" s="48">
        <v>0</v>
      </c>
      <c r="P9" s="48">
        <v>0</v>
      </c>
      <c r="Q9" s="48">
        <v>0</v>
      </c>
      <c r="R9" s="49">
        <v>0</v>
      </c>
      <c r="S9" s="51">
        <f t="shared" si="6"/>
        <v>0</v>
      </c>
      <c r="T9" s="52">
        <v>39.75</v>
      </c>
    </row>
    <row r="10" spans="2:20" ht="15.75" customHeight="1" x14ac:dyDescent="0.15">
      <c r="B10" s="59"/>
      <c r="C10" s="60"/>
      <c r="D10" s="60"/>
      <c r="E10" s="60"/>
      <c r="F10" s="74"/>
      <c r="G10" s="76"/>
      <c r="H10" s="76"/>
      <c r="I10" s="76"/>
      <c r="J10" s="74"/>
      <c r="L10" s="46" t="s">
        <v>64</v>
      </c>
      <c r="M10" s="47">
        <v>0</v>
      </c>
      <c r="N10" s="48">
        <v>0</v>
      </c>
      <c r="O10" s="48">
        <v>0</v>
      </c>
      <c r="P10" s="48">
        <v>0</v>
      </c>
      <c r="Q10" s="48">
        <v>0</v>
      </c>
      <c r="R10" s="49">
        <v>0</v>
      </c>
      <c r="S10" s="51">
        <f t="shared" si="6"/>
        <v>0</v>
      </c>
      <c r="T10" s="52">
        <v>75.25</v>
      </c>
    </row>
    <row r="11" spans="2:20" ht="15.75" customHeight="1" x14ac:dyDescent="0.15">
      <c r="B11" s="79" t="s">
        <v>52</v>
      </c>
      <c r="C11" s="80">
        <f t="shared" ref="C11:E11" si="9">SUM(C3:C10)</f>
        <v>52</v>
      </c>
      <c r="D11" s="80">
        <f t="shared" si="9"/>
        <v>62</v>
      </c>
      <c r="E11" s="80">
        <f t="shared" si="9"/>
        <v>10</v>
      </c>
      <c r="F11" s="81">
        <f>AVERAGE(F3:F10)</f>
        <v>1</v>
      </c>
      <c r="G11" s="83">
        <f t="shared" ref="G11:I11" si="10">SUM(G3:G10)</f>
        <v>650</v>
      </c>
      <c r="H11" s="83">
        <f t="shared" si="10"/>
        <v>775</v>
      </c>
      <c r="I11" s="83">
        <f t="shared" si="10"/>
        <v>125</v>
      </c>
      <c r="J11" s="81">
        <f>H11/G11</f>
        <v>1.1923076923076923</v>
      </c>
      <c r="L11" s="85" t="s">
        <v>65</v>
      </c>
      <c r="M11" s="87">
        <v>0</v>
      </c>
      <c r="N11" s="89">
        <v>0</v>
      </c>
      <c r="O11" s="89">
        <v>0</v>
      </c>
      <c r="P11" s="89">
        <v>0</v>
      </c>
      <c r="Q11" s="89">
        <v>0</v>
      </c>
      <c r="R11" s="91">
        <v>0</v>
      </c>
      <c r="S11" s="92">
        <f t="shared" si="6"/>
        <v>0</v>
      </c>
      <c r="T11" s="95">
        <v>14.75</v>
      </c>
    </row>
    <row r="12" spans="2:20" ht="15.75" customHeight="1" x14ac:dyDescent="0.15">
      <c r="R12" s="96" t="s">
        <v>72</v>
      </c>
      <c r="S12" s="98">
        <f t="shared" ref="S12:T12" si="11">SUM(S4:S11)</f>
        <v>62</v>
      </c>
      <c r="T12" s="98">
        <f t="shared" si="11"/>
        <v>322.75</v>
      </c>
    </row>
    <row r="13" spans="2:20" ht="15.75" customHeight="1" x14ac:dyDescent="0.15">
      <c r="B13" s="99"/>
      <c r="H13" s="100"/>
      <c r="J13" s="100"/>
      <c r="R13" s="96" t="s">
        <v>75</v>
      </c>
      <c r="S13" s="145">
        <f>S12+T12</f>
        <v>384.75</v>
      </c>
      <c r="T13" s="146"/>
    </row>
    <row r="14" spans="2:20" ht="15.75" customHeight="1" x14ac:dyDescent="0.15">
      <c r="B14" s="99"/>
      <c r="C14" s="100"/>
      <c r="D14" s="100"/>
      <c r="E14" s="100"/>
      <c r="F14" s="100"/>
      <c r="H14" s="100"/>
      <c r="J14" s="100"/>
    </row>
    <row r="15" spans="2:20" ht="15.75" customHeight="1" x14ac:dyDescent="0.15">
      <c r="B15" s="99"/>
      <c r="H15" s="100"/>
      <c r="J15" s="100"/>
      <c r="R15" s="88" t="s">
        <v>14</v>
      </c>
      <c r="S15" s="86" t="s">
        <v>76</v>
      </c>
      <c r="T15" s="86" t="s">
        <v>78</v>
      </c>
    </row>
    <row r="16" spans="2:20" ht="15.75" customHeight="1" x14ac:dyDescent="0.15">
      <c r="B16" s="99"/>
      <c r="D16" s="100"/>
      <c r="E16" s="100"/>
      <c r="F16" s="100"/>
      <c r="H16" s="100"/>
      <c r="J16" s="100"/>
      <c r="R16" s="102">
        <f>S13*12.5</f>
        <v>4809.375</v>
      </c>
      <c r="S16" s="103" t="s">
        <v>32</v>
      </c>
      <c r="T16" s="103" t="s">
        <v>32</v>
      </c>
    </row>
    <row r="17" spans="2:10" ht="15.75" customHeight="1" x14ac:dyDescent="0.15">
      <c r="B17" s="99"/>
      <c r="H17" s="100"/>
      <c r="J17" s="100"/>
    </row>
  </sheetData>
  <mergeCells count="3">
    <mergeCell ref="S2:S3"/>
    <mergeCell ref="T2:T3"/>
    <mergeCell ref="S13:T13"/>
  </mergeCells>
  <conditionalFormatting sqref="F3:F11">
    <cfRule type="colorScale" priority="1">
      <colorScale>
        <cfvo type="formula" val="0"/>
        <cfvo type="formula" val="1"/>
        <color rgb="FFFFFFFF"/>
        <color rgb="FF93C47D"/>
      </colorScale>
    </cfRule>
  </conditionalFormatting>
  <conditionalFormatting sqref="J3:J11">
    <cfRule type="colorScale" priority="2">
      <colorScale>
        <cfvo type="formula" val="0"/>
        <cfvo type="formula" val="1"/>
        <cfvo type="formula" val="2"/>
        <color rgb="FF93C47D"/>
        <color rgb="FFFFFFFF"/>
        <color rgb="FFEA9999"/>
      </colorScale>
    </cfRule>
  </conditionalFormatting>
  <conditionalFormatting sqref="E3:E11">
    <cfRule type="colorScale" priority="3">
      <colorScale>
        <cfvo type="percentile" val="1"/>
        <cfvo type="formula" val="0"/>
        <cfvo type="percentile" val="99"/>
        <color rgb="FF93C47D"/>
        <color rgb="FFFFFFFF"/>
        <color rgb="FFEA9999"/>
      </colorScale>
    </cfRule>
  </conditionalFormatting>
  <conditionalFormatting sqref="I3:I11">
    <cfRule type="colorScale" priority="4">
      <colorScale>
        <cfvo type="percentile" val="1"/>
        <cfvo type="formula" val="0"/>
        <cfvo type="percentile" val="99"/>
        <color rgb="FF93C47D"/>
        <color rgb="FFFFFFFF"/>
        <color rgb="FFEA9999"/>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Q17"/>
  <sheetViews>
    <sheetView showGridLines="0" workbookViewId="0"/>
  </sheetViews>
  <sheetFormatPr baseColWidth="10" defaultColWidth="14.5" defaultRowHeight="15.75" customHeight="1" x14ac:dyDescent="0.15"/>
  <cols>
    <col min="2" max="2" width="19.83203125" customWidth="1"/>
    <col min="3" max="3" width="17.1640625" customWidth="1"/>
    <col min="4" max="4" width="14.83203125" customWidth="1"/>
    <col min="5" max="5" width="15.1640625" customWidth="1"/>
    <col min="6" max="6" width="14.5" customWidth="1"/>
    <col min="7" max="7" width="14.6640625" customWidth="1"/>
    <col min="8" max="8" width="16.1640625" customWidth="1"/>
    <col min="9" max="9" width="18.6640625" customWidth="1"/>
    <col min="10" max="10" width="23" customWidth="1"/>
    <col min="11" max="12" width="15.83203125" customWidth="1"/>
    <col min="16" max="16" width="22.6640625" customWidth="1"/>
    <col min="17" max="17" width="20.5" customWidth="1"/>
  </cols>
  <sheetData>
    <row r="2" spans="2:17" ht="15.75" customHeight="1" x14ac:dyDescent="0.15">
      <c r="B2" s="3" t="s">
        <v>1</v>
      </c>
      <c r="C2" s="3" t="s">
        <v>6</v>
      </c>
      <c r="D2" s="3" t="s">
        <v>7</v>
      </c>
      <c r="E2" s="3" t="s">
        <v>8</v>
      </c>
      <c r="F2" s="3" t="s">
        <v>10</v>
      </c>
      <c r="G2" s="3" t="s">
        <v>12</v>
      </c>
      <c r="H2" s="3" t="s">
        <v>14</v>
      </c>
      <c r="I2" s="3" t="s">
        <v>15</v>
      </c>
      <c r="J2" s="3" t="s">
        <v>18</v>
      </c>
      <c r="M2" s="86" t="s">
        <v>26</v>
      </c>
      <c r="N2" s="86" t="s">
        <v>67</v>
      </c>
      <c r="O2" s="88" t="s">
        <v>68</v>
      </c>
      <c r="P2" s="143" t="s">
        <v>70</v>
      </c>
      <c r="Q2" s="143" t="s">
        <v>71</v>
      </c>
    </row>
    <row r="3" spans="2:17" ht="15.75" customHeight="1" x14ac:dyDescent="0.15">
      <c r="B3" s="9">
        <v>3</v>
      </c>
      <c r="C3" s="10">
        <v>4</v>
      </c>
      <c r="D3" s="10">
        <v>15</v>
      </c>
      <c r="E3" s="12">
        <f t="shared" ref="E3:E9" si="0">D3-C3</f>
        <v>11</v>
      </c>
      <c r="F3" s="14">
        <v>1</v>
      </c>
      <c r="G3" s="16">
        <f t="shared" ref="G3:H3" si="1">C3*12.5</f>
        <v>50</v>
      </c>
      <c r="H3" s="16">
        <f t="shared" si="1"/>
        <v>187.5</v>
      </c>
      <c r="I3" s="18">
        <f t="shared" ref="I3:I9" si="2">H3-G3</f>
        <v>137.5</v>
      </c>
      <c r="J3" s="20">
        <f t="shared" ref="J3:J9" si="3">H3/G3</f>
        <v>3.75</v>
      </c>
      <c r="K3" s="21"/>
      <c r="M3" s="94">
        <v>43878</v>
      </c>
      <c r="N3" s="23">
        <f t="shared" ref="N3:O3" si="4">M3+7</f>
        <v>43885</v>
      </c>
      <c r="O3" s="23">
        <f t="shared" si="4"/>
        <v>43892</v>
      </c>
      <c r="P3" s="144"/>
      <c r="Q3" s="144"/>
    </row>
    <row r="4" spans="2:17" ht="15.75" customHeight="1" x14ac:dyDescent="0.15">
      <c r="B4" s="27">
        <v>4</v>
      </c>
      <c r="C4" s="29">
        <v>4</v>
      </c>
      <c r="D4" s="29">
        <v>8.25</v>
      </c>
      <c r="E4" s="12">
        <f t="shared" si="0"/>
        <v>4.25</v>
      </c>
      <c r="F4" s="32">
        <v>1</v>
      </c>
      <c r="G4" s="18">
        <f t="shared" ref="G4:H4" si="5">C4*12.5</f>
        <v>50</v>
      </c>
      <c r="H4" s="18">
        <f t="shared" si="5"/>
        <v>103.125</v>
      </c>
      <c r="I4" s="18">
        <f t="shared" si="2"/>
        <v>53.125</v>
      </c>
      <c r="J4" s="35">
        <f t="shared" si="3"/>
        <v>2.0625</v>
      </c>
      <c r="K4" s="21"/>
      <c r="L4" s="36" t="s">
        <v>47</v>
      </c>
      <c r="M4" s="37">
        <v>3</v>
      </c>
      <c r="N4" s="38">
        <v>6.25</v>
      </c>
      <c r="O4" s="40">
        <v>0</v>
      </c>
      <c r="P4" s="101">
        <f t="shared" ref="P4:P11" si="6">SUM(M4:O4)</f>
        <v>9.25</v>
      </c>
      <c r="Q4" s="101">
        <v>2</v>
      </c>
    </row>
    <row r="5" spans="2:17" ht="15.75" customHeight="1" x14ac:dyDescent="0.15">
      <c r="B5" s="27">
        <v>8</v>
      </c>
      <c r="C5" s="29">
        <v>8</v>
      </c>
      <c r="D5" s="29">
        <v>1.5</v>
      </c>
      <c r="E5" s="12">
        <f t="shared" si="0"/>
        <v>-6.5</v>
      </c>
      <c r="F5" s="35">
        <f>1</f>
        <v>1</v>
      </c>
      <c r="G5" s="18">
        <f t="shared" ref="G5:H5" si="7">C5*12.5</f>
        <v>100</v>
      </c>
      <c r="H5" s="18">
        <f t="shared" si="7"/>
        <v>18.75</v>
      </c>
      <c r="I5" s="18">
        <f t="shared" si="2"/>
        <v>-81.25</v>
      </c>
      <c r="J5" s="35">
        <f t="shared" si="3"/>
        <v>0.1875</v>
      </c>
      <c r="K5" s="21"/>
      <c r="L5" s="46" t="s">
        <v>50</v>
      </c>
      <c r="M5" s="47">
        <v>0</v>
      </c>
      <c r="N5" s="48">
        <v>3</v>
      </c>
      <c r="O5" s="49">
        <v>2.5</v>
      </c>
      <c r="P5" s="101">
        <f t="shared" si="6"/>
        <v>5.5</v>
      </c>
      <c r="Q5" s="101">
        <v>26</v>
      </c>
    </row>
    <row r="6" spans="2:17" ht="15.75" customHeight="1" x14ac:dyDescent="0.15">
      <c r="B6" s="27">
        <v>9</v>
      </c>
      <c r="C6" s="29">
        <v>8</v>
      </c>
      <c r="D6" s="29">
        <v>2</v>
      </c>
      <c r="E6" s="53">
        <f t="shared" si="0"/>
        <v>-6</v>
      </c>
      <c r="F6" s="32">
        <v>1</v>
      </c>
      <c r="G6" s="18">
        <f t="shared" ref="G6:H6" si="8">C6*12.5</f>
        <v>100</v>
      </c>
      <c r="H6" s="18">
        <f t="shared" si="8"/>
        <v>25</v>
      </c>
      <c r="I6" s="18">
        <f t="shared" si="2"/>
        <v>-75</v>
      </c>
      <c r="J6" s="35">
        <f t="shared" si="3"/>
        <v>0.25</v>
      </c>
      <c r="K6" s="21"/>
      <c r="L6" s="46" t="s">
        <v>51</v>
      </c>
      <c r="M6" s="47">
        <v>3</v>
      </c>
      <c r="N6" s="48">
        <v>10</v>
      </c>
      <c r="O6" s="49">
        <v>1</v>
      </c>
      <c r="P6" s="101">
        <f t="shared" si="6"/>
        <v>14</v>
      </c>
      <c r="Q6" s="101">
        <v>6.75</v>
      </c>
    </row>
    <row r="7" spans="2:17" ht="15.75" customHeight="1" x14ac:dyDescent="0.15">
      <c r="B7" s="27">
        <v>10</v>
      </c>
      <c r="C7" s="29">
        <v>16</v>
      </c>
      <c r="D7" s="29">
        <v>13</v>
      </c>
      <c r="E7" s="53">
        <f t="shared" si="0"/>
        <v>-3</v>
      </c>
      <c r="F7" s="32">
        <v>0.67</v>
      </c>
      <c r="G7" s="18">
        <f t="shared" ref="G7:H7" si="9">C7*12.5</f>
        <v>200</v>
      </c>
      <c r="H7" s="18">
        <f t="shared" si="9"/>
        <v>162.5</v>
      </c>
      <c r="I7" s="18">
        <f t="shared" si="2"/>
        <v>-37.5</v>
      </c>
      <c r="J7" s="35">
        <f t="shared" si="3"/>
        <v>0.8125</v>
      </c>
      <c r="K7" s="21"/>
      <c r="L7" s="46" t="s">
        <v>53</v>
      </c>
      <c r="M7" s="47">
        <v>3</v>
      </c>
      <c r="N7" s="48">
        <v>4.25</v>
      </c>
      <c r="O7" s="49">
        <v>2</v>
      </c>
      <c r="P7" s="101">
        <f t="shared" si="6"/>
        <v>9.25</v>
      </c>
      <c r="Q7" s="101">
        <v>4</v>
      </c>
    </row>
    <row r="8" spans="2:17" ht="15.75" customHeight="1" x14ac:dyDescent="0.15">
      <c r="B8" s="105">
        <v>14</v>
      </c>
      <c r="C8" s="106">
        <v>24</v>
      </c>
      <c r="D8" s="106">
        <v>10.5</v>
      </c>
      <c r="E8" s="53">
        <f t="shared" si="0"/>
        <v>-13.5</v>
      </c>
      <c r="F8" s="107">
        <v>0.7</v>
      </c>
      <c r="G8" s="18">
        <f t="shared" ref="G8:H8" si="10">C8*12.5</f>
        <v>300</v>
      </c>
      <c r="H8" s="18">
        <f t="shared" si="10"/>
        <v>131.25</v>
      </c>
      <c r="I8" s="18">
        <f t="shared" si="2"/>
        <v>-168.75</v>
      </c>
      <c r="J8" s="35">
        <f t="shared" si="3"/>
        <v>0.4375</v>
      </c>
      <c r="L8" s="46" t="s">
        <v>61</v>
      </c>
      <c r="M8" s="47">
        <v>0</v>
      </c>
      <c r="N8" s="48">
        <v>4.5</v>
      </c>
      <c r="O8" s="49">
        <v>3</v>
      </c>
      <c r="P8" s="101">
        <f t="shared" si="6"/>
        <v>7.5</v>
      </c>
      <c r="Q8" s="51">
        <v>2</v>
      </c>
    </row>
    <row r="9" spans="2:17" ht="15.75" customHeight="1" x14ac:dyDescent="0.15">
      <c r="B9" s="105">
        <v>16</v>
      </c>
      <c r="C9" s="106">
        <v>24</v>
      </c>
      <c r="D9" s="106">
        <v>18</v>
      </c>
      <c r="E9" s="53">
        <f t="shared" si="0"/>
        <v>-6</v>
      </c>
      <c r="F9" s="107">
        <v>1</v>
      </c>
      <c r="G9" s="18">
        <f t="shared" ref="G9:H9" si="11">C9*12.5</f>
        <v>300</v>
      </c>
      <c r="H9" s="18">
        <f t="shared" si="11"/>
        <v>225</v>
      </c>
      <c r="I9" s="18">
        <f t="shared" si="2"/>
        <v>-75</v>
      </c>
      <c r="J9" s="35">
        <f t="shared" si="3"/>
        <v>0.75</v>
      </c>
      <c r="L9" s="46" t="s">
        <v>62</v>
      </c>
      <c r="M9" s="47">
        <v>3</v>
      </c>
      <c r="N9" s="48">
        <v>2.25</v>
      </c>
      <c r="O9" s="49">
        <v>2.5</v>
      </c>
      <c r="P9" s="101">
        <f t="shared" si="6"/>
        <v>7.75</v>
      </c>
      <c r="Q9" s="101">
        <v>12</v>
      </c>
    </row>
    <row r="10" spans="2:17" ht="15.75" customHeight="1" x14ac:dyDescent="0.15">
      <c r="B10" s="105"/>
      <c r="C10" s="106"/>
      <c r="D10" s="106"/>
      <c r="E10" s="60"/>
      <c r="F10" s="74"/>
      <c r="G10" s="76"/>
      <c r="H10" s="76"/>
      <c r="I10" s="76"/>
      <c r="J10" s="74"/>
      <c r="L10" s="46" t="s">
        <v>64</v>
      </c>
      <c r="M10" s="115">
        <v>3</v>
      </c>
      <c r="N10" s="48">
        <v>4.75</v>
      </c>
      <c r="O10" s="49">
        <v>2.5</v>
      </c>
      <c r="P10" s="101">
        <f t="shared" si="6"/>
        <v>10.25</v>
      </c>
      <c r="Q10" s="101">
        <v>15.75</v>
      </c>
    </row>
    <row r="11" spans="2:17" ht="15.75" customHeight="1" x14ac:dyDescent="0.15">
      <c r="B11" s="79" t="s">
        <v>52</v>
      </c>
      <c r="C11" s="80">
        <f t="shared" ref="C11:E11" si="12">SUM(C3:C10)</f>
        <v>88</v>
      </c>
      <c r="D11" s="80">
        <f t="shared" si="12"/>
        <v>68.25</v>
      </c>
      <c r="E11" s="80">
        <f t="shared" si="12"/>
        <v>-19.75</v>
      </c>
      <c r="F11" s="81">
        <f>AVERAGE(F3:F10)</f>
        <v>0.91</v>
      </c>
      <c r="G11" s="83">
        <f t="shared" ref="G11:I11" si="13">SUM(G3:G10)</f>
        <v>1100</v>
      </c>
      <c r="H11" s="83">
        <f t="shared" si="13"/>
        <v>853.125</v>
      </c>
      <c r="I11" s="83">
        <f t="shared" si="13"/>
        <v>-246.875</v>
      </c>
      <c r="J11" s="81">
        <f>H11/G11</f>
        <v>0.77556818181818177</v>
      </c>
      <c r="L11" s="85" t="s">
        <v>65</v>
      </c>
      <c r="M11" s="87">
        <v>3</v>
      </c>
      <c r="N11" s="89">
        <v>5.25</v>
      </c>
      <c r="O11" s="91">
        <v>0</v>
      </c>
      <c r="P11" s="117">
        <f t="shared" si="6"/>
        <v>8.25</v>
      </c>
      <c r="Q11" s="117">
        <v>3</v>
      </c>
    </row>
    <row r="12" spans="2:17" ht="15.75" customHeight="1" x14ac:dyDescent="0.15">
      <c r="O12" s="96" t="s">
        <v>72</v>
      </c>
      <c r="P12" s="98">
        <f t="shared" ref="P12:Q12" si="14">SUM(P4:P11)</f>
        <v>71.75</v>
      </c>
      <c r="Q12" s="98">
        <f t="shared" si="14"/>
        <v>71.5</v>
      </c>
    </row>
    <row r="13" spans="2:17" ht="15.75" customHeight="1" x14ac:dyDescent="0.15">
      <c r="B13" s="99"/>
      <c r="H13" s="100"/>
      <c r="J13" s="100"/>
      <c r="O13" s="96" t="s">
        <v>75</v>
      </c>
      <c r="P13" s="145">
        <f>P12+Q12</f>
        <v>143.25</v>
      </c>
      <c r="Q13" s="146"/>
    </row>
    <row r="14" spans="2:17" ht="15.75" customHeight="1" x14ac:dyDescent="0.15">
      <c r="B14" s="99"/>
      <c r="C14" s="100"/>
      <c r="D14" s="100"/>
      <c r="E14" s="100"/>
      <c r="F14" s="100"/>
      <c r="H14" s="100"/>
      <c r="J14" s="100"/>
    </row>
    <row r="15" spans="2:17" ht="15.75" customHeight="1" x14ac:dyDescent="0.15">
      <c r="B15" s="99"/>
      <c r="H15" s="100"/>
      <c r="J15" s="100"/>
      <c r="O15" s="88" t="s">
        <v>14</v>
      </c>
      <c r="P15" s="86" t="s">
        <v>76</v>
      </c>
      <c r="Q15" s="86" t="s">
        <v>78</v>
      </c>
    </row>
    <row r="16" spans="2:17" ht="15.75" customHeight="1" x14ac:dyDescent="0.15">
      <c r="B16" s="99"/>
      <c r="D16" s="100"/>
      <c r="E16" s="100"/>
      <c r="F16" s="100"/>
      <c r="H16" s="100"/>
      <c r="J16" s="100"/>
      <c r="O16" s="102">
        <f>P13*12.5</f>
        <v>1790.625</v>
      </c>
      <c r="P16" s="103">
        <v>2000</v>
      </c>
      <c r="Q16" s="103">
        <f>P16-O16</f>
        <v>209.375</v>
      </c>
    </row>
    <row r="17" spans="2:10" ht="15.75" customHeight="1" x14ac:dyDescent="0.15">
      <c r="B17" s="99"/>
      <c r="H17" s="100"/>
      <c r="J17" s="100"/>
    </row>
  </sheetData>
  <mergeCells count="3">
    <mergeCell ref="P2:P3"/>
    <mergeCell ref="Q2:Q3"/>
    <mergeCell ref="P13:Q13"/>
  </mergeCells>
  <conditionalFormatting sqref="F3:F11">
    <cfRule type="colorScale" priority="1">
      <colorScale>
        <cfvo type="formula" val="0"/>
        <cfvo type="formula" val="1"/>
        <color rgb="FFFFFFFF"/>
        <color rgb="FF93C47D"/>
      </colorScale>
    </cfRule>
  </conditionalFormatting>
  <conditionalFormatting sqref="J3:J11">
    <cfRule type="colorScale" priority="2">
      <colorScale>
        <cfvo type="formula" val="0"/>
        <cfvo type="formula" val="1"/>
        <cfvo type="formula" val="2"/>
        <color rgb="FF93C47D"/>
        <color rgb="FFFFFFFF"/>
        <color rgb="FFEA9999"/>
      </colorScale>
    </cfRule>
  </conditionalFormatting>
  <conditionalFormatting sqref="E3:E11">
    <cfRule type="colorScale" priority="3">
      <colorScale>
        <cfvo type="percentile" val="1"/>
        <cfvo type="formula" val="0"/>
        <cfvo type="percentile" val="99"/>
        <color rgb="FF93C47D"/>
        <color rgb="FFFFFFFF"/>
        <color rgb="FFEA9999"/>
      </colorScale>
    </cfRule>
  </conditionalFormatting>
  <conditionalFormatting sqref="I3:I11">
    <cfRule type="colorScale" priority="4">
      <colorScale>
        <cfvo type="percentile" val="1"/>
        <cfvo type="formula" val="0"/>
        <cfvo type="percentile" val="99"/>
        <color rgb="FF93C47D"/>
        <color rgb="FFFFFFFF"/>
        <color rgb="FFEA9999"/>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Q17"/>
  <sheetViews>
    <sheetView showGridLines="0" workbookViewId="0"/>
  </sheetViews>
  <sheetFormatPr baseColWidth="10" defaultColWidth="14.5" defaultRowHeight="15.75" customHeight="1" x14ac:dyDescent="0.15"/>
  <cols>
    <col min="2" max="2" width="15.83203125" customWidth="1"/>
    <col min="3" max="3" width="17.1640625" customWidth="1"/>
    <col min="4" max="4" width="14.83203125" customWidth="1"/>
    <col min="5" max="5" width="15.1640625" customWidth="1"/>
    <col min="6" max="6" width="14.5" customWidth="1"/>
    <col min="7" max="7" width="14.6640625" customWidth="1"/>
    <col min="8" max="8" width="16.1640625" customWidth="1"/>
    <col min="9" max="9" width="18.6640625" customWidth="1"/>
    <col min="10" max="10" width="23" customWidth="1"/>
    <col min="11" max="12" width="15.83203125" customWidth="1"/>
    <col min="16" max="17" width="20.5" customWidth="1"/>
  </cols>
  <sheetData>
    <row r="2" spans="2:17" ht="15.75" customHeight="1" x14ac:dyDescent="0.15">
      <c r="B2" s="3" t="s">
        <v>1</v>
      </c>
      <c r="C2" s="3" t="s">
        <v>6</v>
      </c>
      <c r="D2" s="3" t="s">
        <v>7</v>
      </c>
      <c r="E2" s="3" t="s">
        <v>8</v>
      </c>
      <c r="F2" s="3" t="s">
        <v>10</v>
      </c>
      <c r="G2" s="3" t="s">
        <v>12</v>
      </c>
      <c r="H2" s="3" t="s">
        <v>14</v>
      </c>
      <c r="I2" s="3" t="s">
        <v>15</v>
      </c>
      <c r="J2" s="3" t="s">
        <v>18</v>
      </c>
      <c r="M2" s="86" t="s">
        <v>68</v>
      </c>
      <c r="N2" s="86" t="s">
        <v>86</v>
      </c>
      <c r="O2" s="88" t="s">
        <v>87</v>
      </c>
      <c r="P2" s="143" t="s">
        <v>28</v>
      </c>
      <c r="Q2" s="143" t="s">
        <v>29</v>
      </c>
    </row>
    <row r="3" spans="2:17" ht="15.75" customHeight="1" x14ac:dyDescent="0.15">
      <c r="B3" s="9">
        <v>12</v>
      </c>
      <c r="C3" s="10">
        <v>8</v>
      </c>
      <c r="D3" s="10">
        <v>0</v>
      </c>
      <c r="E3" s="12">
        <f t="shared" ref="E3:E9" si="0">D3-C3</f>
        <v>-8</v>
      </c>
      <c r="F3" s="14">
        <f t="shared" ref="F3:F4" si="1">0</f>
        <v>0</v>
      </c>
      <c r="G3" s="16">
        <f t="shared" ref="G3:H3" si="2">C3*12.5</f>
        <v>100</v>
      </c>
      <c r="H3" s="16">
        <f t="shared" si="2"/>
        <v>0</v>
      </c>
      <c r="I3" s="18">
        <f t="shared" ref="I3:I9" si="3">H3-G3</f>
        <v>-100</v>
      </c>
      <c r="J3" s="20">
        <f t="shared" ref="J3:J10" si="4">H3/G3</f>
        <v>0</v>
      </c>
      <c r="K3" s="21"/>
      <c r="M3" s="94">
        <v>43892</v>
      </c>
      <c r="N3" s="23">
        <f t="shared" ref="N3:O3" si="5">M3+7</f>
        <v>43899</v>
      </c>
      <c r="O3" s="23">
        <f t="shared" si="5"/>
        <v>43906</v>
      </c>
      <c r="P3" s="144"/>
      <c r="Q3" s="144"/>
    </row>
    <row r="4" spans="2:17" ht="15.75" customHeight="1" x14ac:dyDescent="0.15">
      <c r="B4" s="27">
        <v>15</v>
      </c>
      <c r="C4" s="29">
        <v>16</v>
      </c>
      <c r="D4" s="29">
        <v>0</v>
      </c>
      <c r="E4" s="12">
        <f t="shared" si="0"/>
        <v>-16</v>
      </c>
      <c r="F4" s="32">
        <f t="shared" si="1"/>
        <v>0</v>
      </c>
      <c r="G4" s="18">
        <f t="shared" ref="G4:H4" si="6">C4*12.5</f>
        <v>200</v>
      </c>
      <c r="H4" s="18">
        <f t="shared" si="6"/>
        <v>0</v>
      </c>
      <c r="I4" s="18">
        <f t="shared" si="3"/>
        <v>-200</v>
      </c>
      <c r="J4" s="35">
        <f t="shared" si="4"/>
        <v>0</v>
      </c>
      <c r="K4" s="21"/>
      <c r="L4" s="36" t="s">
        <v>47</v>
      </c>
      <c r="M4" s="37">
        <v>0</v>
      </c>
      <c r="N4" s="38">
        <v>0.75</v>
      </c>
      <c r="O4" s="40">
        <v>0</v>
      </c>
      <c r="P4" s="101">
        <f t="shared" ref="P4:P11" si="7">SUM(M4:O4)</f>
        <v>0.75</v>
      </c>
      <c r="Q4" s="101">
        <v>8</v>
      </c>
    </row>
    <row r="5" spans="2:17" ht="15.75" customHeight="1" x14ac:dyDescent="0.15">
      <c r="B5" s="27">
        <v>17</v>
      </c>
      <c r="C5" s="29">
        <v>56</v>
      </c>
      <c r="D5" s="29">
        <v>14.5</v>
      </c>
      <c r="E5" s="12">
        <f t="shared" si="0"/>
        <v>-41.5</v>
      </c>
      <c r="F5" s="35">
        <f>0.3</f>
        <v>0.3</v>
      </c>
      <c r="G5" s="18">
        <f t="shared" ref="G5:H5" si="8">C5*12.5</f>
        <v>700</v>
      </c>
      <c r="H5" s="18">
        <f t="shared" si="8"/>
        <v>181.25</v>
      </c>
      <c r="I5" s="18">
        <f t="shared" si="3"/>
        <v>-518.75</v>
      </c>
      <c r="J5" s="35">
        <f t="shared" si="4"/>
        <v>0.25892857142857145</v>
      </c>
      <c r="K5" s="21"/>
      <c r="L5" s="46" t="s">
        <v>50</v>
      </c>
      <c r="M5" s="47">
        <v>0</v>
      </c>
      <c r="N5" s="48">
        <v>0</v>
      </c>
      <c r="O5" s="49">
        <v>4</v>
      </c>
      <c r="P5" s="101">
        <f t="shared" si="7"/>
        <v>4</v>
      </c>
      <c r="Q5" s="101">
        <v>12</v>
      </c>
    </row>
    <row r="6" spans="2:17" ht="15.75" customHeight="1" x14ac:dyDescent="0.15">
      <c r="B6" s="114" t="s">
        <v>88</v>
      </c>
      <c r="C6" s="29">
        <v>3</v>
      </c>
      <c r="D6" s="29">
        <v>2</v>
      </c>
      <c r="E6" s="12">
        <f t="shared" si="0"/>
        <v>-1</v>
      </c>
      <c r="F6" s="32">
        <v>0.1</v>
      </c>
      <c r="G6" s="18">
        <f t="shared" ref="G6:H6" si="9">C6*12.5</f>
        <v>37.5</v>
      </c>
      <c r="H6" s="18">
        <f t="shared" si="9"/>
        <v>25</v>
      </c>
      <c r="I6" s="18">
        <f t="shared" si="3"/>
        <v>-12.5</v>
      </c>
      <c r="J6" s="35">
        <f t="shared" si="4"/>
        <v>0.66666666666666663</v>
      </c>
      <c r="K6" s="21"/>
      <c r="L6" s="46" t="s">
        <v>51</v>
      </c>
      <c r="M6" s="47">
        <v>0</v>
      </c>
      <c r="N6" s="48">
        <v>1</v>
      </c>
      <c r="O6" s="49">
        <v>4.75</v>
      </c>
      <c r="P6" s="101">
        <f t="shared" si="7"/>
        <v>5.75</v>
      </c>
      <c r="Q6" s="101">
        <v>14</v>
      </c>
    </row>
    <row r="7" spans="2:17" ht="15.75" customHeight="1" x14ac:dyDescent="0.15">
      <c r="B7" s="114" t="s">
        <v>90</v>
      </c>
      <c r="C7" s="29">
        <v>13.5</v>
      </c>
      <c r="D7" s="29">
        <v>5</v>
      </c>
      <c r="E7" s="12">
        <f t="shared" si="0"/>
        <v>-8.5</v>
      </c>
      <c r="F7" s="107">
        <v>1</v>
      </c>
      <c r="G7" s="18">
        <f t="shared" ref="G7:H7" si="10">C7*12.5</f>
        <v>168.75</v>
      </c>
      <c r="H7" s="18">
        <f t="shared" si="10"/>
        <v>62.5</v>
      </c>
      <c r="I7" s="18">
        <f t="shared" si="3"/>
        <v>-106.25</v>
      </c>
      <c r="J7" s="35">
        <f t="shared" si="4"/>
        <v>0.37037037037037035</v>
      </c>
      <c r="K7" s="21"/>
      <c r="L7" s="46" t="s">
        <v>53</v>
      </c>
      <c r="M7" s="47">
        <v>0</v>
      </c>
      <c r="N7" s="48">
        <v>4.5</v>
      </c>
      <c r="O7" s="49">
        <v>5</v>
      </c>
      <c r="P7" s="101">
        <f t="shared" si="7"/>
        <v>9.5</v>
      </c>
      <c r="Q7" s="101">
        <v>2</v>
      </c>
    </row>
    <row r="8" spans="2:17" ht="15.75" customHeight="1" x14ac:dyDescent="0.15">
      <c r="B8" s="116" t="s">
        <v>91</v>
      </c>
      <c r="C8" s="106">
        <v>12</v>
      </c>
      <c r="D8" s="106">
        <v>11.75</v>
      </c>
      <c r="E8" s="12">
        <f t="shared" si="0"/>
        <v>-0.25</v>
      </c>
      <c r="F8" s="107">
        <v>1</v>
      </c>
      <c r="G8" s="18">
        <f t="shared" ref="G8:H8" si="11">C8*12.5</f>
        <v>150</v>
      </c>
      <c r="H8" s="18">
        <f t="shared" si="11"/>
        <v>146.875</v>
      </c>
      <c r="I8" s="18">
        <f t="shared" si="3"/>
        <v>-3.125</v>
      </c>
      <c r="J8" s="35">
        <f t="shared" si="4"/>
        <v>0.97916666666666663</v>
      </c>
      <c r="L8" s="46" t="s">
        <v>61</v>
      </c>
      <c r="M8" s="47">
        <v>0</v>
      </c>
      <c r="N8" s="48">
        <v>5</v>
      </c>
      <c r="O8" s="49">
        <v>0</v>
      </c>
      <c r="P8" s="101">
        <f t="shared" si="7"/>
        <v>5</v>
      </c>
      <c r="Q8" s="101">
        <v>3</v>
      </c>
    </row>
    <row r="9" spans="2:17" ht="15.75" customHeight="1" x14ac:dyDescent="0.15">
      <c r="B9" s="116" t="s">
        <v>92</v>
      </c>
      <c r="C9" s="106">
        <v>24</v>
      </c>
      <c r="D9" s="106">
        <v>4</v>
      </c>
      <c r="E9" s="12">
        <f t="shared" si="0"/>
        <v>-20</v>
      </c>
      <c r="F9" s="107">
        <v>0.1</v>
      </c>
      <c r="G9" s="18">
        <f t="shared" ref="G9:H9" si="12">C9*12.5</f>
        <v>300</v>
      </c>
      <c r="H9" s="18">
        <f t="shared" si="12"/>
        <v>50</v>
      </c>
      <c r="I9" s="18">
        <f t="shared" si="3"/>
        <v>-250</v>
      </c>
      <c r="J9" s="35">
        <f t="shared" si="4"/>
        <v>0.16666666666666666</v>
      </c>
      <c r="L9" s="46" t="s">
        <v>62</v>
      </c>
      <c r="M9" s="47">
        <v>0</v>
      </c>
      <c r="N9" s="48">
        <v>5.75</v>
      </c>
      <c r="O9" s="49">
        <v>0</v>
      </c>
      <c r="P9" s="101">
        <f t="shared" si="7"/>
        <v>5.75</v>
      </c>
      <c r="Q9" s="101">
        <v>18.5</v>
      </c>
    </row>
    <row r="10" spans="2:17" ht="15.75" customHeight="1" x14ac:dyDescent="0.15">
      <c r="B10" s="79" t="s">
        <v>52</v>
      </c>
      <c r="C10" s="80">
        <f t="shared" ref="C10:E10" si="13">SUM(C3:C9)</f>
        <v>132.5</v>
      </c>
      <c r="D10" s="80">
        <f t="shared" si="13"/>
        <v>37.25</v>
      </c>
      <c r="E10" s="80">
        <f t="shared" si="13"/>
        <v>-95.25</v>
      </c>
      <c r="F10" s="81">
        <f>AVERAGE(F3:F5, F8:F9)</f>
        <v>0.28000000000000003</v>
      </c>
      <c r="G10" s="83">
        <f t="shared" ref="G10:I10" si="14">SUM(G3:G9)</f>
        <v>1656.25</v>
      </c>
      <c r="H10" s="83">
        <f t="shared" si="14"/>
        <v>465.625</v>
      </c>
      <c r="I10" s="83">
        <f t="shared" si="14"/>
        <v>-1190.625</v>
      </c>
      <c r="J10" s="81">
        <f t="shared" si="4"/>
        <v>0.28113207547169811</v>
      </c>
      <c r="L10" s="46" t="s">
        <v>64</v>
      </c>
      <c r="M10" s="47">
        <v>0</v>
      </c>
      <c r="N10" s="48">
        <v>8.25</v>
      </c>
      <c r="O10" s="49">
        <v>0.5</v>
      </c>
      <c r="P10" s="101">
        <f t="shared" si="7"/>
        <v>8.75</v>
      </c>
      <c r="Q10" s="101">
        <v>10</v>
      </c>
    </row>
    <row r="11" spans="2:17" ht="15.75" customHeight="1" x14ac:dyDescent="0.15">
      <c r="L11" s="85" t="s">
        <v>65</v>
      </c>
      <c r="M11" s="87">
        <v>0</v>
      </c>
      <c r="N11" s="89">
        <v>0</v>
      </c>
      <c r="O11" s="91">
        <v>2</v>
      </c>
      <c r="P11" s="119">
        <f t="shared" si="7"/>
        <v>2</v>
      </c>
      <c r="Q11" s="117">
        <v>10</v>
      </c>
    </row>
    <row r="12" spans="2:17" ht="15.75" customHeight="1" x14ac:dyDescent="0.15">
      <c r="B12" s="99"/>
      <c r="H12" s="100"/>
      <c r="J12" s="100"/>
      <c r="O12" s="96" t="s">
        <v>72</v>
      </c>
      <c r="P12" s="98">
        <f t="shared" ref="P12:Q12" si="15">SUM(P4:P11)</f>
        <v>41.5</v>
      </c>
      <c r="Q12" s="98">
        <f t="shared" si="15"/>
        <v>77.5</v>
      </c>
    </row>
    <row r="13" spans="2:17" ht="15.75" customHeight="1" x14ac:dyDescent="0.15">
      <c r="B13" s="99"/>
      <c r="C13" s="100"/>
      <c r="D13" s="100"/>
      <c r="E13" s="100"/>
      <c r="F13" s="100"/>
      <c r="H13" s="100"/>
      <c r="J13" s="100"/>
      <c r="O13" s="96" t="s">
        <v>75</v>
      </c>
      <c r="P13" s="145">
        <f>P12+Q12</f>
        <v>119</v>
      </c>
      <c r="Q13" s="146"/>
    </row>
    <row r="14" spans="2:17" ht="15.75" customHeight="1" x14ac:dyDescent="0.15">
      <c r="B14" s="99"/>
      <c r="H14" s="100"/>
      <c r="J14" s="100"/>
    </row>
    <row r="15" spans="2:17" ht="15.75" customHeight="1" x14ac:dyDescent="0.15">
      <c r="B15" s="99"/>
      <c r="D15" s="100"/>
      <c r="E15" s="100"/>
      <c r="F15" s="100"/>
      <c r="H15" s="100"/>
      <c r="J15" s="100"/>
      <c r="O15" s="88" t="s">
        <v>14</v>
      </c>
      <c r="P15" s="86" t="s">
        <v>76</v>
      </c>
      <c r="Q15" s="86" t="s">
        <v>78</v>
      </c>
    </row>
    <row r="16" spans="2:17" ht="15.75" customHeight="1" x14ac:dyDescent="0.15">
      <c r="B16" s="99"/>
      <c r="H16" s="100"/>
      <c r="J16" s="100"/>
      <c r="O16" s="102">
        <f>P13*12.5</f>
        <v>1487.5</v>
      </c>
      <c r="P16" s="103">
        <v>1900</v>
      </c>
      <c r="Q16" s="103">
        <f>P16-O16</f>
        <v>412.5</v>
      </c>
    </row>
    <row r="17" spans="2:10" ht="15.75" customHeight="1" x14ac:dyDescent="0.15">
      <c r="B17" s="99"/>
      <c r="H17" s="100"/>
      <c r="J17" s="100"/>
    </row>
  </sheetData>
  <mergeCells count="3">
    <mergeCell ref="P2:P3"/>
    <mergeCell ref="Q2:Q3"/>
    <mergeCell ref="P13:Q13"/>
  </mergeCells>
  <conditionalFormatting sqref="F3:F10">
    <cfRule type="colorScale" priority="1">
      <colorScale>
        <cfvo type="formula" val="0"/>
        <cfvo type="formula" val="1"/>
        <color rgb="FFFFFFFF"/>
        <color rgb="FF93C47D"/>
      </colorScale>
    </cfRule>
  </conditionalFormatting>
  <conditionalFormatting sqref="J3:J10">
    <cfRule type="colorScale" priority="2">
      <colorScale>
        <cfvo type="formula" val="0"/>
        <cfvo type="formula" val="1"/>
        <cfvo type="formula" val="2"/>
        <color rgb="FF93C47D"/>
        <color rgb="FFFFFFFF"/>
        <color rgb="FFEA9999"/>
      </colorScale>
    </cfRule>
  </conditionalFormatting>
  <conditionalFormatting sqref="E3:E10">
    <cfRule type="colorScale" priority="3">
      <colorScale>
        <cfvo type="percentile" val="1"/>
        <cfvo type="formula" val="0"/>
        <cfvo type="percentile" val="99"/>
        <color rgb="FF93C47D"/>
        <color rgb="FFFFFFFF"/>
        <color rgb="FFEA9999"/>
      </colorScale>
    </cfRule>
  </conditionalFormatting>
  <conditionalFormatting sqref="I3:I10">
    <cfRule type="colorScale" priority="4">
      <colorScale>
        <cfvo type="percentile" val="1"/>
        <cfvo type="formula" val="0"/>
        <cfvo type="percentile" val="99"/>
        <color rgb="FF93C47D"/>
        <color rgb="FFFFFFFF"/>
        <color rgb="FFEA9999"/>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Q17"/>
  <sheetViews>
    <sheetView showGridLines="0" workbookViewId="0">
      <selection activeCell="M2" sqref="M2"/>
    </sheetView>
  </sheetViews>
  <sheetFormatPr baseColWidth="10" defaultColWidth="14.5" defaultRowHeight="15.75" customHeight="1" x14ac:dyDescent="0.15"/>
  <cols>
    <col min="2" max="2" width="15.83203125" customWidth="1"/>
    <col min="3" max="3" width="17.1640625" customWidth="1"/>
    <col min="4" max="4" width="14.83203125" customWidth="1"/>
    <col min="5" max="5" width="15.1640625" customWidth="1"/>
    <col min="6" max="6" width="14.5" customWidth="1"/>
    <col min="7" max="7" width="14.6640625" customWidth="1"/>
    <col min="8" max="8" width="16.1640625" customWidth="1"/>
    <col min="9" max="9" width="18.6640625" customWidth="1"/>
    <col min="10" max="10" width="23" customWidth="1"/>
    <col min="11" max="12" width="15.83203125" customWidth="1"/>
    <col min="16" max="17" width="20.5" customWidth="1"/>
  </cols>
  <sheetData>
    <row r="2" spans="1:17" ht="15.75" customHeight="1" x14ac:dyDescent="0.15">
      <c r="B2" s="3" t="s">
        <v>1</v>
      </c>
      <c r="C2" s="3" t="s">
        <v>6</v>
      </c>
      <c r="D2" s="3" t="s">
        <v>7</v>
      </c>
      <c r="E2" s="3" t="s">
        <v>8</v>
      </c>
      <c r="F2" s="3" t="s">
        <v>10</v>
      </c>
      <c r="G2" s="3" t="s">
        <v>12</v>
      </c>
      <c r="H2" s="3" t="s">
        <v>14</v>
      </c>
      <c r="I2" s="3" t="s">
        <v>15</v>
      </c>
      <c r="J2" s="3" t="s">
        <v>18</v>
      </c>
      <c r="M2" s="86" t="s">
        <v>87</v>
      </c>
      <c r="N2" s="86" t="s">
        <v>93</v>
      </c>
      <c r="O2" s="88" t="s">
        <v>94</v>
      </c>
      <c r="P2" s="143" t="s">
        <v>28</v>
      </c>
      <c r="Q2" s="143" t="s">
        <v>29</v>
      </c>
    </row>
    <row r="3" spans="1:17" ht="15.75" customHeight="1" x14ac:dyDescent="0.15">
      <c r="B3" s="9">
        <v>6</v>
      </c>
      <c r="C3" s="10">
        <v>16</v>
      </c>
      <c r="D3" s="10">
        <v>7</v>
      </c>
      <c r="E3" s="12">
        <f t="shared" ref="E3:E12" si="0">D3-C3</f>
        <v>-9</v>
      </c>
      <c r="F3" s="14">
        <f t="shared" ref="F3:F5" si="1">1</f>
        <v>1</v>
      </c>
      <c r="G3" s="16">
        <f t="shared" ref="G3:H3" si="2">C3*12.5</f>
        <v>200</v>
      </c>
      <c r="H3" s="16">
        <f t="shared" si="2"/>
        <v>87.5</v>
      </c>
      <c r="I3" s="18">
        <f t="shared" ref="I3:I12" si="3">H3-G3</f>
        <v>-112.5</v>
      </c>
      <c r="J3" s="20">
        <f t="shared" ref="J3:J13" si="4">H3/G3</f>
        <v>0.4375</v>
      </c>
      <c r="K3" s="21"/>
      <c r="M3" s="94">
        <v>43906</v>
      </c>
      <c r="N3" s="23">
        <f t="shared" ref="N3:O3" si="5">M3+7</f>
        <v>43913</v>
      </c>
      <c r="O3" s="23">
        <f t="shared" si="5"/>
        <v>43920</v>
      </c>
      <c r="P3" s="144"/>
      <c r="Q3" s="144"/>
    </row>
    <row r="4" spans="1:17" ht="15.75" customHeight="1" x14ac:dyDescent="0.15">
      <c r="B4" s="27">
        <v>7</v>
      </c>
      <c r="C4" s="29">
        <v>8</v>
      </c>
      <c r="D4" s="29">
        <v>10</v>
      </c>
      <c r="E4" s="12">
        <f t="shared" si="0"/>
        <v>2</v>
      </c>
      <c r="F4" s="32">
        <f t="shared" si="1"/>
        <v>1</v>
      </c>
      <c r="G4" s="18">
        <f t="shared" ref="G4:H4" si="6">C4*12.5</f>
        <v>100</v>
      </c>
      <c r="H4" s="18">
        <f t="shared" si="6"/>
        <v>125</v>
      </c>
      <c r="I4" s="18">
        <f t="shared" si="3"/>
        <v>25</v>
      </c>
      <c r="J4" s="35">
        <f t="shared" si="4"/>
        <v>1.25</v>
      </c>
      <c r="K4" s="21"/>
      <c r="L4" s="36" t="s">
        <v>47</v>
      </c>
      <c r="M4" s="37">
        <v>0</v>
      </c>
      <c r="N4" s="38">
        <v>6.5</v>
      </c>
      <c r="O4" s="40">
        <v>7.45</v>
      </c>
      <c r="P4" s="42">
        <f t="shared" ref="P4:P11" si="7">SUM(M4:O4)</f>
        <v>13.95</v>
      </c>
      <c r="Q4" s="101">
        <v>2.5</v>
      </c>
    </row>
    <row r="5" spans="1:17" ht="15.75" customHeight="1" x14ac:dyDescent="0.15">
      <c r="B5" s="27">
        <v>18</v>
      </c>
      <c r="C5" s="29">
        <v>24</v>
      </c>
      <c r="D5" s="29">
        <v>11.25</v>
      </c>
      <c r="E5" s="12">
        <f t="shared" si="0"/>
        <v>-12.75</v>
      </c>
      <c r="F5" s="35">
        <f t="shared" si="1"/>
        <v>1</v>
      </c>
      <c r="G5" s="18">
        <f t="shared" ref="G5:H5" si="8">C5*12.5</f>
        <v>300</v>
      </c>
      <c r="H5" s="18">
        <f t="shared" si="8"/>
        <v>140.625</v>
      </c>
      <c r="I5" s="18">
        <f t="shared" si="3"/>
        <v>-159.375</v>
      </c>
      <c r="J5" s="35">
        <f t="shared" si="4"/>
        <v>0.46875</v>
      </c>
      <c r="K5" s="21"/>
      <c r="L5" s="46" t="s">
        <v>50</v>
      </c>
      <c r="M5" s="47">
        <v>0</v>
      </c>
      <c r="N5" s="48">
        <v>3</v>
      </c>
      <c r="O5" s="49">
        <v>4</v>
      </c>
      <c r="P5" s="101">
        <f t="shared" si="7"/>
        <v>7</v>
      </c>
      <c r="Q5" s="101">
        <v>9.5</v>
      </c>
    </row>
    <row r="6" spans="1:17" ht="15.75" customHeight="1" x14ac:dyDescent="0.15">
      <c r="B6" s="27">
        <v>19</v>
      </c>
      <c r="C6" s="29">
        <v>24</v>
      </c>
      <c r="D6" s="29">
        <v>11.5</v>
      </c>
      <c r="E6" s="12">
        <f t="shared" si="0"/>
        <v>-12.5</v>
      </c>
      <c r="F6" s="32">
        <v>1</v>
      </c>
      <c r="G6" s="18">
        <f t="shared" ref="G6:H6" si="9">C6*12.5</f>
        <v>300</v>
      </c>
      <c r="H6" s="18">
        <f t="shared" si="9"/>
        <v>143.75</v>
      </c>
      <c r="I6" s="18">
        <f t="shared" si="3"/>
        <v>-156.25</v>
      </c>
      <c r="J6" s="35">
        <f t="shared" si="4"/>
        <v>0.47916666666666669</v>
      </c>
      <c r="K6" s="21"/>
      <c r="L6" s="46" t="s">
        <v>51</v>
      </c>
      <c r="M6" s="47">
        <v>0</v>
      </c>
      <c r="N6" s="48">
        <v>6.5</v>
      </c>
      <c r="O6" s="49">
        <v>7</v>
      </c>
      <c r="P6" s="101">
        <f t="shared" si="7"/>
        <v>13.5</v>
      </c>
      <c r="Q6" s="101">
        <v>5.5</v>
      </c>
    </row>
    <row r="7" spans="1:17" ht="15.75" customHeight="1" x14ac:dyDescent="0.15">
      <c r="B7" s="114" t="s">
        <v>88</v>
      </c>
      <c r="C7" s="106">
        <v>1</v>
      </c>
      <c r="D7" s="106">
        <v>10.5</v>
      </c>
      <c r="E7" s="12">
        <f t="shared" si="0"/>
        <v>9.5</v>
      </c>
      <c r="F7" s="35">
        <f t="shared" ref="F7:F9" si="10">1</f>
        <v>1</v>
      </c>
      <c r="G7" s="18">
        <f t="shared" ref="G7:H7" si="11">C7*12.5</f>
        <v>12.5</v>
      </c>
      <c r="H7" s="18">
        <f t="shared" si="11"/>
        <v>131.25</v>
      </c>
      <c r="I7" s="18">
        <f t="shared" si="3"/>
        <v>118.75</v>
      </c>
      <c r="J7" s="35">
        <f t="shared" si="4"/>
        <v>10.5</v>
      </c>
      <c r="K7" s="21"/>
      <c r="L7" s="46" t="s">
        <v>53</v>
      </c>
      <c r="M7" s="47">
        <v>0</v>
      </c>
      <c r="N7" s="48">
        <v>4.5</v>
      </c>
      <c r="O7" s="49">
        <v>3</v>
      </c>
      <c r="P7" s="101">
        <f t="shared" si="7"/>
        <v>7.5</v>
      </c>
      <c r="Q7" s="101">
        <v>2.5</v>
      </c>
    </row>
    <row r="8" spans="1:17" ht="15.75" customHeight="1" x14ac:dyDescent="0.15">
      <c r="B8" s="114" t="s">
        <v>97</v>
      </c>
      <c r="C8" s="106">
        <v>8</v>
      </c>
      <c r="D8" s="106">
        <v>7</v>
      </c>
      <c r="E8" s="12">
        <f t="shared" si="0"/>
        <v>-1</v>
      </c>
      <c r="F8" s="35">
        <f t="shared" si="10"/>
        <v>1</v>
      </c>
      <c r="G8" s="18">
        <f t="shared" ref="G8:H8" si="12">C8*12.5</f>
        <v>100</v>
      </c>
      <c r="H8" s="18">
        <f t="shared" si="12"/>
        <v>87.5</v>
      </c>
      <c r="I8" s="18">
        <f t="shared" si="3"/>
        <v>-12.5</v>
      </c>
      <c r="J8" s="35">
        <f t="shared" si="4"/>
        <v>0.875</v>
      </c>
      <c r="L8" s="46" t="s">
        <v>61</v>
      </c>
      <c r="M8" s="47">
        <v>1</v>
      </c>
      <c r="N8" s="48">
        <v>2</v>
      </c>
      <c r="O8" s="49">
        <v>6</v>
      </c>
      <c r="P8" s="101">
        <f t="shared" si="7"/>
        <v>9</v>
      </c>
      <c r="Q8" s="101">
        <v>2</v>
      </c>
    </row>
    <row r="9" spans="1:17" ht="15.75" customHeight="1" x14ac:dyDescent="0.15">
      <c r="B9" s="114" t="s">
        <v>98</v>
      </c>
      <c r="C9" s="106">
        <v>16</v>
      </c>
      <c r="D9" s="106">
        <v>10</v>
      </c>
      <c r="E9" s="12">
        <f t="shared" si="0"/>
        <v>-6</v>
      </c>
      <c r="F9" s="35">
        <f t="shared" si="10"/>
        <v>1</v>
      </c>
      <c r="G9" s="18">
        <f t="shared" ref="G9:H9" si="13">C9*12.5</f>
        <v>200</v>
      </c>
      <c r="H9" s="18">
        <f t="shared" si="13"/>
        <v>125</v>
      </c>
      <c r="I9" s="18">
        <f t="shared" si="3"/>
        <v>-75</v>
      </c>
      <c r="J9" s="35">
        <f t="shared" si="4"/>
        <v>0.625</v>
      </c>
      <c r="L9" s="46" t="s">
        <v>62</v>
      </c>
      <c r="M9" s="47">
        <v>9</v>
      </c>
      <c r="N9" s="48">
        <v>9.75</v>
      </c>
      <c r="O9" s="49">
        <v>4</v>
      </c>
      <c r="P9" s="101">
        <f t="shared" si="7"/>
        <v>22.75</v>
      </c>
      <c r="Q9" s="101">
        <v>3.75</v>
      </c>
    </row>
    <row r="10" spans="1:17" ht="15.75" customHeight="1" x14ac:dyDescent="0.15">
      <c r="B10" s="114" t="s">
        <v>100</v>
      </c>
      <c r="C10" s="106">
        <v>41.5</v>
      </c>
      <c r="D10" s="106">
        <v>7</v>
      </c>
      <c r="E10" s="12">
        <f t="shared" si="0"/>
        <v>-34.5</v>
      </c>
      <c r="F10" s="35">
        <f>0.8</f>
        <v>0.8</v>
      </c>
      <c r="G10" s="18">
        <f t="shared" ref="G10:H10" si="14">C10*12.5</f>
        <v>518.75</v>
      </c>
      <c r="H10" s="18">
        <f t="shared" si="14"/>
        <v>87.5</v>
      </c>
      <c r="I10" s="18">
        <f t="shared" si="3"/>
        <v>-431.25</v>
      </c>
      <c r="J10" s="35">
        <f t="shared" si="4"/>
        <v>0.16867469879518071</v>
      </c>
      <c r="L10" s="46" t="s">
        <v>64</v>
      </c>
      <c r="M10" s="47">
        <v>0</v>
      </c>
      <c r="N10" s="48">
        <v>0</v>
      </c>
      <c r="O10" s="49">
        <v>1</v>
      </c>
      <c r="P10" s="101">
        <f t="shared" si="7"/>
        <v>1</v>
      </c>
      <c r="Q10" s="101">
        <v>8.75</v>
      </c>
    </row>
    <row r="11" spans="1:17" ht="15.75" customHeight="1" x14ac:dyDescent="0.15">
      <c r="B11" s="114" t="s">
        <v>102</v>
      </c>
      <c r="C11" s="106">
        <v>20</v>
      </c>
      <c r="D11" s="106">
        <v>7</v>
      </c>
      <c r="E11" s="12">
        <f t="shared" si="0"/>
        <v>-13</v>
      </c>
      <c r="F11" s="32">
        <v>0.55000000000000004</v>
      </c>
      <c r="G11" s="18">
        <f t="shared" ref="G11:H11" si="15">C11*12.5</f>
        <v>250</v>
      </c>
      <c r="H11" s="18">
        <f t="shared" si="15"/>
        <v>87.5</v>
      </c>
      <c r="I11" s="18">
        <f t="shared" si="3"/>
        <v>-162.5</v>
      </c>
      <c r="J11" s="35">
        <f t="shared" si="4"/>
        <v>0.35</v>
      </c>
      <c r="L11" s="85" t="s">
        <v>65</v>
      </c>
      <c r="M11" s="87">
        <v>7.25</v>
      </c>
      <c r="N11" s="89">
        <v>9.75</v>
      </c>
      <c r="O11" s="91">
        <v>5.75</v>
      </c>
      <c r="P11" s="117">
        <f t="shared" si="7"/>
        <v>22.75</v>
      </c>
      <c r="Q11" s="117">
        <v>3</v>
      </c>
    </row>
    <row r="12" spans="1:17" ht="15.75" customHeight="1" x14ac:dyDescent="0.15">
      <c r="B12" s="116" t="s">
        <v>103</v>
      </c>
      <c r="C12" s="60">
        <v>16</v>
      </c>
      <c r="D12" s="106">
        <v>2</v>
      </c>
      <c r="E12" s="125">
        <f t="shared" si="0"/>
        <v>-14</v>
      </c>
      <c r="F12" s="126">
        <f>0.2</f>
        <v>0.2</v>
      </c>
      <c r="G12" s="76">
        <f t="shared" ref="G12:H12" si="16">C12*12.5</f>
        <v>200</v>
      </c>
      <c r="H12" s="76">
        <f t="shared" si="16"/>
        <v>25</v>
      </c>
      <c r="I12" s="127">
        <f t="shared" si="3"/>
        <v>-175</v>
      </c>
      <c r="J12" s="128">
        <f t="shared" si="4"/>
        <v>0.125</v>
      </c>
      <c r="O12" s="96" t="s">
        <v>72</v>
      </c>
      <c r="P12" s="98">
        <f t="shared" ref="P12:Q12" si="17">SUM(P4:P11)</f>
        <v>97.45</v>
      </c>
      <c r="Q12" s="98">
        <f t="shared" si="17"/>
        <v>37.5</v>
      </c>
    </row>
    <row r="13" spans="1:17" ht="15.75" customHeight="1" x14ac:dyDescent="0.15">
      <c r="B13" s="79" t="s">
        <v>52</v>
      </c>
      <c r="C13" s="80">
        <f t="shared" ref="C13:E13" si="18">SUM(C3:C12)</f>
        <v>174.5</v>
      </c>
      <c r="D13" s="80">
        <f t="shared" si="18"/>
        <v>83.25</v>
      </c>
      <c r="E13" s="80">
        <f t="shared" si="18"/>
        <v>-91.25</v>
      </c>
      <c r="F13" s="81">
        <f>AVERAGE(F3:F6,F12)</f>
        <v>0.84000000000000008</v>
      </c>
      <c r="G13" s="83">
        <f t="shared" ref="G13:I13" si="19">SUM(G3:G12)</f>
        <v>2181.25</v>
      </c>
      <c r="H13" s="83">
        <f t="shared" si="19"/>
        <v>1040.625</v>
      </c>
      <c r="I13" s="83">
        <f t="shared" si="19"/>
        <v>-1140.625</v>
      </c>
      <c r="J13" s="81">
        <f t="shared" si="4"/>
        <v>0.47707736389684813</v>
      </c>
      <c r="O13" s="96" t="s">
        <v>75</v>
      </c>
      <c r="P13" s="145">
        <f>P12+Q12</f>
        <v>134.94999999999999</v>
      </c>
      <c r="Q13" s="146"/>
    </row>
    <row r="15" spans="1:17" ht="15.75" customHeight="1" x14ac:dyDescent="0.15">
      <c r="A15" s="133"/>
      <c r="B15" s="100"/>
      <c r="C15" s="21"/>
      <c r="D15" s="21"/>
      <c r="E15" s="21"/>
      <c r="F15" s="134"/>
      <c r="G15" s="24"/>
      <c r="H15" s="24"/>
      <c r="I15" s="24"/>
      <c r="J15" s="134"/>
      <c r="O15" s="88" t="s">
        <v>14</v>
      </c>
      <c r="P15" s="86" t="s">
        <v>76</v>
      </c>
      <c r="Q15" s="86" t="s">
        <v>78</v>
      </c>
    </row>
    <row r="16" spans="1:17" ht="15.75" customHeight="1" x14ac:dyDescent="0.15">
      <c r="B16" s="100"/>
      <c r="C16" s="21"/>
      <c r="D16" s="21"/>
      <c r="E16" s="21"/>
      <c r="F16" s="134"/>
      <c r="G16" s="24"/>
      <c r="H16" s="24"/>
      <c r="I16" s="24"/>
      <c r="J16" s="134"/>
      <c r="O16" s="102">
        <f>P13*12.5</f>
        <v>1686.8749999999998</v>
      </c>
      <c r="P16" s="103">
        <v>1800</v>
      </c>
      <c r="Q16" s="103">
        <f>P16-O16</f>
        <v>113.12500000000023</v>
      </c>
    </row>
    <row r="17" spans="2:10" ht="15.75" customHeight="1" x14ac:dyDescent="0.15">
      <c r="B17" s="100"/>
      <c r="C17" s="21"/>
      <c r="D17" s="21"/>
      <c r="E17" s="21"/>
      <c r="F17" s="134"/>
      <c r="G17" s="24"/>
      <c r="H17" s="24"/>
      <c r="I17" s="24"/>
      <c r="J17" s="134"/>
    </row>
  </sheetData>
  <mergeCells count="3">
    <mergeCell ref="P2:P3"/>
    <mergeCell ref="Q2:Q3"/>
    <mergeCell ref="P13:Q13"/>
  </mergeCells>
  <conditionalFormatting sqref="F7:F12">
    <cfRule type="colorScale" priority="1">
      <colorScale>
        <cfvo type="formula" val="0"/>
        <cfvo type="formula" val="1"/>
        <color rgb="FFFFFFFF"/>
        <color rgb="FF93C47D"/>
      </colorScale>
    </cfRule>
  </conditionalFormatting>
  <conditionalFormatting sqref="J7:J12">
    <cfRule type="colorScale" priority="2">
      <colorScale>
        <cfvo type="formula" val="0"/>
        <cfvo type="formula" val="1"/>
        <cfvo type="formula" val="2"/>
        <color rgb="FF93C47D"/>
        <color rgb="FFFFFFFF"/>
        <color rgb="FFEA9999"/>
      </colorScale>
    </cfRule>
  </conditionalFormatting>
  <conditionalFormatting sqref="E7:E12">
    <cfRule type="colorScale" priority="3">
      <colorScale>
        <cfvo type="percentile" val="1"/>
        <cfvo type="formula" val="0"/>
        <cfvo type="percentile" val="99"/>
        <color rgb="FF93C47D"/>
        <color rgb="FFFFFFFF"/>
        <color rgb="FFEA9999"/>
      </colorScale>
    </cfRule>
  </conditionalFormatting>
  <conditionalFormatting sqref="I7:I12">
    <cfRule type="colorScale" priority="4">
      <colorScale>
        <cfvo type="percentile" val="1"/>
        <cfvo type="formula" val="0"/>
        <cfvo type="percentile" val="99"/>
        <color rgb="FF93C47D"/>
        <color rgb="FFFFFFFF"/>
        <color rgb="FFEA9999"/>
      </colorScale>
    </cfRule>
  </conditionalFormatting>
  <conditionalFormatting sqref="F3:F13">
    <cfRule type="colorScale" priority="5">
      <colorScale>
        <cfvo type="formula" val="0"/>
        <cfvo type="formula" val="1"/>
        <color rgb="FFFFFFFF"/>
        <color rgb="FF93C47D"/>
      </colorScale>
    </cfRule>
  </conditionalFormatting>
  <conditionalFormatting sqref="J3:J13">
    <cfRule type="colorScale" priority="6">
      <colorScale>
        <cfvo type="formula" val="0"/>
        <cfvo type="formula" val="1"/>
        <cfvo type="formula" val="2"/>
        <color rgb="FF93C47D"/>
        <color rgb="FFFFFFFF"/>
        <color rgb="FFEA9999"/>
      </colorScale>
    </cfRule>
  </conditionalFormatting>
  <conditionalFormatting sqref="E3:E13">
    <cfRule type="colorScale" priority="7">
      <colorScale>
        <cfvo type="percentile" val="1"/>
        <cfvo type="formula" val="0"/>
        <cfvo type="percentile" val="99"/>
        <color rgb="FF93C47D"/>
        <color rgb="FFFFFFFF"/>
        <color rgb="FFEA9999"/>
      </colorScale>
    </cfRule>
  </conditionalFormatting>
  <conditionalFormatting sqref="I3:I13">
    <cfRule type="colorScale" priority="8">
      <colorScale>
        <cfvo type="percentile" val="1"/>
        <cfvo type="formula" val="0"/>
        <cfvo type="percentile" val="99"/>
        <color rgb="FF93C47D"/>
        <color rgb="FFFFFFFF"/>
        <color rgb="FFEA9999"/>
      </colorScale>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Q17"/>
  <sheetViews>
    <sheetView showGridLines="0" workbookViewId="0"/>
  </sheetViews>
  <sheetFormatPr baseColWidth="10" defaultColWidth="14.5" defaultRowHeight="15.75" customHeight="1" x14ac:dyDescent="0.15"/>
  <cols>
    <col min="2" max="2" width="15.83203125" customWidth="1"/>
    <col min="3" max="3" width="17.1640625" customWidth="1"/>
    <col min="4" max="4" width="14.83203125" customWidth="1"/>
    <col min="5" max="5" width="15.1640625" customWidth="1"/>
    <col min="6" max="6" width="14.5" customWidth="1"/>
    <col min="7" max="7" width="14.6640625" customWidth="1"/>
    <col min="8" max="8" width="16.1640625" customWidth="1"/>
    <col min="9" max="9" width="18.6640625" customWidth="1"/>
    <col min="10" max="10" width="23" customWidth="1"/>
    <col min="11" max="12" width="15.83203125" customWidth="1"/>
    <col min="16" max="17" width="20.5" customWidth="1"/>
  </cols>
  <sheetData>
    <row r="2" spans="1:17" ht="15.75" customHeight="1" x14ac:dyDescent="0.15">
      <c r="B2" s="3" t="s">
        <v>1</v>
      </c>
      <c r="C2" s="3" t="s">
        <v>6</v>
      </c>
      <c r="D2" s="3" t="s">
        <v>7</v>
      </c>
      <c r="E2" s="3" t="s">
        <v>8</v>
      </c>
      <c r="F2" s="3" t="s">
        <v>10</v>
      </c>
      <c r="G2" s="3" t="s">
        <v>12</v>
      </c>
      <c r="H2" s="3" t="s">
        <v>14</v>
      </c>
      <c r="I2" s="3" t="s">
        <v>15</v>
      </c>
      <c r="J2" s="3" t="s">
        <v>18</v>
      </c>
      <c r="M2" s="86" t="s">
        <v>94</v>
      </c>
      <c r="N2" s="86" t="s">
        <v>95</v>
      </c>
      <c r="O2" s="88" t="s">
        <v>96</v>
      </c>
      <c r="P2" s="143" t="s">
        <v>28</v>
      </c>
      <c r="Q2" s="143" t="s">
        <v>29</v>
      </c>
    </row>
    <row r="3" spans="1:17" ht="15.75" customHeight="1" x14ac:dyDescent="0.15">
      <c r="B3" s="9">
        <v>21</v>
      </c>
      <c r="C3" s="10">
        <v>24</v>
      </c>
      <c r="D3" s="10">
        <v>9.25</v>
      </c>
      <c r="E3" s="12">
        <f t="shared" ref="E3:E10" si="0">D3-C3</f>
        <v>-14.75</v>
      </c>
      <c r="F3" s="14">
        <v>1</v>
      </c>
      <c r="G3" s="16">
        <f t="shared" ref="G3:H3" si="1">C3*12.5</f>
        <v>300</v>
      </c>
      <c r="H3" s="16">
        <f t="shared" si="1"/>
        <v>115.625</v>
      </c>
      <c r="I3" s="18">
        <f t="shared" ref="I3:I10" si="2">H3-G3</f>
        <v>-184.375</v>
      </c>
      <c r="J3" s="20">
        <f t="shared" ref="J3:J10" si="3">H3/G3</f>
        <v>0.38541666666666669</v>
      </c>
      <c r="K3" s="21"/>
      <c r="M3" s="94">
        <v>43920</v>
      </c>
      <c r="N3" s="23">
        <f t="shared" ref="N3:O3" si="4">M3+7</f>
        <v>43927</v>
      </c>
      <c r="O3" s="23">
        <f t="shared" si="4"/>
        <v>43934</v>
      </c>
      <c r="P3" s="144"/>
      <c r="Q3" s="144"/>
    </row>
    <row r="4" spans="1:17" ht="15.75" customHeight="1" x14ac:dyDescent="0.15">
      <c r="B4" s="27">
        <v>22</v>
      </c>
      <c r="C4" s="29">
        <v>16</v>
      </c>
      <c r="D4" s="29">
        <v>2</v>
      </c>
      <c r="E4" s="12">
        <f t="shared" si="0"/>
        <v>-14</v>
      </c>
      <c r="F4" s="32">
        <v>1</v>
      </c>
      <c r="G4" s="18">
        <f t="shared" ref="G4:H4" si="5">C4*12.5</f>
        <v>200</v>
      </c>
      <c r="H4" s="18">
        <f t="shared" si="5"/>
        <v>25</v>
      </c>
      <c r="I4" s="18">
        <f t="shared" si="2"/>
        <v>-175</v>
      </c>
      <c r="J4" s="35">
        <f t="shared" si="3"/>
        <v>0.125</v>
      </c>
      <c r="K4" s="21"/>
      <c r="L4" s="36" t="s">
        <v>47</v>
      </c>
      <c r="M4" s="37">
        <v>2</v>
      </c>
      <c r="N4" s="37">
        <v>16</v>
      </c>
      <c r="O4" s="37">
        <v>5.75</v>
      </c>
      <c r="P4" s="51">
        <f t="shared" ref="P4:P11" si="6">SUM(M4:O4)</f>
        <v>23.75</v>
      </c>
      <c r="Q4" s="101">
        <v>2.75</v>
      </c>
    </row>
    <row r="5" spans="1:17" ht="15.75" customHeight="1" x14ac:dyDescent="0.15">
      <c r="B5" s="27">
        <v>23</v>
      </c>
      <c r="C5" s="29">
        <v>24</v>
      </c>
      <c r="D5" s="29">
        <v>16.25</v>
      </c>
      <c r="E5" s="12">
        <f t="shared" si="0"/>
        <v>-7.75</v>
      </c>
      <c r="F5" s="32">
        <v>0.5</v>
      </c>
      <c r="G5" s="18">
        <f t="shared" ref="G5:H5" si="7">C5*12.5</f>
        <v>300</v>
      </c>
      <c r="H5" s="18">
        <f t="shared" si="7"/>
        <v>203.125</v>
      </c>
      <c r="I5" s="18">
        <f t="shared" si="2"/>
        <v>-96.875</v>
      </c>
      <c r="J5" s="35">
        <f t="shared" si="3"/>
        <v>0.67708333333333337</v>
      </c>
      <c r="K5" s="21"/>
      <c r="L5" s="46" t="s">
        <v>50</v>
      </c>
      <c r="M5" s="47">
        <v>2</v>
      </c>
      <c r="N5" s="47">
        <v>0</v>
      </c>
      <c r="O5" s="47">
        <v>8</v>
      </c>
      <c r="P5" s="51">
        <f t="shared" si="6"/>
        <v>10</v>
      </c>
      <c r="Q5" s="101">
        <v>10.25</v>
      </c>
    </row>
    <row r="6" spans="1:17" ht="15.75" customHeight="1" x14ac:dyDescent="0.15">
      <c r="B6" s="27">
        <v>27</v>
      </c>
      <c r="C6" s="29">
        <v>8</v>
      </c>
      <c r="D6" s="29">
        <v>1</v>
      </c>
      <c r="E6" s="12">
        <f t="shared" si="0"/>
        <v>-7</v>
      </c>
      <c r="F6" s="35">
        <f>0.3</f>
        <v>0.3</v>
      </c>
      <c r="G6" s="18">
        <f t="shared" ref="G6:H6" si="8">C6*12.5</f>
        <v>100</v>
      </c>
      <c r="H6" s="18">
        <f t="shared" si="8"/>
        <v>12.5</v>
      </c>
      <c r="I6" s="18">
        <f t="shared" si="2"/>
        <v>-87.5</v>
      </c>
      <c r="J6" s="35">
        <f t="shared" si="3"/>
        <v>0.125</v>
      </c>
      <c r="K6" s="21"/>
      <c r="L6" s="46" t="s">
        <v>51</v>
      </c>
      <c r="M6" s="47">
        <v>13</v>
      </c>
      <c r="N6" s="47">
        <v>11</v>
      </c>
      <c r="O6" s="47">
        <v>3.5</v>
      </c>
      <c r="P6" s="51">
        <f t="shared" si="6"/>
        <v>27.5</v>
      </c>
      <c r="Q6" s="101">
        <v>4.75</v>
      </c>
    </row>
    <row r="7" spans="1:17" ht="15.75" customHeight="1" x14ac:dyDescent="0.15">
      <c r="B7" s="27">
        <v>28</v>
      </c>
      <c r="C7" s="29">
        <v>4</v>
      </c>
      <c r="D7" s="29">
        <v>0</v>
      </c>
      <c r="E7" s="12">
        <f t="shared" si="0"/>
        <v>-4</v>
      </c>
      <c r="F7" s="35">
        <f t="shared" ref="F7:F8" si="9">1</f>
        <v>1</v>
      </c>
      <c r="G7" s="18">
        <f t="shared" ref="G7:H7" si="10">C7*12.5</f>
        <v>50</v>
      </c>
      <c r="H7" s="18">
        <f t="shared" si="10"/>
        <v>0</v>
      </c>
      <c r="I7" s="18">
        <f t="shared" si="2"/>
        <v>-50</v>
      </c>
      <c r="J7" s="35">
        <f t="shared" si="3"/>
        <v>0</v>
      </c>
      <c r="K7" s="21"/>
      <c r="L7" s="46" t="s">
        <v>53</v>
      </c>
      <c r="M7" s="47">
        <v>3</v>
      </c>
      <c r="N7" s="47">
        <v>3</v>
      </c>
      <c r="O7" s="47">
        <v>5.25</v>
      </c>
      <c r="P7" s="51">
        <f t="shared" si="6"/>
        <v>11.25</v>
      </c>
      <c r="Q7" s="101">
        <v>3.35</v>
      </c>
    </row>
    <row r="8" spans="1:17" ht="15.75" customHeight="1" x14ac:dyDescent="0.15">
      <c r="B8" s="114" t="s">
        <v>100</v>
      </c>
      <c r="C8" s="106">
        <v>34.5</v>
      </c>
      <c r="D8" s="106">
        <v>41.75</v>
      </c>
      <c r="E8" s="12">
        <f t="shared" si="0"/>
        <v>7.25</v>
      </c>
      <c r="F8" s="35">
        <f t="shared" si="9"/>
        <v>1</v>
      </c>
      <c r="G8" s="18">
        <f t="shared" ref="G8:H8" si="11">C8*12.5</f>
        <v>431.25</v>
      </c>
      <c r="H8" s="18">
        <f t="shared" si="11"/>
        <v>521.875</v>
      </c>
      <c r="I8" s="18">
        <f t="shared" si="2"/>
        <v>90.625</v>
      </c>
      <c r="J8" s="35">
        <f t="shared" si="3"/>
        <v>1.2101449275362319</v>
      </c>
      <c r="L8" s="46" t="s">
        <v>61</v>
      </c>
      <c r="M8" s="47">
        <v>0</v>
      </c>
      <c r="N8" s="47">
        <v>0</v>
      </c>
      <c r="O8" s="47">
        <v>11</v>
      </c>
      <c r="P8" s="51">
        <f t="shared" si="6"/>
        <v>11</v>
      </c>
      <c r="Q8" s="101">
        <v>3</v>
      </c>
    </row>
    <row r="9" spans="1:17" ht="15.75" customHeight="1" x14ac:dyDescent="0.15">
      <c r="B9" s="114" t="s">
        <v>102</v>
      </c>
      <c r="C9" s="106">
        <v>13</v>
      </c>
      <c r="D9" s="106">
        <v>15</v>
      </c>
      <c r="E9" s="12">
        <f t="shared" si="0"/>
        <v>2</v>
      </c>
      <c r="F9" s="35">
        <f>0.6</f>
        <v>0.6</v>
      </c>
      <c r="G9" s="18">
        <f t="shared" ref="G9:H9" si="12">C9*12.5</f>
        <v>162.5</v>
      </c>
      <c r="H9" s="18">
        <f t="shared" si="12"/>
        <v>187.5</v>
      </c>
      <c r="I9" s="18">
        <f t="shared" si="2"/>
        <v>25</v>
      </c>
      <c r="J9" s="35">
        <f t="shared" si="3"/>
        <v>1.1538461538461537</v>
      </c>
      <c r="L9" s="46" t="s">
        <v>62</v>
      </c>
      <c r="M9" s="47">
        <v>0</v>
      </c>
      <c r="N9" s="47">
        <v>3</v>
      </c>
      <c r="O9" s="47">
        <v>0</v>
      </c>
      <c r="P9" s="51">
        <f t="shared" si="6"/>
        <v>3</v>
      </c>
      <c r="Q9" s="101">
        <v>2</v>
      </c>
    </row>
    <row r="10" spans="1:17" ht="15.75" customHeight="1" x14ac:dyDescent="0.15">
      <c r="B10" s="114" t="s">
        <v>104</v>
      </c>
      <c r="C10" s="106">
        <v>14</v>
      </c>
      <c r="D10" s="106">
        <v>32.75</v>
      </c>
      <c r="E10" s="12">
        <f t="shared" si="0"/>
        <v>18.75</v>
      </c>
      <c r="F10" s="35">
        <f>0.8</f>
        <v>0.8</v>
      </c>
      <c r="G10" s="18">
        <f t="shared" ref="G10:H10" si="13">C10*12.5</f>
        <v>175</v>
      </c>
      <c r="H10" s="18">
        <f t="shared" si="13"/>
        <v>409.375</v>
      </c>
      <c r="I10" s="18">
        <f t="shared" si="2"/>
        <v>234.375</v>
      </c>
      <c r="J10" s="35">
        <f t="shared" si="3"/>
        <v>2.3392857142857144</v>
      </c>
      <c r="L10" s="46" t="s">
        <v>64</v>
      </c>
      <c r="M10" s="47">
        <v>4.5</v>
      </c>
      <c r="N10" s="47">
        <v>3.25</v>
      </c>
      <c r="O10" s="47">
        <v>15.25</v>
      </c>
      <c r="P10" s="51">
        <f t="shared" si="6"/>
        <v>23</v>
      </c>
      <c r="Q10" s="101">
        <v>13.75</v>
      </c>
    </row>
    <row r="11" spans="1:17" ht="15.75" customHeight="1" x14ac:dyDescent="0.15">
      <c r="B11" s="27"/>
      <c r="C11" s="106"/>
      <c r="D11" s="106"/>
      <c r="E11" s="12"/>
      <c r="F11" s="35"/>
      <c r="G11" s="18"/>
      <c r="H11" s="18"/>
      <c r="I11" s="18"/>
      <c r="J11" s="35"/>
      <c r="L11" s="85" t="s">
        <v>65</v>
      </c>
      <c r="M11" s="87">
        <v>0</v>
      </c>
      <c r="N11" s="87">
        <v>12.5</v>
      </c>
      <c r="O11" s="87">
        <v>5.75</v>
      </c>
      <c r="P11" s="92">
        <f t="shared" si="6"/>
        <v>18.25</v>
      </c>
      <c r="Q11" s="117">
        <v>7.5</v>
      </c>
    </row>
    <row r="12" spans="1:17" ht="15.75" customHeight="1" x14ac:dyDescent="0.15">
      <c r="A12" s="100"/>
      <c r="B12" s="79" t="s">
        <v>52</v>
      </c>
      <c r="C12" s="80">
        <f t="shared" ref="C12:E12" si="14">SUM(C3:C11)</f>
        <v>137.5</v>
      </c>
      <c r="D12" s="80">
        <f t="shared" si="14"/>
        <v>118</v>
      </c>
      <c r="E12" s="80">
        <f t="shared" si="14"/>
        <v>-19.5</v>
      </c>
      <c r="F12" s="81">
        <f>AVERAGE(F3:F7)</f>
        <v>0.76</v>
      </c>
      <c r="G12" s="83">
        <f t="shared" ref="G12:I12" si="15">SUM(G3:G11)</f>
        <v>1718.75</v>
      </c>
      <c r="H12" s="83">
        <f t="shared" si="15"/>
        <v>1475</v>
      </c>
      <c r="I12" s="83">
        <f t="shared" si="15"/>
        <v>-243.75</v>
      </c>
      <c r="J12" s="81">
        <f>H12/G12</f>
        <v>0.85818181818181816</v>
      </c>
      <c r="O12" s="96" t="s">
        <v>72</v>
      </c>
      <c r="P12" s="98">
        <f t="shared" ref="P12:Q12" si="16">SUM(P4:P11)</f>
        <v>127.75</v>
      </c>
      <c r="Q12" s="98">
        <f t="shared" si="16"/>
        <v>47.35</v>
      </c>
    </row>
    <row r="13" spans="1:17" ht="15.75" customHeight="1" x14ac:dyDescent="0.15">
      <c r="A13" s="100"/>
      <c r="B13" s="100"/>
      <c r="C13" s="100"/>
      <c r="O13" s="96" t="s">
        <v>75</v>
      </c>
      <c r="P13" s="145">
        <f>P12+Q12</f>
        <v>175.1</v>
      </c>
      <c r="Q13" s="146"/>
    </row>
    <row r="14" spans="1:17" ht="15.75" customHeight="1" x14ac:dyDescent="0.15">
      <c r="B14" s="100"/>
      <c r="C14" s="100"/>
      <c r="H14" s="100"/>
      <c r="J14" s="100"/>
    </row>
    <row r="15" spans="1:17" ht="15.75" customHeight="1" x14ac:dyDescent="0.15">
      <c r="D15" s="100"/>
      <c r="E15" s="100"/>
      <c r="H15" s="100"/>
      <c r="J15" s="100"/>
      <c r="O15" s="88" t="s">
        <v>14</v>
      </c>
      <c r="P15" s="86" t="s">
        <v>76</v>
      </c>
      <c r="Q15" s="86" t="s">
        <v>78</v>
      </c>
    </row>
    <row r="16" spans="1:17" ht="15.75" customHeight="1" x14ac:dyDescent="0.15">
      <c r="H16" s="100"/>
      <c r="J16" s="100"/>
      <c r="O16" s="102">
        <f>P13*12.5</f>
        <v>2188.75</v>
      </c>
      <c r="P16" s="103">
        <v>1850</v>
      </c>
      <c r="Q16" s="103">
        <f>P16-O16</f>
        <v>-338.75</v>
      </c>
    </row>
    <row r="17" spans="2:10" ht="15.75" customHeight="1" x14ac:dyDescent="0.15">
      <c r="B17" s="99"/>
      <c r="D17" s="100"/>
      <c r="E17" s="100"/>
      <c r="F17" s="100"/>
      <c r="H17" s="100"/>
      <c r="J17" s="100"/>
    </row>
  </sheetData>
  <mergeCells count="3">
    <mergeCell ref="P2:P3"/>
    <mergeCell ref="Q2:Q3"/>
    <mergeCell ref="P13:Q13"/>
  </mergeCells>
  <conditionalFormatting sqref="F3:F12">
    <cfRule type="colorScale" priority="1">
      <colorScale>
        <cfvo type="formula" val="0"/>
        <cfvo type="formula" val="1"/>
        <color rgb="FFFFFFFF"/>
        <color rgb="FF93C47D"/>
      </colorScale>
    </cfRule>
  </conditionalFormatting>
  <conditionalFormatting sqref="J3:J12">
    <cfRule type="colorScale" priority="2">
      <colorScale>
        <cfvo type="formula" val="0"/>
        <cfvo type="formula" val="1"/>
        <cfvo type="formula" val="2"/>
        <color rgb="FF93C47D"/>
        <color rgb="FFFFFFFF"/>
        <color rgb="FFEA9999"/>
      </colorScale>
    </cfRule>
  </conditionalFormatting>
  <conditionalFormatting sqref="E3:E12">
    <cfRule type="colorScale" priority="3">
      <colorScale>
        <cfvo type="percentile" val="1"/>
        <cfvo type="formula" val="0"/>
        <cfvo type="percentile" val="99"/>
        <color rgb="FF93C47D"/>
        <color rgb="FFFFFFFF"/>
        <color rgb="FFEA9999"/>
      </colorScale>
    </cfRule>
  </conditionalFormatting>
  <conditionalFormatting sqref="I3:I12">
    <cfRule type="colorScale" priority="4">
      <colorScale>
        <cfvo type="percentile" val="1"/>
        <cfvo type="formula" val="0"/>
        <cfvo type="percentile" val="99"/>
        <color rgb="FF93C47D"/>
        <color rgb="FFFFFFFF"/>
        <color rgb="FFEA9999"/>
      </colorScale>
    </cfRule>
  </conditionalFormatting>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Q17"/>
  <sheetViews>
    <sheetView showGridLines="0" workbookViewId="0"/>
  </sheetViews>
  <sheetFormatPr baseColWidth="10" defaultColWidth="14.5" defaultRowHeight="15.75" customHeight="1" x14ac:dyDescent="0.15"/>
  <cols>
    <col min="1" max="1" width="15.6640625" customWidth="1"/>
    <col min="2" max="2" width="15.83203125" customWidth="1"/>
    <col min="3" max="3" width="17.1640625" customWidth="1"/>
    <col min="4" max="4" width="14.83203125" customWidth="1"/>
    <col min="5" max="5" width="15.1640625" customWidth="1"/>
    <col min="6" max="6" width="14.5" customWidth="1"/>
    <col min="7" max="7" width="14.6640625" customWidth="1"/>
    <col min="8" max="8" width="16.1640625" customWidth="1"/>
    <col min="9" max="9" width="18.6640625" customWidth="1"/>
    <col min="10" max="10" width="23" customWidth="1"/>
    <col min="11" max="12" width="15.83203125" customWidth="1"/>
    <col min="16" max="17" width="20.5" customWidth="1"/>
  </cols>
  <sheetData>
    <row r="2" spans="2:17" ht="15.75" customHeight="1" x14ac:dyDescent="0.15">
      <c r="B2" s="3" t="s">
        <v>1</v>
      </c>
      <c r="C2" s="3" t="s">
        <v>6</v>
      </c>
      <c r="D2" s="3" t="s">
        <v>7</v>
      </c>
      <c r="E2" s="3" t="s">
        <v>8</v>
      </c>
      <c r="F2" s="3" t="s">
        <v>10</v>
      </c>
      <c r="G2" s="3" t="s">
        <v>12</v>
      </c>
      <c r="H2" s="3" t="s">
        <v>14</v>
      </c>
      <c r="I2" s="3" t="s">
        <v>15</v>
      </c>
      <c r="J2" s="3" t="s">
        <v>18</v>
      </c>
      <c r="M2" s="86" t="s">
        <v>96</v>
      </c>
      <c r="N2" s="86" t="s">
        <v>20</v>
      </c>
      <c r="O2" s="88" t="s">
        <v>22</v>
      </c>
      <c r="P2" s="143" t="s">
        <v>28</v>
      </c>
      <c r="Q2" s="143" t="s">
        <v>29</v>
      </c>
    </row>
    <row r="3" spans="2:17" ht="15.75" customHeight="1" x14ac:dyDescent="0.15">
      <c r="B3" s="9">
        <v>24</v>
      </c>
      <c r="C3" s="10">
        <v>24</v>
      </c>
      <c r="D3" s="10">
        <v>0</v>
      </c>
      <c r="E3" s="12">
        <f t="shared" ref="E3:E9" si="0">D3-C3</f>
        <v>-24</v>
      </c>
      <c r="F3" s="14">
        <f>1</f>
        <v>1</v>
      </c>
      <c r="G3" s="16">
        <f t="shared" ref="G3:H3" si="1">C3*12.5</f>
        <v>300</v>
      </c>
      <c r="H3" s="16">
        <f t="shared" si="1"/>
        <v>0</v>
      </c>
      <c r="I3" s="18">
        <f t="shared" ref="I3:I9" si="2">H3-G3</f>
        <v>-300</v>
      </c>
      <c r="J3" s="20">
        <f t="shared" ref="J3:J7" si="3">H3/G3</f>
        <v>0</v>
      </c>
      <c r="K3" s="21"/>
      <c r="M3" s="94">
        <v>43934</v>
      </c>
      <c r="N3" s="23">
        <f t="shared" ref="N3:O3" si="4">M3+7</f>
        <v>43941</v>
      </c>
      <c r="O3" s="23">
        <f t="shared" si="4"/>
        <v>43948</v>
      </c>
      <c r="P3" s="144"/>
      <c r="Q3" s="144"/>
    </row>
    <row r="4" spans="2:17" ht="15.75" customHeight="1" x14ac:dyDescent="0.15">
      <c r="B4" s="27">
        <v>25</v>
      </c>
      <c r="C4" s="29">
        <v>32</v>
      </c>
      <c r="D4" s="29">
        <v>0</v>
      </c>
      <c r="E4" s="12">
        <f t="shared" si="0"/>
        <v>-32</v>
      </c>
      <c r="F4" s="32">
        <f>0</f>
        <v>0</v>
      </c>
      <c r="G4" s="18">
        <f t="shared" ref="G4:H4" si="5">C4*12.5</f>
        <v>400</v>
      </c>
      <c r="H4" s="18">
        <f t="shared" si="5"/>
        <v>0</v>
      </c>
      <c r="I4" s="18">
        <f t="shared" si="2"/>
        <v>-400</v>
      </c>
      <c r="J4" s="35">
        <f t="shared" si="3"/>
        <v>0</v>
      </c>
      <c r="K4" s="21"/>
      <c r="L4" s="36" t="s">
        <v>47</v>
      </c>
      <c r="M4" s="37">
        <v>1.5</v>
      </c>
      <c r="N4" s="38">
        <v>9.75</v>
      </c>
      <c r="O4" s="40">
        <v>5.5</v>
      </c>
      <c r="P4" s="42">
        <f>SUM(M4:O4)</f>
        <v>16.75</v>
      </c>
      <c r="Q4" s="101">
        <v>1.75</v>
      </c>
    </row>
    <row r="5" spans="2:17" ht="15.75" customHeight="1" x14ac:dyDescent="0.15">
      <c r="B5" s="27">
        <v>30</v>
      </c>
      <c r="C5" s="29">
        <v>16</v>
      </c>
      <c r="D5" s="29">
        <v>0</v>
      </c>
      <c r="E5" s="12">
        <f t="shared" si="0"/>
        <v>-16</v>
      </c>
      <c r="F5" s="35">
        <f t="shared" ref="F5:F6" si="6">1</f>
        <v>1</v>
      </c>
      <c r="G5" s="18">
        <f t="shared" ref="G5:H5" si="7">C5*12.5</f>
        <v>200</v>
      </c>
      <c r="H5" s="18">
        <f t="shared" si="7"/>
        <v>0</v>
      </c>
      <c r="I5" s="18">
        <f t="shared" si="2"/>
        <v>-200</v>
      </c>
      <c r="J5" s="35">
        <f t="shared" si="3"/>
        <v>0</v>
      </c>
      <c r="K5" s="21"/>
      <c r="L5" s="46" t="s">
        <v>50</v>
      </c>
      <c r="M5" s="47">
        <v>4</v>
      </c>
      <c r="N5" s="48">
        <v>16.25</v>
      </c>
      <c r="O5" s="49">
        <v>5.5</v>
      </c>
      <c r="P5" s="51">
        <f>SUM(M5:N5)</f>
        <v>20.25</v>
      </c>
      <c r="Q5" s="101">
        <v>10.25</v>
      </c>
    </row>
    <row r="6" spans="2:17" ht="15.75" customHeight="1" x14ac:dyDescent="0.15">
      <c r="B6" s="114" t="s">
        <v>99</v>
      </c>
      <c r="C6" s="29">
        <v>7.75</v>
      </c>
      <c r="D6" s="29">
        <v>21</v>
      </c>
      <c r="E6" s="12">
        <f t="shared" si="0"/>
        <v>13.25</v>
      </c>
      <c r="F6" s="35">
        <f t="shared" si="6"/>
        <v>1</v>
      </c>
      <c r="G6" s="18">
        <f t="shared" ref="G6:H6" si="8">C6*12.5</f>
        <v>96.875</v>
      </c>
      <c r="H6" s="18">
        <f t="shared" si="8"/>
        <v>262.5</v>
      </c>
      <c r="I6" s="18">
        <f t="shared" si="2"/>
        <v>165.625</v>
      </c>
      <c r="J6" s="35">
        <f t="shared" si="3"/>
        <v>2.7096774193548385</v>
      </c>
      <c r="K6" s="21"/>
      <c r="L6" s="46" t="s">
        <v>51</v>
      </c>
      <c r="M6" s="47">
        <v>0</v>
      </c>
      <c r="N6" s="48">
        <v>16</v>
      </c>
      <c r="O6" s="49">
        <v>1.5</v>
      </c>
      <c r="P6" s="51">
        <f>SUM(M6:O6)</f>
        <v>17.5</v>
      </c>
      <c r="Q6" s="101">
        <v>4.5</v>
      </c>
    </row>
    <row r="7" spans="2:17" ht="15.75" customHeight="1" x14ac:dyDescent="0.15">
      <c r="B7" s="114" t="s">
        <v>101</v>
      </c>
      <c r="C7" s="29">
        <v>7</v>
      </c>
      <c r="D7" s="29">
        <v>9.5</v>
      </c>
      <c r="E7" s="12">
        <f t="shared" si="0"/>
        <v>2.5</v>
      </c>
      <c r="F7" s="32">
        <v>0.8</v>
      </c>
      <c r="G7" s="18">
        <f t="shared" ref="G7:H7" si="9">C7*12.5</f>
        <v>87.5</v>
      </c>
      <c r="H7" s="18">
        <f t="shared" si="9"/>
        <v>118.75</v>
      </c>
      <c r="I7" s="18">
        <f t="shared" si="2"/>
        <v>31.25</v>
      </c>
      <c r="J7" s="35">
        <f t="shared" si="3"/>
        <v>1.3571428571428572</v>
      </c>
      <c r="K7" s="21"/>
      <c r="L7" s="46" t="s">
        <v>53</v>
      </c>
      <c r="M7" s="47">
        <v>0</v>
      </c>
      <c r="N7" s="48">
        <v>8.25</v>
      </c>
      <c r="O7" s="49">
        <v>2</v>
      </c>
      <c r="P7" s="51">
        <f>SUM(M7:N7)</f>
        <v>8.25</v>
      </c>
      <c r="Q7" s="101">
        <v>3.75</v>
      </c>
    </row>
    <row r="8" spans="2:17" ht="15.75" customHeight="1" x14ac:dyDescent="0.15">
      <c r="B8" s="114" t="s">
        <v>102</v>
      </c>
      <c r="C8" s="29">
        <v>0</v>
      </c>
      <c r="D8" s="106">
        <v>28</v>
      </c>
      <c r="E8" s="12">
        <f t="shared" si="0"/>
        <v>28</v>
      </c>
      <c r="F8" s="32">
        <v>1</v>
      </c>
      <c r="G8" s="124">
        <v>0</v>
      </c>
      <c r="H8" s="18">
        <f t="shared" ref="H8:H9" si="10">D8*12.5</f>
        <v>350</v>
      </c>
      <c r="I8" s="18">
        <f t="shared" si="2"/>
        <v>350</v>
      </c>
      <c r="J8" s="35"/>
      <c r="L8" s="46" t="s">
        <v>61</v>
      </c>
      <c r="M8" s="47">
        <v>0</v>
      </c>
      <c r="N8" s="48">
        <v>0</v>
      </c>
      <c r="O8" s="49">
        <v>0</v>
      </c>
      <c r="P8" s="51">
        <f>SUM(M8:O8)</f>
        <v>0</v>
      </c>
      <c r="Q8" s="101">
        <v>2.75</v>
      </c>
    </row>
    <row r="9" spans="2:17" ht="15.75" customHeight="1" x14ac:dyDescent="0.15">
      <c r="B9" s="114" t="s">
        <v>104</v>
      </c>
      <c r="C9" s="29">
        <v>0</v>
      </c>
      <c r="D9" s="106">
        <v>8</v>
      </c>
      <c r="E9" s="12">
        <f t="shared" si="0"/>
        <v>8</v>
      </c>
      <c r="F9" s="32">
        <v>0.85</v>
      </c>
      <c r="G9" s="124">
        <v>0</v>
      </c>
      <c r="H9" s="18">
        <f t="shared" si="10"/>
        <v>100</v>
      </c>
      <c r="I9" s="18">
        <f t="shared" si="2"/>
        <v>100</v>
      </c>
      <c r="J9" s="35"/>
      <c r="L9" s="46" t="s">
        <v>62</v>
      </c>
      <c r="M9" s="47">
        <v>0</v>
      </c>
      <c r="N9" s="48">
        <v>0</v>
      </c>
      <c r="O9" s="49">
        <v>0</v>
      </c>
      <c r="P9" s="51">
        <f t="shared" ref="P9:P11" si="11">SUM(M9:N9)</f>
        <v>0</v>
      </c>
      <c r="Q9" s="101">
        <v>38.25</v>
      </c>
    </row>
    <row r="10" spans="2:17" ht="15.75" customHeight="1" x14ac:dyDescent="0.15">
      <c r="B10" s="129" t="s">
        <v>105</v>
      </c>
      <c r="C10" s="60">
        <v>0</v>
      </c>
      <c r="D10" s="106">
        <v>18.75</v>
      </c>
      <c r="E10" s="130">
        <v>7.25</v>
      </c>
      <c r="F10" s="131">
        <v>0.6</v>
      </c>
      <c r="G10" s="76">
        <v>0</v>
      </c>
      <c r="H10" s="76">
        <v>90.625</v>
      </c>
      <c r="I10" s="132">
        <v>90.625</v>
      </c>
      <c r="J10" s="35"/>
      <c r="L10" s="46" t="s">
        <v>64</v>
      </c>
      <c r="M10" s="47">
        <v>0</v>
      </c>
      <c r="N10" s="48">
        <v>11.5</v>
      </c>
      <c r="O10" s="49">
        <v>8</v>
      </c>
      <c r="P10" s="51">
        <f t="shared" si="11"/>
        <v>11.5</v>
      </c>
      <c r="Q10" s="101">
        <v>18.75</v>
      </c>
    </row>
    <row r="11" spans="2:17" ht="15.75" customHeight="1" x14ac:dyDescent="0.15">
      <c r="B11" s="129" t="s">
        <v>106</v>
      </c>
      <c r="C11" s="106">
        <v>0</v>
      </c>
      <c r="D11" s="106">
        <v>1.5</v>
      </c>
      <c r="E11" s="12">
        <f>D11-C11</f>
        <v>1.5</v>
      </c>
      <c r="F11" s="107">
        <v>1</v>
      </c>
      <c r="G11" s="124">
        <v>0</v>
      </c>
      <c r="H11" s="18">
        <f>D11*12.5</f>
        <v>18.75</v>
      </c>
      <c r="I11" s="18">
        <f>H11-G11</f>
        <v>18.75</v>
      </c>
      <c r="J11" s="35"/>
      <c r="L11" s="85" t="s">
        <v>65</v>
      </c>
      <c r="M11" s="87">
        <v>0</v>
      </c>
      <c r="N11" s="89">
        <v>9.75</v>
      </c>
      <c r="O11" s="91">
        <v>5.5</v>
      </c>
      <c r="P11" s="92">
        <f t="shared" si="11"/>
        <v>9.75</v>
      </c>
      <c r="Q11" s="117">
        <v>7.25</v>
      </c>
    </row>
    <row r="12" spans="2:17" ht="15.75" customHeight="1" x14ac:dyDescent="0.15">
      <c r="B12" s="79" t="s">
        <v>52</v>
      </c>
      <c r="C12" s="80">
        <f t="shared" ref="C12:E12" si="12">SUM(C3:C11)</f>
        <v>86.75</v>
      </c>
      <c r="D12" s="80">
        <f t="shared" si="12"/>
        <v>86.75</v>
      </c>
      <c r="E12" s="80">
        <f t="shared" si="12"/>
        <v>-11.5</v>
      </c>
      <c r="F12" s="81">
        <f>AVERAGE(F3:F5)</f>
        <v>0.66666666666666663</v>
      </c>
      <c r="G12" s="83">
        <f t="shared" ref="G12:I12" si="13">SUM(G3:G11)</f>
        <v>1084.375</v>
      </c>
      <c r="H12" s="83">
        <f t="shared" si="13"/>
        <v>940.625</v>
      </c>
      <c r="I12" s="83">
        <f t="shared" si="13"/>
        <v>-143.75</v>
      </c>
      <c r="J12" s="81">
        <f>H12/G12</f>
        <v>0.86743515850144093</v>
      </c>
      <c r="O12" s="96" t="s">
        <v>72</v>
      </c>
      <c r="P12" s="98">
        <f t="shared" ref="P12:Q12" si="14">SUM(P4:P11)</f>
        <v>84</v>
      </c>
      <c r="Q12" s="98">
        <f t="shared" si="14"/>
        <v>87.25</v>
      </c>
    </row>
    <row r="13" spans="2:17" ht="15.75" customHeight="1" x14ac:dyDescent="0.15">
      <c r="B13" s="135"/>
      <c r="C13" s="135"/>
      <c r="D13" s="135"/>
      <c r="E13" s="135"/>
      <c r="F13" s="135"/>
      <c r="G13" s="135"/>
      <c r="H13" s="135"/>
      <c r="I13" s="135"/>
      <c r="J13" s="135"/>
      <c r="O13" s="96" t="s">
        <v>75</v>
      </c>
      <c r="P13" s="145">
        <f>P12+Q12</f>
        <v>171.25</v>
      </c>
      <c r="Q13" s="146"/>
    </row>
    <row r="14" spans="2:17" ht="15.75" customHeight="1" x14ac:dyDescent="0.15">
      <c r="B14" s="99"/>
      <c r="H14" s="100"/>
      <c r="J14" s="100"/>
    </row>
    <row r="15" spans="2:17" ht="15.75" customHeight="1" x14ac:dyDescent="0.15">
      <c r="B15" s="99"/>
      <c r="C15" s="100"/>
      <c r="D15" s="100"/>
      <c r="E15" s="100"/>
      <c r="F15" s="100"/>
      <c r="H15" s="100"/>
      <c r="J15" s="100"/>
      <c r="O15" s="88" t="s">
        <v>14</v>
      </c>
      <c r="P15" s="86" t="s">
        <v>76</v>
      </c>
      <c r="Q15" s="86" t="s">
        <v>78</v>
      </c>
    </row>
    <row r="16" spans="2:17" ht="15.75" customHeight="1" x14ac:dyDescent="0.15">
      <c r="O16" s="102">
        <f>P13*12.5</f>
        <v>2140.625</v>
      </c>
      <c r="P16" s="103">
        <v>1800</v>
      </c>
      <c r="Q16" s="103">
        <f>P16-O16</f>
        <v>-340.625</v>
      </c>
    </row>
    <row r="17" spans="2:10" ht="15.75" customHeight="1" x14ac:dyDescent="0.15">
      <c r="B17" s="99"/>
      <c r="D17" s="100"/>
      <c r="E17" s="100"/>
      <c r="F17" s="100"/>
      <c r="H17" s="100"/>
      <c r="J17" s="100"/>
    </row>
  </sheetData>
  <mergeCells count="3">
    <mergeCell ref="P2:P3"/>
    <mergeCell ref="Q2:Q3"/>
    <mergeCell ref="P13:Q13"/>
  </mergeCells>
  <conditionalFormatting sqref="F3:F12">
    <cfRule type="colorScale" priority="1">
      <colorScale>
        <cfvo type="formula" val="0"/>
        <cfvo type="formula" val="1"/>
        <color rgb="FFFFFFFF"/>
        <color rgb="FF93C47D"/>
      </colorScale>
    </cfRule>
  </conditionalFormatting>
  <conditionalFormatting sqref="J3:J12">
    <cfRule type="colorScale" priority="2">
      <colorScale>
        <cfvo type="formula" val="0"/>
        <cfvo type="formula" val="1"/>
        <cfvo type="formula" val="2"/>
        <color rgb="FF93C47D"/>
        <color rgb="FFFFFFFF"/>
        <color rgb="FFEA9999"/>
      </colorScale>
    </cfRule>
  </conditionalFormatting>
  <conditionalFormatting sqref="E3:E12">
    <cfRule type="colorScale" priority="3">
      <colorScale>
        <cfvo type="percentile" val="1"/>
        <cfvo type="formula" val="0"/>
        <cfvo type="percentile" val="99"/>
        <color rgb="FF93C47D"/>
        <color rgb="FFFFFFFF"/>
        <color rgb="FFEA9999"/>
      </colorScale>
    </cfRule>
  </conditionalFormatting>
  <conditionalFormatting sqref="I3:I12">
    <cfRule type="colorScale" priority="4">
      <colorScale>
        <cfvo type="percentile" val="1"/>
        <cfvo type="formula" val="0"/>
        <cfvo type="percentile" val="99"/>
        <color rgb="FF93C47D"/>
        <color rgb="FFFFFFFF"/>
        <color rgb="FFEA9999"/>
      </colorScale>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2:Q17"/>
  <sheetViews>
    <sheetView showGridLines="0" workbookViewId="0"/>
  </sheetViews>
  <sheetFormatPr baseColWidth="10" defaultColWidth="14.5" defaultRowHeight="15.75" customHeight="1" x14ac:dyDescent="0.15"/>
  <cols>
    <col min="2" max="2" width="15.83203125" customWidth="1"/>
    <col min="3" max="3" width="17.1640625" customWidth="1"/>
    <col min="4" max="4" width="14.83203125" customWidth="1"/>
    <col min="5" max="5" width="15.1640625" customWidth="1"/>
    <col min="6" max="6" width="14.5" customWidth="1"/>
    <col min="7" max="7" width="14.6640625" customWidth="1"/>
    <col min="8" max="8" width="16.1640625" customWidth="1"/>
    <col min="9" max="9" width="18.6640625" customWidth="1"/>
    <col min="10" max="10" width="23" customWidth="1"/>
    <col min="11" max="12" width="15.83203125" customWidth="1"/>
    <col min="16" max="17" width="20.5" customWidth="1"/>
  </cols>
  <sheetData>
    <row r="2" spans="2:17" ht="15.75" customHeight="1" x14ac:dyDescent="0.15">
      <c r="B2" s="3" t="s">
        <v>1</v>
      </c>
      <c r="C2" s="3" t="s">
        <v>6</v>
      </c>
      <c r="D2" s="3" t="s">
        <v>7</v>
      </c>
      <c r="E2" s="3" t="s">
        <v>8</v>
      </c>
      <c r="F2" s="3" t="s">
        <v>10</v>
      </c>
      <c r="G2" s="3" t="s">
        <v>12</v>
      </c>
      <c r="H2" s="3" t="s">
        <v>14</v>
      </c>
      <c r="I2" s="3" t="s">
        <v>15</v>
      </c>
      <c r="J2" s="3" t="s">
        <v>18</v>
      </c>
      <c r="M2" s="86" t="s">
        <v>22</v>
      </c>
      <c r="N2" s="86" t="s">
        <v>23</v>
      </c>
      <c r="O2" s="88" t="s">
        <v>24</v>
      </c>
      <c r="P2" s="143" t="s">
        <v>28</v>
      </c>
      <c r="Q2" s="143" t="s">
        <v>29</v>
      </c>
    </row>
    <row r="3" spans="2:17" ht="15.75" customHeight="1" x14ac:dyDescent="0.15">
      <c r="B3" s="9">
        <v>11</v>
      </c>
      <c r="C3" s="10">
        <v>8</v>
      </c>
      <c r="D3" s="10">
        <v>0</v>
      </c>
      <c r="E3" s="12">
        <f t="shared" ref="E3:E8" si="0">D3-C3</f>
        <v>-8</v>
      </c>
      <c r="F3" s="14">
        <f t="shared" ref="F3:F6" si="1">1</f>
        <v>1</v>
      </c>
      <c r="G3" s="16">
        <f t="shared" ref="G3:H3" si="2">C3*12.5</f>
        <v>100</v>
      </c>
      <c r="H3" s="16">
        <f t="shared" si="2"/>
        <v>0</v>
      </c>
      <c r="I3" s="18">
        <f t="shared" ref="I3:I10" si="3">H3-G3</f>
        <v>-100</v>
      </c>
      <c r="J3" s="20">
        <f t="shared" ref="J3:J7" si="4">H3/G3</f>
        <v>0</v>
      </c>
      <c r="K3" s="21"/>
      <c r="M3" s="94">
        <v>43948</v>
      </c>
      <c r="N3" s="23">
        <f t="shared" ref="N3:O3" si="5">M3+7</f>
        <v>43955</v>
      </c>
      <c r="O3" s="23">
        <f t="shared" si="5"/>
        <v>43962</v>
      </c>
      <c r="P3" s="144"/>
      <c r="Q3" s="144"/>
    </row>
    <row r="4" spans="2:17" ht="15.75" customHeight="1" x14ac:dyDescent="0.15">
      <c r="B4" s="129" t="s">
        <v>108</v>
      </c>
      <c r="C4" s="29">
        <v>24</v>
      </c>
      <c r="D4" s="29">
        <v>0</v>
      </c>
      <c r="E4" s="12">
        <f t="shared" si="0"/>
        <v>-24</v>
      </c>
      <c r="F4" s="14">
        <f t="shared" si="1"/>
        <v>1</v>
      </c>
      <c r="G4" s="18">
        <f t="shared" ref="G4:H4" si="6">C4*12.5</f>
        <v>300</v>
      </c>
      <c r="H4" s="18">
        <f t="shared" si="6"/>
        <v>0</v>
      </c>
      <c r="I4" s="18">
        <f t="shared" si="3"/>
        <v>-300</v>
      </c>
      <c r="J4" s="35">
        <f t="shared" si="4"/>
        <v>0</v>
      </c>
      <c r="K4" s="21"/>
      <c r="L4" s="36" t="s">
        <v>47</v>
      </c>
      <c r="M4" s="37">
        <v>0</v>
      </c>
      <c r="N4" s="38">
        <v>0</v>
      </c>
      <c r="O4" s="40">
        <v>0</v>
      </c>
      <c r="P4" s="101">
        <f t="shared" ref="P4:P11" si="7">SUM(M4:O4)</f>
        <v>0</v>
      </c>
      <c r="Q4" s="101">
        <v>7.75</v>
      </c>
    </row>
    <row r="5" spans="2:17" ht="15.75" customHeight="1" x14ac:dyDescent="0.15">
      <c r="B5" s="27">
        <v>26</v>
      </c>
      <c r="C5" s="29">
        <v>24</v>
      </c>
      <c r="D5" s="29">
        <v>0</v>
      </c>
      <c r="E5" s="12">
        <f t="shared" si="0"/>
        <v>-24</v>
      </c>
      <c r="F5" s="14">
        <f t="shared" si="1"/>
        <v>1</v>
      </c>
      <c r="G5" s="18">
        <f t="shared" ref="G5:H5" si="8">C5*12.5</f>
        <v>300</v>
      </c>
      <c r="H5" s="18">
        <f t="shared" si="8"/>
        <v>0</v>
      </c>
      <c r="I5" s="18">
        <f t="shared" si="3"/>
        <v>-300</v>
      </c>
      <c r="J5" s="35">
        <f t="shared" si="4"/>
        <v>0</v>
      </c>
      <c r="K5" s="21"/>
      <c r="L5" s="46" t="s">
        <v>50</v>
      </c>
      <c r="M5" s="47">
        <v>1.5</v>
      </c>
      <c r="N5" s="48">
        <v>0</v>
      </c>
      <c r="O5" s="49">
        <v>0</v>
      </c>
      <c r="P5" s="101">
        <f t="shared" si="7"/>
        <v>1.5</v>
      </c>
      <c r="Q5" s="101">
        <v>13</v>
      </c>
    </row>
    <row r="6" spans="2:17" ht="15.75" customHeight="1" x14ac:dyDescent="0.15">
      <c r="B6" s="27">
        <v>29</v>
      </c>
      <c r="C6" s="29">
        <v>24</v>
      </c>
      <c r="D6" s="29">
        <v>0</v>
      </c>
      <c r="E6" s="12">
        <f t="shared" si="0"/>
        <v>-24</v>
      </c>
      <c r="F6" s="14">
        <f t="shared" si="1"/>
        <v>1</v>
      </c>
      <c r="G6" s="18">
        <f t="shared" ref="G6:H6" si="9">C6*12.5</f>
        <v>300</v>
      </c>
      <c r="H6" s="18">
        <f t="shared" si="9"/>
        <v>0</v>
      </c>
      <c r="I6" s="18">
        <f t="shared" si="3"/>
        <v>-300</v>
      </c>
      <c r="J6" s="35">
        <f t="shared" si="4"/>
        <v>0</v>
      </c>
      <c r="K6" s="21"/>
      <c r="L6" s="46" t="s">
        <v>51</v>
      </c>
      <c r="M6" s="47">
        <v>6</v>
      </c>
      <c r="N6" s="48">
        <v>7</v>
      </c>
      <c r="O6" s="49">
        <v>5.25</v>
      </c>
      <c r="P6" s="101">
        <f t="shared" si="7"/>
        <v>18.25</v>
      </c>
      <c r="Q6" s="101">
        <v>7.5</v>
      </c>
    </row>
    <row r="7" spans="2:17" ht="15.75" customHeight="1" x14ac:dyDescent="0.15">
      <c r="B7" s="114" t="s">
        <v>107</v>
      </c>
      <c r="C7" s="106">
        <v>32</v>
      </c>
      <c r="D7" s="29">
        <v>13</v>
      </c>
      <c r="E7" s="12">
        <f t="shared" si="0"/>
        <v>-19</v>
      </c>
      <c r="F7" s="14">
        <v>0.6</v>
      </c>
      <c r="G7" s="18">
        <f t="shared" ref="G7:H7" si="10">C7*12.5</f>
        <v>400</v>
      </c>
      <c r="H7" s="18">
        <f t="shared" si="10"/>
        <v>162.5</v>
      </c>
      <c r="I7" s="18">
        <f t="shared" si="3"/>
        <v>-237.5</v>
      </c>
      <c r="J7" s="35">
        <f t="shared" si="4"/>
        <v>0.40625</v>
      </c>
      <c r="K7" s="21"/>
      <c r="L7" s="46" t="s">
        <v>53</v>
      </c>
      <c r="M7" s="47">
        <v>4</v>
      </c>
      <c r="N7" s="48">
        <v>3.5</v>
      </c>
      <c r="O7" s="49">
        <v>0</v>
      </c>
      <c r="P7" s="101">
        <f t="shared" si="7"/>
        <v>7.5</v>
      </c>
      <c r="Q7" s="101">
        <v>2</v>
      </c>
    </row>
    <row r="8" spans="2:17" ht="15.75" customHeight="1" x14ac:dyDescent="0.15">
      <c r="B8" s="114" t="s">
        <v>104</v>
      </c>
      <c r="C8" s="106">
        <v>0</v>
      </c>
      <c r="D8" s="29">
        <v>4</v>
      </c>
      <c r="E8" s="12">
        <f t="shared" si="0"/>
        <v>4</v>
      </c>
      <c r="F8" s="14">
        <v>1</v>
      </c>
      <c r="G8" s="18">
        <f t="shared" ref="G8:H8" si="11">C8*12.5</f>
        <v>0</v>
      </c>
      <c r="H8" s="18">
        <f t="shared" si="11"/>
        <v>50</v>
      </c>
      <c r="I8" s="18">
        <f t="shared" si="3"/>
        <v>50</v>
      </c>
      <c r="J8" s="35"/>
      <c r="L8" s="46" t="s">
        <v>61</v>
      </c>
      <c r="M8" s="47">
        <v>0</v>
      </c>
      <c r="N8" s="48">
        <v>10</v>
      </c>
      <c r="O8" s="49">
        <v>8</v>
      </c>
      <c r="P8" s="101">
        <f t="shared" si="7"/>
        <v>18</v>
      </c>
      <c r="Q8" s="101">
        <v>13.25</v>
      </c>
    </row>
    <row r="9" spans="2:17" ht="15.75" customHeight="1" x14ac:dyDescent="0.15">
      <c r="B9" s="129" t="s">
        <v>105</v>
      </c>
      <c r="C9" s="106">
        <v>0</v>
      </c>
      <c r="D9" s="106">
        <v>6</v>
      </c>
      <c r="E9" s="106">
        <v>0</v>
      </c>
      <c r="F9" s="107">
        <v>0.6</v>
      </c>
      <c r="G9" s="18">
        <f t="shared" ref="G9:H9" si="12">C9*12.5</f>
        <v>0</v>
      </c>
      <c r="H9" s="18">
        <f t="shared" si="12"/>
        <v>75</v>
      </c>
      <c r="I9" s="18">
        <f t="shared" si="3"/>
        <v>75</v>
      </c>
      <c r="J9" s="35"/>
      <c r="L9" s="46" t="s">
        <v>62</v>
      </c>
      <c r="M9" s="47">
        <v>0</v>
      </c>
      <c r="N9" s="136">
        <v>0</v>
      </c>
      <c r="O9" s="137">
        <v>0</v>
      </c>
      <c r="P9" s="101">
        <f t="shared" si="7"/>
        <v>0</v>
      </c>
      <c r="Q9" s="101">
        <v>28.5</v>
      </c>
    </row>
    <row r="10" spans="2:17" ht="15.75" customHeight="1" x14ac:dyDescent="0.15">
      <c r="B10" s="129" t="s">
        <v>110</v>
      </c>
      <c r="C10" s="138">
        <v>0</v>
      </c>
      <c r="D10" s="138">
        <v>2.5</v>
      </c>
      <c r="E10" s="12">
        <f>D10-C10</f>
        <v>2.5</v>
      </c>
      <c r="F10" s="107">
        <v>1</v>
      </c>
      <c r="G10" s="139">
        <v>0</v>
      </c>
      <c r="H10" s="140">
        <f>D10*12.5</f>
        <v>31.25</v>
      </c>
      <c r="I10" s="18">
        <f t="shared" si="3"/>
        <v>31.25</v>
      </c>
      <c r="J10" s="141"/>
      <c r="L10" s="46" t="s">
        <v>64</v>
      </c>
      <c r="M10" s="47">
        <v>8.75</v>
      </c>
      <c r="N10" s="48">
        <v>0</v>
      </c>
      <c r="O10" s="49">
        <v>1</v>
      </c>
      <c r="P10" s="101">
        <f t="shared" si="7"/>
        <v>9.75</v>
      </c>
      <c r="Q10" s="101">
        <v>23</v>
      </c>
    </row>
    <row r="11" spans="2:17" ht="15.75" customHeight="1" x14ac:dyDescent="0.15">
      <c r="B11" s="142"/>
      <c r="C11" s="138"/>
      <c r="D11" s="138"/>
      <c r="E11" s="12"/>
      <c r="F11" s="107"/>
      <c r="G11" s="139"/>
      <c r="H11" s="140"/>
      <c r="I11" s="140"/>
      <c r="J11" s="141"/>
      <c r="L11" s="85" t="s">
        <v>65</v>
      </c>
      <c r="M11" s="87">
        <v>0</v>
      </c>
      <c r="N11" s="89">
        <v>5.25</v>
      </c>
      <c r="O11" s="91">
        <v>3.25</v>
      </c>
      <c r="P11" s="117">
        <f t="shared" si="7"/>
        <v>8.5</v>
      </c>
      <c r="Q11" s="117">
        <v>8</v>
      </c>
    </row>
    <row r="12" spans="2:17" ht="15.75" customHeight="1" x14ac:dyDescent="0.15">
      <c r="B12" s="79" t="s">
        <v>52</v>
      </c>
      <c r="C12" s="80">
        <f t="shared" ref="C12:E12" si="13">SUM(C3:C11)</f>
        <v>112</v>
      </c>
      <c r="D12" s="80">
        <f t="shared" si="13"/>
        <v>25.5</v>
      </c>
      <c r="E12" s="80">
        <f t="shared" si="13"/>
        <v>-92.5</v>
      </c>
      <c r="F12" s="81">
        <f>AVERAGE(F3:F6)</f>
        <v>1</v>
      </c>
      <c r="G12" s="83">
        <f t="shared" ref="G12:I12" si="14">SUM(G4:G11)</f>
        <v>1300</v>
      </c>
      <c r="H12" s="83">
        <f t="shared" si="14"/>
        <v>318.75</v>
      </c>
      <c r="I12" s="83">
        <f t="shared" si="14"/>
        <v>-981.25</v>
      </c>
      <c r="J12" s="81">
        <f>H12/G12</f>
        <v>0.24519230769230768</v>
      </c>
      <c r="O12" s="96" t="s">
        <v>72</v>
      </c>
      <c r="P12" s="98">
        <f t="shared" ref="P12:Q12" si="15">SUM(P4:P11)</f>
        <v>63.5</v>
      </c>
      <c r="Q12" s="98">
        <f t="shared" si="15"/>
        <v>103</v>
      </c>
    </row>
    <row r="13" spans="2:17" ht="15.75" customHeight="1" x14ac:dyDescent="0.15">
      <c r="B13" s="99"/>
      <c r="H13" s="100"/>
      <c r="J13" s="100"/>
      <c r="O13" s="96" t="s">
        <v>75</v>
      </c>
      <c r="P13" s="145">
        <f>P12+Q12</f>
        <v>166.5</v>
      </c>
      <c r="Q13" s="146"/>
    </row>
    <row r="14" spans="2:17" ht="15.75" customHeight="1" x14ac:dyDescent="0.15">
      <c r="B14" s="99"/>
      <c r="C14" s="100"/>
      <c r="D14" s="100"/>
      <c r="E14" s="100"/>
      <c r="F14" s="100"/>
      <c r="H14" s="100"/>
      <c r="J14" s="100"/>
    </row>
    <row r="15" spans="2:17" ht="15.75" customHeight="1" x14ac:dyDescent="0.15">
      <c r="B15" s="99"/>
      <c r="H15" s="100"/>
      <c r="J15" s="100"/>
      <c r="O15" s="88" t="s">
        <v>14</v>
      </c>
      <c r="P15" s="86" t="s">
        <v>76</v>
      </c>
      <c r="Q15" s="86" t="s">
        <v>78</v>
      </c>
    </row>
    <row r="16" spans="2:17" ht="15.75" customHeight="1" x14ac:dyDescent="0.15">
      <c r="B16" s="99"/>
      <c r="D16" s="100"/>
      <c r="E16" s="100"/>
      <c r="F16" s="100"/>
      <c r="H16" s="100"/>
      <c r="J16" s="100"/>
      <c r="O16" s="102">
        <f>P13*12.5</f>
        <v>2081.25</v>
      </c>
      <c r="P16" s="103">
        <v>1900</v>
      </c>
      <c r="Q16" s="103">
        <f>P16-O16</f>
        <v>-181.25</v>
      </c>
    </row>
    <row r="17" spans="2:10" ht="15.75" customHeight="1" x14ac:dyDescent="0.15">
      <c r="B17" s="99"/>
      <c r="H17" s="100"/>
      <c r="J17" s="100"/>
    </row>
  </sheetData>
  <mergeCells count="3">
    <mergeCell ref="P2:P3"/>
    <mergeCell ref="Q2:Q3"/>
    <mergeCell ref="P13:Q13"/>
  </mergeCells>
  <conditionalFormatting sqref="E10:E11">
    <cfRule type="colorScale" priority="1">
      <colorScale>
        <cfvo type="percentile" val="1"/>
        <cfvo type="formula" val="0"/>
        <cfvo type="percentile" val="99"/>
        <color rgb="FF93C47D"/>
        <color rgb="FFFFFFFF"/>
        <color rgb="FFEA9999"/>
      </colorScale>
    </cfRule>
  </conditionalFormatting>
  <conditionalFormatting sqref="F10:F11">
    <cfRule type="colorScale" priority="2">
      <colorScale>
        <cfvo type="formula" val="0"/>
        <cfvo type="formula" val="1"/>
        <color rgb="FFFFFFFF"/>
        <color rgb="FF93C47D"/>
      </colorScale>
    </cfRule>
  </conditionalFormatting>
  <conditionalFormatting sqref="J10:J11">
    <cfRule type="colorScale" priority="3">
      <colorScale>
        <cfvo type="formula" val="0"/>
        <cfvo type="formula" val="1"/>
        <cfvo type="formula" val="2"/>
        <color rgb="FF93C47D"/>
        <color rgb="FFFFFFFF"/>
        <color rgb="FFEA9999"/>
      </colorScale>
    </cfRule>
  </conditionalFormatting>
  <conditionalFormatting sqref="I10">
    <cfRule type="colorScale" priority="4">
      <colorScale>
        <cfvo type="percentile" val="1"/>
        <cfvo type="formula" val="0"/>
        <cfvo type="percentile" val="99"/>
        <color rgb="FF93C47D"/>
        <color rgb="FFFFFFFF"/>
        <color rgb="FFEA9999"/>
      </colorScale>
    </cfRule>
  </conditionalFormatting>
  <conditionalFormatting sqref="F3:F10 F12">
    <cfRule type="colorScale" priority="5">
      <colorScale>
        <cfvo type="formula" val="0"/>
        <cfvo type="formula" val="1"/>
        <color rgb="FFFFFFFF"/>
        <color rgb="FF93C47D"/>
      </colorScale>
    </cfRule>
  </conditionalFormatting>
  <conditionalFormatting sqref="J3:J10 J12">
    <cfRule type="colorScale" priority="6">
      <colorScale>
        <cfvo type="formula" val="0"/>
        <cfvo type="formula" val="1"/>
        <cfvo type="formula" val="2"/>
        <color rgb="FF93C47D"/>
        <color rgb="FFFFFFFF"/>
        <color rgb="FFEA9999"/>
      </colorScale>
    </cfRule>
  </conditionalFormatting>
  <conditionalFormatting sqref="E3:E10 E12">
    <cfRule type="colorScale" priority="7">
      <colorScale>
        <cfvo type="percentile" val="1"/>
        <cfvo type="formula" val="0"/>
        <cfvo type="percentile" val="99"/>
        <color rgb="FF93C47D"/>
        <color rgb="FFFFFFFF"/>
        <color rgb="FFEA9999"/>
      </colorScale>
    </cfRule>
  </conditionalFormatting>
  <conditionalFormatting sqref="I3:I10 I12">
    <cfRule type="colorScale" priority="8">
      <colorScale>
        <cfvo type="percentile" val="1"/>
        <cfvo type="formula" val="0"/>
        <cfvo type="percentile" val="99"/>
        <color rgb="FF93C47D"/>
        <color rgb="FFFFFFFF"/>
        <color rgb="FFEA9999"/>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User Stories</vt:lpstr>
      <vt:lpstr>Overview</vt:lpstr>
      <vt:lpstr>Iteration 0</vt:lpstr>
      <vt:lpstr>Iteration 1</vt:lpstr>
      <vt:lpstr>Iteration 2</vt:lpstr>
      <vt:lpstr>Iteration 3</vt:lpstr>
      <vt:lpstr>Iteration 4</vt:lpstr>
      <vt:lpstr>Iteration 5</vt:lpstr>
      <vt:lpstr>Iteration 6</vt:lpstr>
      <vt:lpstr>Iteration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2020-05-29T13:45:58Z</dcterms:modified>
</cp:coreProperties>
</file>