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140" windowHeight="10260" firstSheet="42" activeTab="49"/>
  </bookViews>
  <sheets>
    <sheet name="Species" sheetId="1" r:id="rId1"/>
    <sheet name="Blacksmith" sheetId="2" r:id="rId2"/>
    <sheet name="CHPU Eq" sheetId="4" r:id="rId3"/>
    <sheet name="Senorita" sheetId="3" r:id="rId4"/>
    <sheet name="OXCA Eq" sheetId="5" r:id="rId5"/>
    <sheet name="BlueRock" sheetId="6" r:id="rId6"/>
    <sheet name="SEMY Eq" sheetId="7" r:id="rId7"/>
    <sheet name="Olive" sheetId="8" r:id="rId8"/>
    <sheet name="SESE Eq" sheetId="9" r:id="rId9"/>
    <sheet name="Kelpbass" sheetId="10" r:id="rId10"/>
    <sheet name="PACL Eq" sheetId="11" r:id="rId11"/>
    <sheet name="KelpRockfish" sheetId="12" r:id="rId12"/>
    <sheet name="SEAT Eq" sheetId="13" r:id="rId13"/>
    <sheet name="Black Perch" sheetId="14" r:id="rId14"/>
    <sheet name="EMJA Eq" sheetId="15" r:id="rId15"/>
    <sheet name="Garibaldi" sheetId="16" r:id="rId16"/>
    <sheet name="HYRU Eq" sheetId="17" r:id="rId17"/>
    <sheet name="Sheephead" sheetId="18" r:id="rId18"/>
    <sheet name="SEPU Eq" sheetId="19" r:id="rId19"/>
    <sheet name="Striped Perch" sheetId="20" r:id="rId20"/>
    <sheet name="EMLA Eq" sheetId="21" r:id="rId21"/>
    <sheet name="Pile Perch" sheetId="22" r:id="rId22"/>
    <sheet name="RHVA Eq" sheetId="23" r:id="rId23"/>
    <sheet name="Rock Wrasse" sheetId="24" r:id="rId24"/>
    <sheet name="HASE Eq" sheetId="25" r:id="rId25"/>
    <sheet name="Bocaccio" sheetId="26" r:id="rId26"/>
    <sheet name="SEPA Eq" sheetId="27" r:id="rId27"/>
    <sheet name="Halfmoon" sheetId="28" r:id="rId28"/>
    <sheet name="MECA Eq" sheetId="29" r:id="rId29"/>
    <sheet name="Ocean Whitefish" sheetId="30" r:id="rId30"/>
    <sheet name="CAPR Eq" sheetId="31" r:id="rId31"/>
    <sheet name="Black and Yellow" sheetId="32" r:id="rId32"/>
    <sheet name="SECH Eq" sheetId="33" r:id="rId33"/>
    <sheet name="Treefish" sheetId="34" r:id="rId34"/>
    <sheet name="SEBSER Eq" sheetId="35" r:id="rId35"/>
    <sheet name="Copper Rockfish" sheetId="36" r:id="rId36"/>
    <sheet name="SECA Eq" sheetId="37" r:id="rId37"/>
    <sheet name="Cabezon" sheetId="38" r:id="rId38"/>
    <sheet name="SCMA Eq" sheetId="39" r:id="rId39"/>
    <sheet name="Opaleye" sheetId="40" r:id="rId40"/>
    <sheet name="GINI Eq" sheetId="41" r:id="rId41"/>
    <sheet name="Lingcod" sheetId="42" r:id="rId42"/>
    <sheet name="OPEL Eq" sheetId="43" r:id="rId43"/>
    <sheet name="Gopher Rockfish" sheetId="44" r:id="rId44"/>
    <sheet name="SEBCAR Eq" sheetId="45" r:id="rId45"/>
    <sheet name="Shiner Surfperch" sheetId="46" r:id="rId46"/>
    <sheet name="CYAG Eq" sheetId="47" r:id="rId47"/>
    <sheet name="Scorpionfish" sheetId="48" r:id="rId48"/>
    <sheet name="SCGU Eq" sheetId="49" r:id="rId49"/>
    <sheet name="rubberlip" sheetId="50" r:id="rId50"/>
    <sheet name="Sheet2" sheetId="51" r:id="rId51"/>
  </sheets>
  <definedNames>
    <definedName name="_xlnm._FilterDatabase" localSheetId="2" hidden="1">'CHPU Eq'!$A$1:$M$1</definedName>
  </definedNames>
  <calcPr calcId="145621"/>
</workbook>
</file>

<file path=xl/calcChain.xml><?xml version="1.0" encoding="utf-8"?>
<calcChain xmlns="http://schemas.openxmlformats.org/spreadsheetml/2006/main">
  <c r="C3" i="50" l="1"/>
  <c r="C4" i="50"/>
  <c r="C5" i="50"/>
  <c r="C6" i="50"/>
  <c r="C7" i="50"/>
  <c r="C8" i="50"/>
  <c r="C9" i="50"/>
  <c r="C10" i="50"/>
  <c r="C11" i="50"/>
  <c r="C12" i="50"/>
  <c r="C13" i="50"/>
  <c r="B3" i="50"/>
  <c r="B4" i="50"/>
  <c r="B5" i="50"/>
  <c r="B6" i="50"/>
  <c r="B7" i="50"/>
  <c r="B8" i="50"/>
  <c r="B9" i="50"/>
  <c r="B10" i="50"/>
  <c r="B11" i="50"/>
  <c r="B12" i="50"/>
  <c r="B13" i="50"/>
  <c r="B2" i="50"/>
  <c r="C2" i="50" s="1"/>
  <c r="C2" i="6" l="1"/>
  <c r="C3" i="48"/>
  <c r="C4" i="48"/>
  <c r="C5" i="48"/>
  <c r="C6" i="48"/>
  <c r="C2" i="48"/>
  <c r="B3" i="48"/>
  <c r="B4" i="48"/>
  <c r="B5" i="48"/>
  <c r="B6" i="48"/>
  <c r="B2" i="48"/>
  <c r="C3" i="46"/>
  <c r="C4" i="46"/>
  <c r="C5" i="46"/>
  <c r="C6" i="46"/>
  <c r="C2" i="46"/>
  <c r="B2" i="46"/>
  <c r="B3" i="46"/>
  <c r="B4" i="46"/>
  <c r="B5" i="46"/>
  <c r="B6" i="46"/>
  <c r="C3" i="44"/>
  <c r="C4" i="44"/>
  <c r="C5" i="44"/>
  <c r="C6" i="44"/>
  <c r="C2" i="44"/>
  <c r="B3" i="44"/>
  <c r="B4" i="44"/>
  <c r="B5" i="44"/>
  <c r="B6" i="44"/>
  <c r="B2" i="44"/>
  <c r="C2" i="42"/>
  <c r="C3" i="42"/>
  <c r="C4" i="42"/>
  <c r="C5" i="42"/>
  <c r="C6" i="42"/>
  <c r="C3" i="40"/>
  <c r="C4" i="40"/>
  <c r="C5" i="40"/>
  <c r="C6" i="40"/>
  <c r="C2" i="40"/>
  <c r="C3" i="38"/>
  <c r="C4" i="38"/>
  <c r="C5" i="38"/>
  <c r="C6" i="38"/>
  <c r="C2" i="38"/>
  <c r="B6" i="22"/>
  <c r="C6" i="22" s="1"/>
  <c r="B7" i="22"/>
  <c r="B8" i="22"/>
  <c r="C8" i="22" s="1"/>
  <c r="B9" i="22"/>
  <c r="C9" i="22" s="1"/>
  <c r="B10" i="22"/>
  <c r="C10" i="22" s="1"/>
  <c r="B11" i="22"/>
  <c r="C11" i="22" s="1"/>
  <c r="B12" i="22"/>
  <c r="C12" i="22" s="1"/>
  <c r="B13" i="22"/>
  <c r="C13" i="22" s="1"/>
  <c r="B14" i="22"/>
  <c r="C14" i="22" s="1"/>
  <c r="B15" i="22"/>
  <c r="C15" i="22" s="1"/>
  <c r="B16" i="22"/>
  <c r="C16" i="22" s="1"/>
  <c r="B17" i="22"/>
  <c r="C17" i="22" s="1"/>
  <c r="B18" i="22"/>
  <c r="C18" i="22" s="1"/>
  <c r="B19" i="22"/>
  <c r="B20" i="22"/>
  <c r="C20" i="22" s="1"/>
  <c r="B21" i="22"/>
  <c r="C21" i="22" s="1"/>
  <c r="B22" i="22"/>
  <c r="C22" i="22" s="1"/>
  <c r="B23" i="22"/>
  <c r="C23" i="22" s="1"/>
  <c r="B24" i="22"/>
  <c r="C24" i="22" s="1"/>
  <c r="B25" i="22"/>
  <c r="C25" i="22" s="1"/>
  <c r="B26" i="22"/>
  <c r="C26" i="22" s="1"/>
  <c r="B27" i="22"/>
  <c r="B28" i="22"/>
  <c r="C28" i="22" s="1"/>
  <c r="B29" i="22"/>
  <c r="C29" i="22" s="1"/>
  <c r="B30" i="22"/>
  <c r="C30" i="22" s="1"/>
  <c r="B31" i="22"/>
  <c r="B32" i="22"/>
  <c r="C5" i="22"/>
  <c r="C7" i="22"/>
  <c r="C19" i="22"/>
  <c r="C27" i="22"/>
  <c r="C31" i="22"/>
  <c r="C32" i="22"/>
  <c r="C3" i="36"/>
  <c r="C4" i="36"/>
  <c r="C5" i="36"/>
  <c r="C2" i="36"/>
  <c r="C3" i="34"/>
  <c r="C4" i="34"/>
  <c r="C5" i="34"/>
  <c r="C6" i="34"/>
  <c r="C2" i="34"/>
  <c r="C3" i="32"/>
  <c r="C4" i="32"/>
  <c r="C5" i="32"/>
  <c r="C2" i="32"/>
  <c r="C3" i="30"/>
  <c r="C4" i="30"/>
  <c r="C5" i="30"/>
  <c r="C6" i="30"/>
  <c r="C2" i="30"/>
  <c r="C3" i="28"/>
  <c r="C4" i="28"/>
  <c r="C5" i="28"/>
  <c r="C6" i="28"/>
  <c r="C2" i="28"/>
  <c r="C3" i="26"/>
  <c r="C4" i="26"/>
  <c r="C5" i="26"/>
  <c r="C2" i="26"/>
  <c r="C3" i="24"/>
  <c r="C4" i="24"/>
  <c r="C5" i="24"/>
  <c r="C2" i="24"/>
  <c r="C3" i="22"/>
  <c r="C4" i="22"/>
  <c r="C2" i="22"/>
  <c r="B3" i="22"/>
  <c r="B4" i="22"/>
  <c r="B5" i="22"/>
  <c r="B2" i="22"/>
  <c r="C3" i="20"/>
  <c r="C4" i="20"/>
  <c r="C5" i="20"/>
  <c r="C2" i="20"/>
  <c r="C3" i="18"/>
  <c r="C4" i="18"/>
  <c r="C5" i="18"/>
  <c r="C6" i="18"/>
  <c r="C2" i="18"/>
  <c r="B3" i="18"/>
  <c r="B4" i="18"/>
  <c r="B5" i="18"/>
  <c r="B6" i="18"/>
  <c r="B2" i="18"/>
  <c r="C5" i="16" l="1"/>
  <c r="B3" i="16"/>
  <c r="C3" i="16" s="1"/>
  <c r="B4" i="16"/>
  <c r="C4" i="16" s="1"/>
  <c r="B5" i="16"/>
  <c r="B2" i="16"/>
  <c r="C2" i="16" s="1"/>
  <c r="C2" i="14"/>
  <c r="C2" i="10"/>
  <c r="B3" i="14"/>
  <c r="C3" i="14" s="1"/>
  <c r="B4" i="14"/>
  <c r="C4" i="14" s="1"/>
  <c r="B5" i="14"/>
  <c r="C5" i="14" s="1"/>
  <c r="B2" i="14"/>
  <c r="B2" i="10"/>
  <c r="C3" i="12"/>
  <c r="C4" i="12"/>
  <c r="C5" i="12"/>
  <c r="C2" i="12"/>
  <c r="C6" i="10"/>
  <c r="B3" i="10"/>
  <c r="C3" i="10" s="1"/>
  <c r="B4" i="10"/>
  <c r="C4" i="10" s="1"/>
  <c r="B5" i="10"/>
  <c r="C5" i="10" s="1"/>
  <c r="B6" i="10"/>
  <c r="B2" i="2"/>
  <c r="C2" i="2" s="1"/>
  <c r="C3" i="8"/>
  <c r="C4" i="8"/>
  <c r="C5" i="8"/>
  <c r="C2" i="8"/>
  <c r="C3" i="6"/>
  <c r="C4" i="6"/>
  <c r="C5" i="6"/>
  <c r="C2" i="3"/>
  <c r="C3" i="3"/>
  <c r="C4" i="3"/>
  <c r="B3" i="2"/>
  <c r="C3" i="2"/>
  <c r="B4" i="2"/>
  <c r="C4" i="2"/>
</calcChain>
</file>

<file path=xl/sharedStrings.xml><?xml version="1.0" encoding="utf-8"?>
<sst xmlns="http://schemas.openxmlformats.org/spreadsheetml/2006/main" count="457" uniqueCount="136">
  <si>
    <t>CommonName</t>
  </si>
  <si>
    <t>ScientificName</t>
  </si>
  <si>
    <t>California scorpionfish, all</t>
  </si>
  <si>
    <t>Scorpaena guttata</t>
  </si>
  <si>
    <t>shiner surfperch</t>
  </si>
  <si>
    <t>Cymatogaster aggregata</t>
  </si>
  <si>
    <t>gopher rockfish, all</t>
  </si>
  <si>
    <t>Sebastes carnatus</t>
  </si>
  <si>
    <t>lingcod</t>
  </si>
  <si>
    <t>Ophiodon elongatus</t>
  </si>
  <si>
    <t>opaleye, all</t>
  </si>
  <si>
    <t>Girella nigricans</t>
  </si>
  <si>
    <t>cabezon, all</t>
  </si>
  <si>
    <t>Scorpaenichthys marmoratus</t>
  </si>
  <si>
    <t>copper rockfish, all</t>
  </si>
  <si>
    <t>Sebastes caurinus</t>
  </si>
  <si>
    <t>rock wrasse, male</t>
  </si>
  <si>
    <t>Halichoeres semicinctus</t>
  </si>
  <si>
    <t>California sheephead, male</t>
  </si>
  <si>
    <t>Semicossyphus pulcher</t>
  </si>
  <si>
    <t>rock wrasse, juvenile</t>
  </si>
  <si>
    <t>California sheephead, juvenile</t>
  </si>
  <si>
    <t>treefish, all</t>
  </si>
  <si>
    <t>Sebastes serriceps</t>
  </si>
  <si>
    <t>black and yellow rockfish, all</t>
  </si>
  <si>
    <t>Sebastes chrysomelas</t>
  </si>
  <si>
    <t>ocean whitefish, all</t>
  </si>
  <si>
    <t>Caulolatilus princeps</t>
  </si>
  <si>
    <t>halfmoon, all</t>
  </si>
  <si>
    <t>Medialuna californiensis</t>
  </si>
  <si>
    <t>bocaccio, all</t>
  </si>
  <si>
    <t>Sebastes paucispinis</t>
  </si>
  <si>
    <t>rock wrasse, female</t>
  </si>
  <si>
    <t>pile perch, all</t>
  </si>
  <si>
    <t>Rhacochilus vacca</t>
  </si>
  <si>
    <t>striped surfperch, all</t>
  </si>
  <si>
    <t>Embiotoca lateralis</t>
  </si>
  <si>
    <t>California sheephead, female</t>
  </si>
  <si>
    <t>garibaldi, all</t>
  </si>
  <si>
    <t>Hypsypops rubicundus</t>
  </si>
  <si>
    <t>black surfperch, all</t>
  </si>
  <si>
    <t>Embiotoca jacksoni</t>
  </si>
  <si>
    <t>kelp rockfish, all</t>
  </si>
  <si>
    <t>Sebastes atrovirens</t>
  </si>
  <si>
    <t>kelp bass, all</t>
  </si>
  <si>
    <t>Paralabrax clathratus</t>
  </si>
  <si>
    <t>olive rockfish, all</t>
  </si>
  <si>
    <t>Sebastes serranoides</t>
  </si>
  <si>
    <t>blue rockfish, all</t>
  </si>
  <si>
    <t>Sebastes mystinus</t>
  </si>
  <si>
    <t>señorita, all</t>
  </si>
  <si>
    <t>Oxyjulis californica</t>
  </si>
  <si>
    <t>blacksmith, all</t>
  </si>
  <si>
    <t>Chromis punctipinnis</t>
  </si>
  <si>
    <t>TL</t>
  </si>
  <si>
    <t>LW Equation</t>
  </si>
  <si>
    <t>g</t>
  </si>
  <si>
    <t>mm</t>
  </si>
  <si>
    <t>SL</t>
  </si>
  <si>
    <t>Williams et al. 2013</t>
  </si>
  <si>
    <t>REVERSE</t>
  </si>
  <si>
    <t>FishBase</t>
  </si>
  <si>
    <t>TL=1.27SL</t>
  </si>
  <si>
    <t>WL_a</t>
  </si>
  <si>
    <t>WL_b</t>
  </si>
  <si>
    <t>WL_W_units</t>
  </si>
  <si>
    <t>WL_L_units</t>
  </si>
  <si>
    <t>WL_input_length</t>
  </si>
  <si>
    <t>WL_Reference_Notes</t>
  </si>
  <si>
    <t>WL_Notes</t>
  </si>
  <si>
    <t>LC.a._for_WL</t>
  </si>
  <si>
    <t>LC.b._for_WL</t>
  </si>
  <si>
    <t>LC_type_for_WL</t>
  </si>
  <si>
    <t>LL_Reference_Notes_for_WL</t>
  </si>
  <si>
    <t>LL_Equation_for_WL</t>
  </si>
  <si>
    <t>RecFIN</t>
  </si>
  <si>
    <t>NA</t>
  </si>
  <si>
    <t xml:space="preserve">Length Conversion (TL -&gt;SL) </t>
  </si>
  <si>
    <t>LW Equation (g)</t>
  </si>
  <si>
    <t>Blue Rockfish</t>
  </si>
  <si>
    <t>Sebastidae</t>
  </si>
  <si>
    <t>Scorpaeniformes</t>
  </si>
  <si>
    <t>Actinopterygii</t>
  </si>
  <si>
    <t>Lea et al. 1999</t>
  </si>
  <si>
    <t xml:space="preserve">Length Conversion (mm -&gt;cm) </t>
  </si>
  <si>
    <t>Kelp Bass</t>
  </si>
  <si>
    <t>Serranidae</t>
  </si>
  <si>
    <t>Perciformes</t>
  </si>
  <si>
    <t>TL= 1.1946 *SL + 1.3103</t>
  </si>
  <si>
    <t>S. atrovirens/carnatus/chrysomelas(YOY)</t>
  </si>
  <si>
    <t>Kelp/Gopher/Black-And-Yellow Rockfish (Yoy)</t>
  </si>
  <si>
    <t>Scorpaenidae</t>
  </si>
  <si>
    <t>cm</t>
  </si>
  <si>
    <t>used Sebastes atrovirens</t>
  </si>
  <si>
    <t>Black Perch</t>
  </si>
  <si>
    <t>Embiotocidae</t>
  </si>
  <si>
    <t>Miller et al. 2008</t>
  </si>
  <si>
    <t>TYPICAL</t>
  </si>
  <si>
    <t>(SL = aTL+b)cm</t>
  </si>
  <si>
    <t>Garibaldi</t>
  </si>
  <si>
    <t>Pomacentridae</t>
  </si>
  <si>
    <t>TL=1.213SL</t>
  </si>
  <si>
    <t>California Sheephead</t>
  </si>
  <si>
    <t>Labridae</t>
  </si>
  <si>
    <t>Hamilton et al 2011</t>
  </si>
  <si>
    <t>SL=0.80TL+0.323</t>
  </si>
  <si>
    <t>Striped Seaperch</t>
  </si>
  <si>
    <t>Damalichthys vacca</t>
  </si>
  <si>
    <t>Pile Perch</t>
  </si>
  <si>
    <t>SL=0.838*TL</t>
  </si>
  <si>
    <t>Rock Wrasse</t>
  </si>
  <si>
    <t>Bocaccio</t>
  </si>
  <si>
    <t>kg</t>
  </si>
  <si>
    <t>Halfmoon</t>
  </si>
  <si>
    <t>Kyphosidae</t>
  </si>
  <si>
    <t>Love unpublished data</t>
  </si>
  <si>
    <t>Ocean Whitefish</t>
  </si>
  <si>
    <t>Malacanthidae</t>
  </si>
  <si>
    <t>Black-And-Yellow Rockfish</t>
  </si>
  <si>
    <t>Treefish</t>
  </si>
  <si>
    <t>Colton and Larson 2007</t>
  </si>
  <si>
    <t>Copper Rockfish</t>
  </si>
  <si>
    <t>Cabezon</t>
  </si>
  <si>
    <t>Cottidae</t>
  </si>
  <si>
    <t>Opaleye</t>
  </si>
  <si>
    <t>Lingcod</t>
  </si>
  <si>
    <t>Hexagrammidae</t>
  </si>
  <si>
    <t>Gopher Rockfish</t>
  </si>
  <si>
    <t>TL=1.12SL</t>
  </si>
  <si>
    <t>Shiner Perch</t>
  </si>
  <si>
    <t>TL= 1.2398 *SL + 1.8277</t>
  </si>
  <si>
    <t>California Scorpionfish</t>
  </si>
  <si>
    <t>TL= 1.2258 *SL + 1.1535</t>
  </si>
  <si>
    <t>Rhacochilus toxotes</t>
  </si>
  <si>
    <t>Rubberlip Seaperch</t>
  </si>
  <si>
    <t>SL=0.853*TL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</si>
</sst>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/>
    <xf numFmtId="0" fontId="0" fillId="0" borderId="0" xfId="0" quotePrefix="1"/>
    <xf numFmtId="0" fontId="14" fillId="0" borderId="0" xfId="0" applyFont="1"/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3" borderId="0" xfId="0" applyFill="1"/>
    <xf numFmtId="11" fontId="0" fillId="33" borderId="0" xfId="0" applyNumberFormat="1" applyFill="1"/>
    <xf numFmtId="0" fontId="18" fillId="33" borderId="0" xfId="0" applyFont="1" applyFill="1"/>
    <xf numFmtId="11" fontId="18" fillId="33" borderId="0" xfId="0" applyNumberFormat="1" applyFont="1" applyFill="1"/>
    <xf numFmtId="0" fontId="0" fillId="0" borderId="0" xfId="0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31.28515625" customWidth="1"/>
    <col min="2" max="2" width="2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5" t="s">
        <v>52</v>
      </c>
      <c r="B2" s="5" t="s">
        <v>53</v>
      </c>
    </row>
    <row r="3" spans="1:2" x14ac:dyDescent="0.25">
      <c r="A3" s="5" t="s">
        <v>50</v>
      </c>
      <c r="B3" s="5" t="s">
        <v>51</v>
      </c>
    </row>
    <row r="4" spans="1:2" x14ac:dyDescent="0.25">
      <c r="A4" s="5" t="s">
        <v>48</v>
      </c>
      <c r="B4" s="5" t="s">
        <v>49</v>
      </c>
    </row>
    <row r="5" spans="1:2" x14ac:dyDescent="0.25">
      <c r="A5" s="5" t="s">
        <v>46</v>
      </c>
      <c r="B5" s="5" t="s">
        <v>47</v>
      </c>
    </row>
    <row r="6" spans="1:2" s="5" customFormat="1" x14ac:dyDescent="0.25">
      <c r="A6" s="5" t="s">
        <v>44</v>
      </c>
      <c r="B6" s="5" t="s">
        <v>45</v>
      </c>
    </row>
    <row r="7" spans="1:2" s="5" customFormat="1" x14ac:dyDescent="0.25">
      <c r="A7" s="5" t="s">
        <v>42</v>
      </c>
      <c r="B7" s="5" t="s">
        <v>43</v>
      </c>
    </row>
    <row r="8" spans="1:2" s="5" customFormat="1" x14ac:dyDescent="0.25">
      <c r="A8" s="5" t="s">
        <v>40</v>
      </c>
      <c r="B8" s="5" t="s">
        <v>41</v>
      </c>
    </row>
    <row r="9" spans="1:2" s="5" customFormat="1" x14ac:dyDescent="0.25">
      <c r="A9" s="5" t="s">
        <v>38</v>
      </c>
      <c r="B9" s="5" t="s">
        <v>39</v>
      </c>
    </row>
    <row r="10" spans="1:2" s="5" customFormat="1" x14ac:dyDescent="0.25">
      <c r="A10" s="5" t="s">
        <v>37</v>
      </c>
      <c r="B10" s="5" t="s">
        <v>19</v>
      </c>
    </row>
    <row r="11" spans="1:2" s="5" customFormat="1" x14ac:dyDescent="0.25">
      <c r="A11" s="5" t="s">
        <v>35</v>
      </c>
      <c r="B11" s="5" t="s">
        <v>36</v>
      </c>
    </row>
    <row r="12" spans="1:2" s="5" customFormat="1" x14ac:dyDescent="0.25">
      <c r="A12" s="5" t="s">
        <v>33</v>
      </c>
      <c r="B12" s="5" t="s">
        <v>34</v>
      </c>
    </row>
    <row r="13" spans="1:2" s="5" customFormat="1" x14ac:dyDescent="0.25">
      <c r="A13" s="5" t="s">
        <v>32</v>
      </c>
      <c r="B13" s="5" t="s">
        <v>17</v>
      </c>
    </row>
    <row r="14" spans="1:2" s="5" customFormat="1" x14ac:dyDescent="0.25">
      <c r="A14" s="5" t="s">
        <v>30</v>
      </c>
      <c r="B14" s="5" t="s">
        <v>31</v>
      </c>
    </row>
    <row r="15" spans="1:2" s="5" customFormat="1" x14ac:dyDescent="0.25">
      <c r="A15" s="5" t="s">
        <v>28</v>
      </c>
      <c r="B15" s="5" t="s">
        <v>29</v>
      </c>
    </row>
    <row r="16" spans="1:2" s="5" customFormat="1" x14ac:dyDescent="0.25">
      <c r="A16" s="5" t="s">
        <v>26</v>
      </c>
      <c r="B16" s="5" t="s">
        <v>27</v>
      </c>
    </row>
    <row r="17" spans="1:2" s="5" customFormat="1" x14ac:dyDescent="0.25">
      <c r="A17" s="5" t="s">
        <v>24</v>
      </c>
      <c r="B17" s="5" t="s">
        <v>25</v>
      </c>
    </row>
    <row r="18" spans="1:2" s="5" customFormat="1" x14ac:dyDescent="0.25">
      <c r="A18" s="5" t="s">
        <v>22</v>
      </c>
      <c r="B18" s="5" t="s">
        <v>23</v>
      </c>
    </row>
    <row r="19" spans="1:2" s="5" customFormat="1" x14ac:dyDescent="0.25">
      <c r="A19" s="5" t="s">
        <v>21</v>
      </c>
      <c r="B19" s="5" t="s">
        <v>19</v>
      </c>
    </row>
    <row r="20" spans="1:2" s="5" customFormat="1" x14ac:dyDescent="0.25">
      <c r="A20" s="5" t="s">
        <v>20</v>
      </c>
      <c r="B20" s="5" t="s">
        <v>17</v>
      </c>
    </row>
    <row r="21" spans="1:2" s="5" customFormat="1" x14ac:dyDescent="0.25">
      <c r="A21" s="5" t="s">
        <v>18</v>
      </c>
      <c r="B21" s="5" t="s">
        <v>19</v>
      </c>
    </row>
    <row r="22" spans="1:2" s="5" customFormat="1" x14ac:dyDescent="0.25">
      <c r="A22" s="5" t="s">
        <v>16</v>
      </c>
      <c r="B22" s="5" t="s">
        <v>17</v>
      </c>
    </row>
    <row r="23" spans="1:2" s="5" customFormat="1" x14ac:dyDescent="0.25">
      <c r="A23" s="5" t="s">
        <v>14</v>
      </c>
      <c r="B23" s="5" t="s">
        <v>15</v>
      </c>
    </row>
    <row r="24" spans="1:2" s="5" customFormat="1" x14ac:dyDescent="0.25">
      <c r="A24" s="5" t="s">
        <v>12</v>
      </c>
      <c r="B24" s="5" t="s">
        <v>13</v>
      </c>
    </row>
    <row r="25" spans="1:2" s="5" customFormat="1" x14ac:dyDescent="0.25">
      <c r="A25" s="5" t="s">
        <v>10</v>
      </c>
      <c r="B25" s="5" t="s">
        <v>11</v>
      </c>
    </row>
    <row r="26" spans="1:2" s="5" customFormat="1" x14ac:dyDescent="0.25">
      <c r="A26" s="5" t="s">
        <v>8</v>
      </c>
      <c r="B26" s="5" t="s">
        <v>9</v>
      </c>
    </row>
    <row r="27" spans="1:2" s="5" customFormat="1" x14ac:dyDescent="0.25">
      <c r="A27" s="5" t="s">
        <v>6</v>
      </c>
      <c r="B27" s="5" t="s">
        <v>7</v>
      </c>
    </row>
    <row r="28" spans="1:2" s="5" customFormat="1" x14ac:dyDescent="0.25">
      <c r="A28" s="5" t="s">
        <v>4</v>
      </c>
      <c r="B28" s="5" t="s">
        <v>5</v>
      </c>
    </row>
    <row r="29" spans="1:2" s="5" customFormat="1" x14ac:dyDescent="0.25">
      <c r="A29" s="5" t="s">
        <v>2</v>
      </c>
      <c r="B29" s="5" t="s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"/>
    </sheetView>
  </sheetViews>
  <sheetFormatPr defaultRowHeight="15" x14ac:dyDescent="0.25"/>
  <cols>
    <col min="1" max="1" width="22.85546875" customWidth="1"/>
    <col min="2" max="2" width="26.7109375" customWidth="1"/>
    <col min="3" max="3" width="22.85546875" customWidth="1"/>
  </cols>
  <sheetData>
    <row r="1" spans="1:3" s="1" customFormat="1" x14ac:dyDescent="0.25">
      <c r="A1" s="1" t="s">
        <v>54</v>
      </c>
      <c r="B1" s="1" t="s">
        <v>77</v>
      </c>
      <c r="C1" s="1" t="s">
        <v>78</v>
      </c>
    </row>
    <row r="2" spans="1:3" x14ac:dyDescent="0.25">
      <c r="A2">
        <v>5</v>
      </c>
      <c r="B2">
        <f>(A2-1.3103)/1.1946</f>
        <v>3.0886489201406326</v>
      </c>
      <c r="C2">
        <f>(0.0000209*10^3.0106)*B2^3.0106</f>
        <v>0.63862140387322008</v>
      </c>
    </row>
    <row r="3" spans="1:3" x14ac:dyDescent="0.25">
      <c r="A3">
        <v>10</v>
      </c>
      <c r="B3" s="9">
        <f t="shared" ref="B3:B6" si="0">(A3-1.3103)/1.1946</f>
        <v>7.2741503432111161</v>
      </c>
      <c r="C3" s="9">
        <f t="shared" ref="C3:C6" si="1">(0.0000209*10^3.0106)*B3^3.0106</f>
        <v>8.418369749925624</v>
      </c>
    </row>
    <row r="4" spans="1:3" x14ac:dyDescent="0.25">
      <c r="A4">
        <v>15</v>
      </c>
      <c r="B4" s="9">
        <f t="shared" si="0"/>
        <v>11.459651766281599</v>
      </c>
      <c r="C4" s="9">
        <f t="shared" si="1"/>
        <v>33.07407941723698</v>
      </c>
    </row>
    <row r="5" spans="1:3" x14ac:dyDescent="0.25">
      <c r="A5">
        <v>20</v>
      </c>
      <c r="B5" s="9">
        <f t="shared" si="0"/>
        <v>15.645153189352081</v>
      </c>
      <c r="C5" s="9">
        <f t="shared" si="1"/>
        <v>84.439600883179693</v>
      </c>
    </row>
    <row r="6" spans="1:3" x14ac:dyDescent="0.25">
      <c r="A6">
        <v>40</v>
      </c>
      <c r="B6" s="9">
        <f t="shared" si="0"/>
        <v>32.387158881634015</v>
      </c>
      <c r="C6" s="9">
        <f t="shared" si="1"/>
        <v>754.87456742860286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E25" sqref="E25"/>
    </sheetView>
  </sheetViews>
  <sheetFormatPr defaultRowHeight="15" x14ac:dyDescent="0.25"/>
  <cols>
    <col min="18" max="18" width="26.42578125" customWidth="1"/>
    <col min="19" max="19" width="9.140625" customWidth="1"/>
  </cols>
  <sheetData>
    <row r="1" spans="1:18" x14ac:dyDescent="0.25">
      <c r="A1" s="10" t="s">
        <v>45</v>
      </c>
      <c r="B1" s="10" t="s">
        <v>85</v>
      </c>
      <c r="C1" s="10" t="s">
        <v>86</v>
      </c>
      <c r="D1" s="10" t="s">
        <v>87</v>
      </c>
      <c r="E1" s="10" t="s">
        <v>82</v>
      </c>
      <c r="F1" s="10" t="s">
        <v>76</v>
      </c>
      <c r="G1" s="11">
        <v>2.09E-5</v>
      </c>
      <c r="H1" s="10">
        <v>3.0106000000000002</v>
      </c>
      <c r="I1" s="10" t="s">
        <v>56</v>
      </c>
      <c r="J1" s="10" t="s">
        <v>57</v>
      </c>
      <c r="K1" s="10" t="s">
        <v>58</v>
      </c>
      <c r="L1" s="10" t="s">
        <v>59</v>
      </c>
      <c r="M1" s="10"/>
      <c r="N1" s="10">
        <v>1.1946000000000001</v>
      </c>
      <c r="O1" s="10">
        <v>0.13103000000000001</v>
      </c>
      <c r="P1" s="10" t="s">
        <v>60</v>
      </c>
      <c r="Q1" s="10" t="s">
        <v>59</v>
      </c>
      <c r="R1" s="10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O11" sqref="O11"/>
    </sheetView>
  </sheetViews>
  <sheetFormatPr defaultRowHeight="15" x14ac:dyDescent="0.25"/>
  <cols>
    <col min="2" max="3" width="28.140625" customWidth="1"/>
  </cols>
  <sheetData>
    <row r="1" spans="1:3" s="1" customFormat="1" x14ac:dyDescent="0.25">
      <c r="A1" s="1" t="s">
        <v>54</v>
      </c>
      <c r="B1" s="1" t="s">
        <v>84</v>
      </c>
      <c r="C1" s="1" t="s">
        <v>78</v>
      </c>
    </row>
    <row r="2" spans="1:3" x14ac:dyDescent="0.25">
      <c r="A2">
        <v>5</v>
      </c>
      <c r="C2">
        <f>0.0239*A2^2.862</f>
        <v>2.3924895711074567</v>
      </c>
    </row>
    <row r="3" spans="1:3" x14ac:dyDescent="0.25">
      <c r="A3">
        <v>10</v>
      </c>
      <c r="C3" s="13">
        <f t="shared" ref="C3:C5" si="0">0.0239*A3^2.862</f>
        <v>17.393937328430109</v>
      </c>
    </row>
    <row r="4" spans="1:3" x14ac:dyDescent="0.25">
      <c r="A4">
        <v>15</v>
      </c>
      <c r="C4" s="13">
        <f t="shared" si="0"/>
        <v>55.50998172654306</v>
      </c>
    </row>
    <row r="5" spans="1:3" x14ac:dyDescent="0.25">
      <c r="A5">
        <v>25</v>
      </c>
      <c r="C5" s="13">
        <f t="shared" si="0"/>
        <v>239.49817355054151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C8" sqref="C8"/>
    </sheetView>
  </sheetViews>
  <sheetFormatPr defaultRowHeight="15" x14ac:dyDescent="0.25"/>
  <sheetData>
    <row r="1" spans="1:18" x14ac:dyDescent="0.25">
      <c r="A1" s="12" t="s">
        <v>89</v>
      </c>
      <c r="B1" s="12" t="s">
        <v>90</v>
      </c>
      <c r="C1" s="12" t="s">
        <v>91</v>
      </c>
      <c r="D1" s="12" t="s">
        <v>81</v>
      </c>
      <c r="E1" s="12" t="s">
        <v>82</v>
      </c>
      <c r="F1" s="12" t="s">
        <v>76</v>
      </c>
      <c r="G1" s="12">
        <v>2.3900000000000001E-2</v>
      </c>
      <c r="H1" s="12">
        <v>2.8620000000000001</v>
      </c>
      <c r="I1" s="12" t="s">
        <v>56</v>
      </c>
      <c r="J1" s="12" t="s">
        <v>92</v>
      </c>
      <c r="K1" s="12" t="s">
        <v>54</v>
      </c>
      <c r="L1" s="12" t="s">
        <v>93</v>
      </c>
      <c r="M1" s="12"/>
      <c r="N1" s="12" t="s">
        <v>76</v>
      </c>
      <c r="O1" s="12" t="s">
        <v>76</v>
      </c>
      <c r="P1" s="12" t="s">
        <v>76</v>
      </c>
      <c r="Q1" s="12"/>
      <c r="R1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1"/>
    </sheetView>
  </sheetViews>
  <sheetFormatPr defaultRowHeight="15" x14ac:dyDescent="0.25"/>
  <cols>
    <col min="2" max="2" width="26.140625" customWidth="1"/>
    <col min="3" max="3" width="22.42578125" customWidth="1"/>
  </cols>
  <sheetData>
    <row r="1" spans="1:3" x14ac:dyDescent="0.25">
      <c r="A1" t="s">
        <v>54</v>
      </c>
      <c r="B1" t="s">
        <v>77</v>
      </c>
      <c r="C1" t="s">
        <v>78</v>
      </c>
    </row>
    <row r="2" spans="1:3" x14ac:dyDescent="0.25">
      <c r="A2">
        <v>5</v>
      </c>
      <c r="B2">
        <f>(0.799*A2-0.407)</f>
        <v>3.5880000000000001</v>
      </c>
      <c r="C2">
        <f>(0.000008*10^3.3244)*B2^3.3244</f>
        <v>1.1804332113343983</v>
      </c>
    </row>
    <row r="3" spans="1:3" x14ac:dyDescent="0.25">
      <c r="A3">
        <v>10</v>
      </c>
      <c r="B3" s="14">
        <f t="shared" ref="B3:B5" si="0">(0.799*A3-0.407)</f>
        <v>7.5830000000000002</v>
      </c>
      <c r="C3" s="14">
        <f t="shared" ref="C3:C5" si="1">(0.000008*10^3.3244)*B3^3.3244</f>
        <v>14.204749962722186</v>
      </c>
    </row>
    <row r="4" spans="1:3" x14ac:dyDescent="0.25">
      <c r="A4">
        <v>15</v>
      </c>
      <c r="B4" s="14">
        <f t="shared" si="0"/>
        <v>11.578000000000001</v>
      </c>
      <c r="C4" s="14">
        <f t="shared" si="1"/>
        <v>58.000714656046171</v>
      </c>
    </row>
    <row r="5" spans="1:3" x14ac:dyDescent="0.25">
      <c r="A5">
        <v>25</v>
      </c>
      <c r="B5" s="14">
        <f t="shared" si="0"/>
        <v>19.568000000000001</v>
      </c>
      <c r="C5" s="14">
        <f t="shared" si="1"/>
        <v>331.97621656867784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J5" sqref="J5"/>
    </sheetView>
  </sheetViews>
  <sheetFormatPr defaultRowHeight="15" x14ac:dyDescent="0.25"/>
  <sheetData>
    <row r="1" spans="1:18" x14ac:dyDescent="0.25">
      <c r="A1" s="15" t="s">
        <v>41</v>
      </c>
      <c r="B1" s="15" t="s">
        <v>94</v>
      </c>
      <c r="C1" s="15" t="s">
        <v>95</v>
      </c>
      <c r="D1" s="15" t="s">
        <v>87</v>
      </c>
      <c r="E1" s="15" t="s">
        <v>82</v>
      </c>
      <c r="F1" s="15" t="s">
        <v>76</v>
      </c>
      <c r="G1" s="16">
        <v>7.9999999999999996E-6</v>
      </c>
      <c r="H1" s="15">
        <v>3.3243999999999998</v>
      </c>
      <c r="I1" s="15" t="s">
        <v>56</v>
      </c>
      <c r="J1" s="15" t="s">
        <v>57</v>
      </c>
      <c r="K1" s="15" t="s">
        <v>58</v>
      </c>
      <c r="L1" s="15" t="s">
        <v>96</v>
      </c>
      <c r="M1" s="15"/>
      <c r="N1" s="15">
        <v>0.79900000000000004</v>
      </c>
      <c r="O1" s="15">
        <v>-0.40699999999999997</v>
      </c>
      <c r="P1" s="15" t="s">
        <v>97</v>
      </c>
      <c r="Q1" s="15" t="s">
        <v>75</v>
      </c>
      <c r="R1" s="15" t="s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1"/>
    </sheetView>
  </sheetViews>
  <sheetFormatPr defaultRowHeight="15" x14ac:dyDescent="0.25"/>
  <cols>
    <col min="2" max="2" width="25.5703125" customWidth="1"/>
    <col min="3" max="3" width="15.85546875" customWidth="1"/>
  </cols>
  <sheetData>
    <row r="1" spans="1:3" x14ac:dyDescent="0.25">
      <c r="A1" t="s">
        <v>54</v>
      </c>
      <c r="B1" t="s">
        <v>77</v>
      </c>
      <c r="C1" t="s">
        <v>78</v>
      </c>
    </row>
    <row r="2" spans="1:3" x14ac:dyDescent="0.25">
      <c r="A2">
        <v>5</v>
      </c>
      <c r="B2">
        <f>A2/1.213</f>
        <v>4.1220115416323164</v>
      </c>
      <c r="C2">
        <f>(0.0000307*10^3.1093)*B2^3.1093</f>
        <v>3.2284749559177</v>
      </c>
    </row>
    <row r="3" spans="1:3" x14ac:dyDescent="0.25">
      <c r="A3">
        <v>10</v>
      </c>
      <c r="B3" s="17">
        <f t="shared" ref="B3:B5" si="0">A3/1.213</f>
        <v>8.2440230832646328</v>
      </c>
      <c r="C3" s="17">
        <f t="shared" ref="C3:C5" si="1">(0.0000307*10^3.1093)*B3^3.1093</f>
        <v>27.860569353597121</v>
      </c>
    </row>
    <row r="4" spans="1:3" x14ac:dyDescent="0.25">
      <c r="A4">
        <v>15</v>
      </c>
      <c r="B4" s="17">
        <f t="shared" si="0"/>
        <v>12.366034624896949</v>
      </c>
      <c r="C4" s="17">
        <f t="shared" si="1"/>
        <v>98.290272503825079</v>
      </c>
    </row>
    <row r="5" spans="1:3" x14ac:dyDescent="0.25">
      <c r="A5">
        <v>20</v>
      </c>
      <c r="B5" s="17">
        <f t="shared" si="0"/>
        <v>16.488046166529266</v>
      </c>
      <c r="C5" s="17">
        <f t="shared" si="1"/>
        <v>240.4266210223573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K12" sqref="K12"/>
    </sheetView>
  </sheetViews>
  <sheetFormatPr defaultRowHeight="15" x14ac:dyDescent="0.25"/>
  <cols>
    <col min="18" max="18" width="11" customWidth="1"/>
  </cols>
  <sheetData>
    <row r="1" spans="1:18" x14ac:dyDescent="0.25">
      <c r="A1" s="18" t="s">
        <v>39</v>
      </c>
      <c r="B1" s="18" t="s">
        <v>99</v>
      </c>
      <c r="C1" s="18" t="s">
        <v>100</v>
      </c>
      <c r="D1" s="18" t="s">
        <v>87</v>
      </c>
      <c r="E1" s="18" t="s">
        <v>82</v>
      </c>
      <c r="F1" s="18" t="s">
        <v>76</v>
      </c>
      <c r="G1" s="19">
        <v>3.0700000000000001E-5</v>
      </c>
      <c r="H1" s="18">
        <v>3.1093000000000002</v>
      </c>
      <c r="I1" s="18" t="s">
        <v>56</v>
      </c>
      <c r="J1" s="18" t="s">
        <v>57</v>
      </c>
      <c r="K1" s="18" t="s">
        <v>58</v>
      </c>
      <c r="L1" s="18" t="s">
        <v>59</v>
      </c>
      <c r="M1" s="18"/>
      <c r="N1" s="18">
        <v>1.2130000000000001</v>
      </c>
      <c r="O1" s="18">
        <v>0</v>
      </c>
      <c r="P1" s="18" t="s">
        <v>60</v>
      </c>
      <c r="Q1" s="18" t="s">
        <v>61</v>
      </c>
      <c r="R1" s="18" t="s">
        <v>101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"/>
    </sheetView>
  </sheetViews>
  <sheetFormatPr defaultRowHeight="15" x14ac:dyDescent="0.25"/>
  <cols>
    <col min="2" max="2" width="27.140625" customWidth="1"/>
    <col min="3" max="3" width="21.28515625" customWidth="1"/>
  </cols>
  <sheetData>
    <row r="1" spans="1:5" s="17" customFormat="1" x14ac:dyDescent="0.25">
      <c r="A1" s="17" t="s">
        <v>54</v>
      </c>
      <c r="B1" s="17" t="s">
        <v>77</v>
      </c>
      <c r="C1" s="17" t="s">
        <v>78</v>
      </c>
    </row>
    <row r="2" spans="1:5" x14ac:dyDescent="0.25">
      <c r="A2">
        <v>5</v>
      </c>
      <c r="B2">
        <f>0.8*A2+0.323</f>
        <v>4.3230000000000004</v>
      </c>
      <c r="C2">
        <f>(0.0000845*10^2.8047)*B2^2.8047</f>
        <v>3.2714746474706184</v>
      </c>
      <c r="E2" s="17"/>
    </row>
    <row r="3" spans="1:5" x14ac:dyDescent="0.25">
      <c r="A3">
        <v>10</v>
      </c>
      <c r="B3" s="17">
        <f t="shared" ref="B3:B6" si="0">0.8*A3+0.323</f>
        <v>8.3230000000000004</v>
      </c>
      <c r="C3" s="17">
        <f t="shared" ref="C3:C6" si="1">(0.0000845*10^2.8047)*B3^2.8047</f>
        <v>20.543088136885164</v>
      </c>
    </row>
    <row r="4" spans="1:5" x14ac:dyDescent="0.25">
      <c r="A4">
        <v>15</v>
      </c>
      <c r="B4" s="17">
        <f t="shared" si="0"/>
        <v>12.323</v>
      </c>
      <c r="C4" s="17">
        <f t="shared" si="1"/>
        <v>61.757418228041914</v>
      </c>
    </row>
    <row r="5" spans="1:5" x14ac:dyDescent="0.25">
      <c r="A5">
        <v>25</v>
      </c>
      <c r="B5" s="17">
        <f t="shared" si="0"/>
        <v>20.323</v>
      </c>
      <c r="C5" s="17">
        <f t="shared" si="1"/>
        <v>251.22921407351112</v>
      </c>
    </row>
    <row r="6" spans="1:5" x14ac:dyDescent="0.25">
      <c r="A6">
        <v>50</v>
      </c>
      <c r="B6" s="17">
        <f t="shared" si="0"/>
        <v>40.323</v>
      </c>
      <c r="C6" s="17">
        <f t="shared" si="1"/>
        <v>1716.5274289665406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E20" sqref="E20"/>
    </sheetView>
  </sheetViews>
  <sheetFormatPr defaultRowHeight="15" x14ac:dyDescent="0.25"/>
  <sheetData>
    <row r="1" spans="1:18" x14ac:dyDescent="0.25">
      <c r="A1" s="20" t="s">
        <v>19</v>
      </c>
      <c r="B1" s="20" t="s">
        <v>102</v>
      </c>
      <c r="C1" s="20" t="s">
        <v>103</v>
      </c>
      <c r="D1" s="20" t="s">
        <v>87</v>
      </c>
      <c r="E1" s="20" t="s">
        <v>82</v>
      </c>
      <c r="F1" s="20" t="s">
        <v>76</v>
      </c>
      <c r="G1" s="21">
        <v>8.4499999999999994E-5</v>
      </c>
      <c r="H1" s="20">
        <v>2.8047</v>
      </c>
      <c r="I1" s="20" t="s">
        <v>56</v>
      </c>
      <c r="J1" s="20" t="s">
        <v>57</v>
      </c>
      <c r="K1" s="20" t="s">
        <v>58</v>
      </c>
      <c r="L1" s="20" t="s">
        <v>59</v>
      </c>
      <c r="M1" s="20"/>
      <c r="N1" s="20">
        <v>0.8</v>
      </c>
      <c r="O1" s="20">
        <v>0.32300000000000001</v>
      </c>
      <c r="P1" s="20" t="s">
        <v>97</v>
      </c>
      <c r="Q1" s="20" t="s">
        <v>104</v>
      </c>
      <c r="R1" s="20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1" sqref="E11"/>
    </sheetView>
  </sheetViews>
  <sheetFormatPr defaultRowHeight="15" x14ac:dyDescent="0.25"/>
  <cols>
    <col min="2" max="2" width="27.140625" customWidth="1"/>
    <col min="3" max="3" width="14.140625" customWidth="1"/>
    <col min="4" max="4" width="13.7109375" customWidth="1"/>
  </cols>
  <sheetData>
    <row r="1" spans="1:3" s="1" customFormat="1" x14ac:dyDescent="0.25">
      <c r="A1" s="1" t="s">
        <v>54</v>
      </c>
      <c r="B1" s="1" t="s">
        <v>77</v>
      </c>
      <c r="C1" s="1" t="s">
        <v>55</v>
      </c>
    </row>
    <row r="2" spans="1:3" x14ac:dyDescent="0.25">
      <c r="A2">
        <v>4</v>
      </c>
      <c r="B2">
        <f>A2/1.27</f>
        <v>3.1496062992125982</v>
      </c>
      <c r="C2">
        <f>(0.0000269*10^3.0177)*B2^3.0177</f>
        <v>0.8933882311740825</v>
      </c>
    </row>
    <row r="3" spans="1:3" x14ac:dyDescent="0.25">
      <c r="A3">
        <v>10</v>
      </c>
      <c r="B3">
        <f t="shared" ref="B3:B6" si="0">A3/1.27</f>
        <v>7.8740157480314963</v>
      </c>
      <c r="C3" s="3">
        <f t="shared" ref="C3:C4" si="1">(0.0000269*10^3.0177)*B3^3.0177</f>
        <v>14.187431944262713</v>
      </c>
    </row>
    <row r="4" spans="1:3" x14ac:dyDescent="0.25">
      <c r="A4">
        <v>16</v>
      </c>
      <c r="B4">
        <f t="shared" si="0"/>
        <v>12.598425196850393</v>
      </c>
      <c r="C4" s="3">
        <f t="shared" si="1"/>
        <v>58.597172837472691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0" sqref="C10"/>
    </sheetView>
  </sheetViews>
  <sheetFormatPr defaultRowHeight="15" x14ac:dyDescent="0.25"/>
  <cols>
    <col min="2" max="2" width="31.28515625" customWidth="1"/>
    <col min="3" max="3" width="18.710937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C2">
        <f>(0.0000154*10^3.01)*A2^3.01</f>
        <v>2.0017988429424132</v>
      </c>
    </row>
    <row r="3" spans="1:3" x14ac:dyDescent="0.25">
      <c r="A3">
        <v>10</v>
      </c>
      <c r="C3" s="17">
        <f t="shared" ref="C3:C5" si="0">(0.0000154*10^3.01)*A3^3.01</f>
        <v>16.125779639983872</v>
      </c>
    </row>
    <row r="4" spans="1:3" x14ac:dyDescent="0.25">
      <c r="A4">
        <v>15</v>
      </c>
      <c r="C4" s="17">
        <f t="shared" si="0"/>
        <v>54.645626648212705</v>
      </c>
    </row>
    <row r="5" spans="1:3" x14ac:dyDescent="0.25">
      <c r="A5">
        <v>25</v>
      </c>
      <c r="C5" s="17">
        <f t="shared" si="0"/>
        <v>254.28465137106969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E7" sqref="E7"/>
    </sheetView>
  </sheetViews>
  <sheetFormatPr defaultRowHeight="15" x14ac:dyDescent="0.25"/>
  <sheetData>
    <row r="1" spans="1:16" s="20" customFormat="1" x14ac:dyDescent="0.25">
      <c r="A1" s="20" t="s">
        <v>36</v>
      </c>
      <c r="B1" s="20" t="s">
        <v>106</v>
      </c>
      <c r="C1" s="20" t="s">
        <v>95</v>
      </c>
      <c r="D1" s="20" t="s">
        <v>87</v>
      </c>
      <c r="E1" s="20" t="s">
        <v>82</v>
      </c>
      <c r="F1" s="20" t="s">
        <v>76</v>
      </c>
      <c r="G1" s="21">
        <v>1.5400000000000002E-5</v>
      </c>
      <c r="H1" s="20">
        <v>3.01</v>
      </c>
      <c r="I1" s="20" t="s">
        <v>56</v>
      </c>
      <c r="J1" s="20" t="s">
        <v>57</v>
      </c>
      <c r="K1" s="20" t="s">
        <v>54</v>
      </c>
      <c r="L1" s="20" t="s">
        <v>75</v>
      </c>
      <c r="N1" s="20" t="s">
        <v>76</v>
      </c>
      <c r="O1" s="20" t="s">
        <v>76</v>
      </c>
      <c r="P1" s="20" t="s">
        <v>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8" sqref="A8"/>
    </sheetView>
  </sheetViews>
  <sheetFormatPr defaultRowHeight="15" x14ac:dyDescent="0.25"/>
  <cols>
    <col min="2" max="2" width="26.85546875" customWidth="1"/>
    <col min="3" max="3" width="19.2851562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B2">
        <f>0.838*A2</f>
        <v>4.1899999999999995</v>
      </c>
      <c r="C2">
        <f>(0.00004*10^2.9363)*B2^2.9363</f>
        <v>2.3193539330406741</v>
      </c>
    </row>
    <row r="3" spans="1:3" x14ac:dyDescent="0.25">
      <c r="A3">
        <v>10</v>
      </c>
      <c r="B3" s="17">
        <f t="shared" ref="B3:B32" si="0">0.838*A3</f>
        <v>8.379999999999999</v>
      </c>
      <c r="C3" s="17">
        <f t="shared" ref="C3:C32" si="1">(0.00004*10^2.9363)*B3^2.9363</f>
        <v>17.753394481583921</v>
      </c>
    </row>
    <row r="4" spans="1:3" x14ac:dyDescent="0.25">
      <c r="A4">
        <v>15</v>
      </c>
      <c r="B4" s="17">
        <f t="shared" si="0"/>
        <v>12.57</v>
      </c>
      <c r="C4" s="17">
        <f t="shared" si="1"/>
        <v>58.389958582781652</v>
      </c>
    </row>
    <row r="5" spans="1:3" x14ac:dyDescent="0.25">
      <c r="A5">
        <v>25</v>
      </c>
      <c r="B5" s="17">
        <f t="shared" si="0"/>
        <v>20.95</v>
      </c>
      <c r="C5" s="17">
        <f>(0.00004*10^2.9363)*B5^2.9363</f>
        <v>261.66922654445057</v>
      </c>
    </row>
    <row r="6" spans="1:3" x14ac:dyDescent="0.25">
      <c r="A6" s="17">
        <v>30</v>
      </c>
      <c r="B6" s="17">
        <f t="shared" si="0"/>
        <v>25.14</v>
      </c>
      <c r="C6" s="17">
        <f t="shared" si="1"/>
        <v>446.94341545555329</v>
      </c>
    </row>
    <row r="7" spans="1:3" x14ac:dyDescent="0.25">
      <c r="A7" s="17"/>
      <c r="B7" s="17">
        <f t="shared" si="0"/>
        <v>0</v>
      </c>
      <c r="C7" s="17">
        <f t="shared" si="1"/>
        <v>0</v>
      </c>
    </row>
    <row r="8" spans="1:3" x14ac:dyDescent="0.25">
      <c r="A8" s="17"/>
      <c r="B8" s="17">
        <f t="shared" si="0"/>
        <v>0</v>
      </c>
      <c r="C8" s="17">
        <f t="shared" si="1"/>
        <v>0</v>
      </c>
    </row>
    <row r="9" spans="1:3" x14ac:dyDescent="0.25">
      <c r="A9" s="17"/>
      <c r="B9" s="17">
        <f t="shared" si="0"/>
        <v>0</v>
      </c>
      <c r="C9" s="17">
        <f t="shared" si="1"/>
        <v>0</v>
      </c>
    </row>
    <row r="10" spans="1:3" x14ac:dyDescent="0.25">
      <c r="A10" s="17"/>
      <c r="B10" s="17">
        <f t="shared" si="0"/>
        <v>0</v>
      </c>
      <c r="C10" s="17">
        <f t="shared" si="1"/>
        <v>0</v>
      </c>
    </row>
    <row r="11" spans="1:3" x14ac:dyDescent="0.25">
      <c r="A11" s="17"/>
      <c r="B11" s="17">
        <f t="shared" si="0"/>
        <v>0</v>
      </c>
      <c r="C11" s="17">
        <f t="shared" si="1"/>
        <v>0</v>
      </c>
    </row>
    <row r="12" spans="1:3" x14ac:dyDescent="0.25">
      <c r="A12" s="17"/>
      <c r="B12" s="17">
        <f t="shared" si="0"/>
        <v>0</v>
      </c>
      <c r="C12" s="17">
        <f t="shared" si="1"/>
        <v>0</v>
      </c>
    </row>
    <row r="13" spans="1:3" x14ac:dyDescent="0.25">
      <c r="A13" s="17"/>
      <c r="B13" s="17">
        <f t="shared" si="0"/>
        <v>0</v>
      </c>
      <c r="C13" s="17">
        <f t="shared" si="1"/>
        <v>0</v>
      </c>
    </row>
    <row r="14" spans="1:3" x14ac:dyDescent="0.25">
      <c r="A14" s="17"/>
      <c r="B14" s="17">
        <f t="shared" si="0"/>
        <v>0</v>
      </c>
      <c r="C14" s="17">
        <f t="shared" si="1"/>
        <v>0</v>
      </c>
    </row>
    <row r="15" spans="1:3" x14ac:dyDescent="0.25">
      <c r="A15" s="17"/>
      <c r="B15" s="17">
        <f t="shared" si="0"/>
        <v>0</v>
      </c>
      <c r="C15" s="17">
        <f t="shared" si="1"/>
        <v>0</v>
      </c>
    </row>
    <row r="16" spans="1:3" x14ac:dyDescent="0.25">
      <c r="A16" s="17"/>
      <c r="B16" s="17">
        <f t="shared" si="0"/>
        <v>0</v>
      </c>
      <c r="C16" s="17">
        <f t="shared" si="1"/>
        <v>0</v>
      </c>
    </row>
    <row r="17" spans="1:3" x14ac:dyDescent="0.25">
      <c r="A17" s="17"/>
      <c r="B17" s="17">
        <f t="shared" si="0"/>
        <v>0</v>
      </c>
      <c r="C17" s="17">
        <f t="shared" si="1"/>
        <v>0</v>
      </c>
    </row>
    <row r="18" spans="1:3" x14ac:dyDescent="0.25">
      <c r="A18" s="17"/>
      <c r="B18" s="17">
        <f t="shared" si="0"/>
        <v>0</v>
      </c>
      <c r="C18" s="17">
        <f t="shared" si="1"/>
        <v>0</v>
      </c>
    </row>
    <row r="19" spans="1:3" x14ac:dyDescent="0.25">
      <c r="A19" s="17"/>
      <c r="B19" s="17">
        <f t="shared" si="0"/>
        <v>0</v>
      </c>
      <c r="C19" s="17">
        <f t="shared" si="1"/>
        <v>0</v>
      </c>
    </row>
    <row r="20" spans="1:3" x14ac:dyDescent="0.25">
      <c r="A20" s="17"/>
      <c r="B20" s="17">
        <f t="shared" si="0"/>
        <v>0</v>
      </c>
      <c r="C20" s="17">
        <f t="shared" si="1"/>
        <v>0</v>
      </c>
    </row>
    <row r="21" spans="1:3" x14ac:dyDescent="0.25">
      <c r="A21" s="17"/>
      <c r="B21" s="17">
        <f t="shared" si="0"/>
        <v>0</v>
      </c>
      <c r="C21" s="17">
        <f t="shared" si="1"/>
        <v>0</v>
      </c>
    </row>
    <row r="22" spans="1:3" x14ac:dyDescent="0.25">
      <c r="A22" s="17"/>
      <c r="B22" s="17">
        <f t="shared" si="0"/>
        <v>0</v>
      </c>
      <c r="C22" s="17">
        <f t="shared" si="1"/>
        <v>0</v>
      </c>
    </row>
    <row r="23" spans="1:3" x14ac:dyDescent="0.25">
      <c r="A23" s="17"/>
      <c r="B23" s="17">
        <f t="shared" si="0"/>
        <v>0</v>
      </c>
      <c r="C23" s="17">
        <f t="shared" si="1"/>
        <v>0</v>
      </c>
    </row>
    <row r="24" spans="1:3" x14ac:dyDescent="0.25">
      <c r="A24" s="17"/>
      <c r="B24" s="17">
        <f t="shared" si="0"/>
        <v>0</v>
      </c>
      <c r="C24" s="17">
        <f t="shared" si="1"/>
        <v>0</v>
      </c>
    </row>
    <row r="25" spans="1:3" x14ac:dyDescent="0.25">
      <c r="A25" s="17"/>
      <c r="B25" s="17">
        <f t="shared" si="0"/>
        <v>0</v>
      </c>
      <c r="C25" s="17">
        <f t="shared" si="1"/>
        <v>0</v>
      </c>
    </row>
    <row r="26" spans="1:3" x14ac:dyDescent="0.25">
      <c r="A26" s="17"/>
      <c r="B26" s="17">
        <f t="shared" si="0"/>
        <v>0</v>
      </c>
      <c r="C26" s="17">
        <f t="shared" si="1"/>
        <v>0</v>
      </c>
    </row>
    <row r="27" spans="1:3" x14ac:dyDescent="0.25">
      <c r="A27" s="17"/>
      <c r="B27" s="17">
        <f t="shared" si="0"/>
        <v>0</v>
      </c>
      <c r="C27" s="17">
        <f t="shared" si="1"/>
        <v>0</v>
      </c>
    </row>
    <row r="28" spans="1:3" x14ac:dyDescent="0.25">
      <c r="A28" s="17"/>
      <c r="B28" s="17">
        <f t="shared" si="0"/>
        <v>0</v>
      </c>
      <c r="C28" s="17">
        <f t="shared" si="1"/>
        <v>0</v>
      </c>
    </row>
    <row r="29" spans="1:3" x14ac:dyDescent="0.25">
      <c r="A29" s="17"/>
      <c r="B29" s="17">
        <f t="shared" si="0"/>
        <v>0</v>
      </c>
      <c r="C29" s="17">
        <f t="shared" si="1"/>
        <v>0</v>
      </c>
    </row>
    <row r="30" spans="1:3" x14ac:dyDescent="0.25">
      <c r="A30" s="17"/>
      <c r="B30" s="17">
        <f t="shared" si="0"/>
        <v>0</v>
      </c>
      <c r="C30" s="17">
        <f t="shared" si="1"/>
        <v>0</v>
      </c>
    </row>
    <row r="31" spans="1:3" x14ac:dyDescent="0.25">
      <c r="A31" s="17"/>
      <c r="B31" s="17">
        <f t="shared" si="0"/>
        <v>0</v>
      </c>
      <c r="C31" s="17">
        <f t="shared" si="1"/>
        <v>0</v>
      </c>
    </row>
    <row r="32" spans="1:3" x14ac:dyDescent="0.25">
      <c r="A32" s="17"/>
      <c r="B32" s="17">
        <f t="shared" si="0"/>
        <v>0</v>
      </c>
      <c r="C32" s="17">
        <f t="shared" si="1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D12" sqref="D12"/>
    </sheetView>
  </sheetViews>
  <sheetFormatPr defaultRowHeight="15" x14ac:dyDescent="0.25"/>
  <sheetData>
    <row r="1" spans="1:18" s="20" customFormat="1" x14ac:dyDescent="0.25">
      <c r="A1" s="20" t="s">
        <v>107</v>
      </c>
      <c r="B1" s="20" t="s">
        <v>108</v>
      </c>
      <c r="C1" s="20" t="s">
        <v>95</v>
      </c>
      <c r="D1" s="20" t="s">
        <v>87</v>
      </c>
      <c r="E1" s="20" t="s">
        <v>82</v>
      </c>
      <c r="F1" s="20" t="s">
        <v>76</v>
      </c>
      <c r="G1" s="21">
        <v>4.0000000000000003E-5</v>
      </c>
      <c r="H1" s="20">
        <v>2.9363000000000001</v>
      </c>
      <c r="I1" s="20" t="s">
        <v>56</v>
      </c>
      <c r="J1" s="20" t="s">
        <v>57</v>
      </c>
      <c r="K1" s="20" t="s">
        <v>58</v>
      </c>
      <c r="L1" s="20" t="s">
        <v>96</v>
      </c>
      <c r="N1" s="20">
        <v>0.83799999999999997</v>
      </c>
      <c r="O1" s="20">
        <v>0</v>
      </c>
      <c r="P1" s="20" t="s">
        <v>97</v>
      </c>
      <c r="Q1" s="20" t="s">
        <v>61</v>
      </c>
      <c r="R1" s="20" t="s">
        <v>109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1"/>
    </sheetView>
  </sheetViews>
  <sheetFormatPr defaultRowHeight="15" x14ac:dyDescent="0.25"/>
  <cols>
    <col min="2" max="2" width="26.42578125" customWidth="1"/>
    <col min="3" max="3" width="16.14062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C2">
        <f>(0.0000045*10^3.16)*A2^3.16</f>
        <v>1.0518594849602867</v>
      </c>
    </row>
    <row r="3" spans="1:3" x14ac:dyDescent="0.25">
      <c r="A3">
        <v>10</v>
      </c>
      <c r="C3" s="17">
        <f t="shared" ref="C3:C5" si="0">(0.0000045*10^3.16)*A3^3.16</f>
        <v>9.4018325888431953</v>
      </c>
    </row>
    <row r="4" spans="1:3" x14ac:dyDescent="0.25">
      <c r="A4">
        <v>15</v>
      </c>
      <c r="C4" s="17">
        <f t="shared" si="0"/>
        <v>33.857968171501135</v>
      </c>
    </row>
    <row r="5" spans="1:3" x14ac:dyDescent="0.25">
      <c r="A5">
        <v>20</v>
      </c>
      <c r="C5" s="17">
        <f t="shared" si="0"/>
        <v>84.036373006581812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I12" sqref="I12"/>
    </sheetView>
  </sheetViews>
  <sheetFormatPr defaultRowHeight="15" x14ac:dyDescent="0.25"/>
  <sheetData>
    <row r="1" spans="1:16" s="20" customFormat="1" x14ac:dyDescent="0.25">
      <c r="A1" s="20" t="s">
        <v>17</v>
      </c>
      <c r="B1" s="20" t="s">
        <v>110</v>
      </c>
      <c r="C1" s="20" t="s">
        <v>103</v>
      </c>
      <c r="D1" s="20" t="s">
        <v>87</v>
      </c>
      <c r="E1" s="20" t="s">
        <v>82</v>
      </c>
      <c r="F1" s="20" t="s">
        <v>76</v>
      </c>
      <c r="G1" s="21">
        <v>4.5000000000000001E-6</v>
      </c>
      <c r="H1" s="20">
        <v>3.16</v>
      </c>
      <c r="I1" s="20" t="s">
        <v>56</v>
      </c>
      <c r="J1" s="20" t="s">
        <v>57</v>
      </c>
      <c r="K1" s="20" t="s">
        <v>54</v>
      </c>
      <c r="L1" s="20" t="s">
        <v>75</v>
      </c>
      <c r="N1" s="20" t="s">
        <v>76</v>
      </c>
      <c r="O1" s="20" t="s">
        <v>76</v>
      </c>
      <c r="P1" s="20" t="s">
        <v>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1"/>
    </sheetView>
  </sheetViews>
  <sheetFormatPr defaultRowHeight="15" x14ac:dyDescent="0.25"/>
  <cols>
    <col min="2" max="2" width="28.5703125" customWidth="1"/>
    <col min="3" max="3" width="20.4257812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4</v>
      </c>
      <c r="C2">
        <f>(0.00000000583*(10^3.0941)*(1000)*A2^3.0941)</f>
        <v>0.52796164570321802</v>
      </c>
    </row>
    <row r="3" spans="1:3" x14ac:dyDescent="0.25">
      <c r="A3">
        <v>6</v>
      </c>
      <c r="C3" s="17">
        <f t="shared" ref="C3:C5" si="0">(0.00000000583*(10^3.0941)*(1000)*A3^3.0941)</f>
        <v>1.851170149478238</v>
      </c>
    </row>
    <row r="4" spans="1:3" x14ac:dyDescent="0.25">
      <c r="A4">
        <v>10</v>
      </c>
      <c r="C4" s="17">
        <f t="shared" si="0"/>
        <v>8.9922537732201633</v>
      </c>
    </row>
    <row r="5" spans="1:3" x14ac:dyDescent="0.25">
      <c r="A5">
        <v>20</v>
      </c>
      <c r="C5" s="17">
        <f t="shared" si="0"/>
        <v>76.786604643340226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C7" sqref="C7"/>
    </sheetView>
  </sheetViews>
  <sheetFormatPr defaultRowHeight="15" x14ac:dyDescent="0.25"/>
  <sheetData>
    <row r="1" spans="1:16" s="20" customFormat="1" x14ac:dyDescent="0.25">
      <c r="A1" s="20" t="s">
        <v>31</v>
      </c>
      <c r="B1" s="20" t="s">
        <v>111</v>
      </c>
      <c r="C1" s="20" t="s">
        <v>80</v>
      </c>
      <c r="D1" s="20" t="s">
        <v>81</v>
      </c>
      <c r="E1" s="20" t="s">
        <v>82</v>
      </c>
      <c r="F1" s="20" t="s">
        <v>76</v>
      </c>
      <c r="G1" s="21">
        <v>5.8299999999999999E-9</v>
      </c>
      <c r="H1" s="20">
        <v>3.0941000000000001</v>
      </c>
      <c r="I1" s="20" t="s">
        <v>112</v>
      </c>
      <c r="J1" s="20" t="s">
        <v>57</v>
      </c>
      <c r="K1" s="20" t="s">
        <v>54</v>
      </c>
      <c r="L1" s="20" t="s">
        <v>75</v>
      </c>
      <c r="N1" s="20" t="s">
        <v>76</v>
      </c>
      <c r="O1" s="20" t="s">
        <v>76</v>
      </c>
      <c r="P1" s="20" t="s">
        <v>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"/>
    </sheetView>
  </sheetViews>
  <sheetFormatPr defaultRowHeight="15" x14ac:dyDescent="0.25"/>
  <cols>
    <col min="2" max="2" width="25.5703125" customWidth="1"/>
    <col min="3" max="3" width="18.2851562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C2">
        <f>(0.019562*A2^2.962829)</f>
        <v>2.3032541033321419</v>
      </c>
    </row>
    <row r="3" spans="1:3" x14ac:dyDescent="0.25">
      <c r="A3">
        <v>10</v>
      </c>
      <c r="C3" s="17">
        <f t="shared" ref="C3:C6" si="0">(0.019562*A3^2.962829)</f>
        <v>17.957350296305506</v>
      </c>
    </row>
    <row r="4" spans="1:3" x14ac:dyDescent="0.25">
      <c r="A4">
        <v>15</v>
      </c>
      <c r="C4" s="17">
        <f t="shared" si="0"/>
        <v>59.699479344783725</v>
      </c>
    </row>
    <row r="5" spans="1:3" x14ac:dyDescent="0.25">
      <c r="A5">
        <v>20</v>
      </c>
      <c r="C5" s="17">
        <f t="shared" si="0"/>
        <v>140.00471298312553</v>
      </c>
    </row>
    <row r="6" spans="1:3" x14ac:dyDescent="0.25">
      <c r="A6">
        <v>25</v>
      </c>
      <c r="C6" s="17">
        <f t="shared" si="0"/>
        <v>271.18799021144815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8" sqref="D8"/>
    </sheetView>
  </sheetViews>
  <sheetFormatPr defaultRowHeight="15" x14ac:dyDescent="0.25"/>
  <sheetData>
    <row r="1" spans="1:16" s="20" customFormat="1" x14ac:dyDescent="0.25">
      <c r="A1" s="20" t="s">
        <v>29</v>
      </c>
      <c r="B1" s="20" t="s">
        <v>113</v>
      </c>
      <c r="C1" s="20" t="s">
        <v>114</v>
      </c>
      <c r="D1" s="20" t="s">
        <v>87</v>
      </c>
      <c r="E1" s="20" t="s">
        <v>82</v>
      </c>
      <c r="F1" s="20" t="s">
        <v>76</v>
      </c>
      <c r="G1" s="20">
        <v>1.9562E-2</v>
      </c>
      <c r="H1" s="20">
        <v>2.9628290000000002</v>
      </c>
      <c r="I1" s="20" t="s">
        <v>56</v>
      </c>
      <c r="J1" s="20" t="s">
        <v>92</v>
      </c>
      <c r="K1" s="20" t="s">
        <v>54</v>
      </c>
      <c r="L1" s="20" t="s">
        <v>115</v>
      </c>
      <c r="N1" s="20" t="s">
        <v>76</v>
      </c>
      <c r="O1" s="20" t="s">
        <v>76</v>
      </c>
      <c r="P1" s="20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1" sqref="H1"/>
    </sheetView>
  </sheetViews>
  <sheetFormatPr defaultRowHeight="15" x14ac:dyDescent="0.25"/>
  <cols>
    <col min="1" max="13" width="13.28515625" customWidth="1"/>
  </cols>
  <sheetData>
    <row r="1" spans="1:12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</row>
    <row r="2" spans="1:12" x14ac:dyDescent="0.25">
      <c r="A2" s="2">
        <v>2.69E-5</v>
      </c>
      <c r="B2">
        <v>3.0177</v>
      </c>
      <c r="C2" t="s">
        <v>56</v>
      </c>
      <c r="D2" t="s">
        <v>57</v>
      </c>
      <c r="E2" t="s">
        <v>58</v>
      </c>
      <c r="F2" t="s">
        <v>59</v>
      </c>
      <c r="H2">
        <v>1.27</v>
      </c>
      <c r="I2">
        <v>0</v>
      </c>
      <c r="J2" t="s">
        <v>60</v>
      </c>
      <c r="K2" t="s">
        <v>61</v>
      </c>
      <c r="L2" t="s">
        <v>62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"/>
    </sheetView>
  </sheetViews>
  <sheetFormatPr defaultRowHeight="15" x14ac:dyDescent="0.25"/>
  <cols>
    <col min="2" max="2" width="26.140625" customWidth="1"/>
    <col min="3" max="3" width="17.4257812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C2">
        <f>(0.00000304*10^3.22)*A2^3.22</f>
        <v>0.89858051611775169</v>
      </c>
    </row>
    <row r="3" spans="1:3" x14ac:dyDescent="0.25">
      <c r="A3">
        <v>10</v>
      </c>
      <c r="C3" s="17">
        <f t="shared" ref="C3:C6" si="0">(0.00000304*10^3.22)*A3^3.22</f>
        <v>8.3728552581480464</v>
      </c>
    </row>
    <row r="4" spans="1:3" x14ac:dyDescent="0.25">
      <c r="A4">
        <v>15</v>
      </c>
      <c r="C4" s="17">
        <f t="shared" si="0"/>
        <v>30.894945808081427</v>
      </c>
    </row>
    <row r="5" spans="1:3" x14ac:dyDescent="0.25">
      <c r="A5">
        <v>25</v>
      </c>
      <c r="C5" s="17">
        <f t="shared" si="0"/>
        <v>160.0443737899258</v>
      </c>
    </row>
    <row r="6" spans="1:3" x14ac:dyDescent="0.25">
      <c r="A6">
        <v>45</v>
      </c>
      <c r="C6" s="17">
        <f t="shared" si="0"/>
        <v>1062.2283249676063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sqref="A1:XFD1"/>
    </sheetView>
  </sheetViews>
  <sheetFormatPr defaultRowHeight="15" x14ac:dyDescent="0.25"/>
  <sheetData>
    <row r="1" spans="1:16" s="17" customFormat="1" x14ac:dyDescent="0.25">
      <c r="A1" s="17" t="s">
        <v>27</v>
      </c>
      <c r="B1" s="17" t="s">
        <v>116</v>
      </c>
      <c r="C1" s="17" t="s">
        <v>117</v>
      </c>
      <c r="D1" s="17" t="s">
        <v>87</v>
      </c>
      <c r="E1" s="17" t="s">
        <v>82</v>
      </c>
      <c r="F1" s="17" t="s">
        <v>76</v>
      </c>
      <c r="G1" s="2">
        <v>3.0400000000000001E-6</v>
      </c>
      <c r="H1" s="17">
        <v>3.22</v>
      </c>
      <c r="I1" s="17" t="s">
        <v>56</v>
      </c>
      <c r="J1" s="17" t="s">
        <v>57</v>
      </c>
      <c r="K1" s="17" t="s">
        <v>54</v>
      </c>
      <c r="L1" s="17" t="s">
        <v>75</v>
      </c>
      <c r="N1" s="17" t="s">
        <v>76</v>
      </c>
      <c r="O1" s="17" t="s">
        <v>76</v>
      </c>
      <c r="P1" s="17" t="s">
        <v>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1"/>
    </sheetView>
  </sheetViews>
  <sheetFormatPr defaultRowHeight="15" x14ac:dyDescent="0.25"/>
  <cols>
    <col min="2" max="2" width="32.85546875" customWidth="1"/>
    <col min="3" max="3" width="28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C2">
        <f>(0.0000112*10^3.114)*A2^3.114</f>
        <v>2.1868078095169801</v>
      </c>
    </row>
    <row r="3" spans="1:3" x14ac:dyDescent="0.25">
      <c r="A3">
        <v>10</v>
      </c>
      <c r="C3" s="17">
        <f t="shared" ref="C3:C5" si="0">(0.0000112*10^3.114)*A3^3.114</f>
        <v>18.932938434404583</v>
      </c>
    </row>
    <row r="4" spans="1:3" x14ac:dyDescent="0.25">
      <c r="A4">
        <v>15</v>
      </c>
      <c r="C4" s="17">
        <f t="shared" si="0"/>
        <v>66.921582678983157</v>
      </c>
    </row>
    <row r="5" spans="1:3" x14ac:dyDescent="0.25">
      <c r="A5">
        <v>25</v>
      </c>
      <c r="C5" s="17">
        <f t="shared" si="0"/>
        <v>328.40004629834004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8" sqref="D8"/>
    </sheetView>
  </sheetViews>
  <sheetFormatPr defaultRowHeight="15" x14ac:dyDescent="0.25"/>
  <sheetData>
    <row r="1" spans="1:16" s="17" customFormat="1" x14ac:dyDescent="0.25">
      <c r="A1" s="17" t="s">
        <v>25</v>
      </c>
      <c r="B1" s="17" t="s">
        <v>118</v>
      </c>
      <c r="C1" s="17" t="s">
        <v>80</v>
      </c>
      <c r="D1" s="17" t="s">
        <v>81</v>
      </c>
      <c r="E1" s="17" t="s">
        <v>82</v>
      </c>
      <c r="F1" s="17" t="s">
        <v>76</v>
      </c>
      <c r="G1" s="2">
        <v>1.1199999999999999E-5</v>
      </c>
      <c r="H1" s="17">
        <v>3.1139999999999999</v>
      </c>
      <c r="I1" s="17" t="s">
        <v>56</v>
      </c>
      <c r="J1" s="17" t="s">
        <v>57</v>
      </c>
      <c r="K1" s="17" t="s">
        <v>54</v>
      </c>
      <c r="L1" s="17" t="s">
        <v>83</v>
      </c>
      <c r="N1" s="17" t="s">
        <v>76</v>
      </c>
      <c r="O1" s="17" t="s">
        <v>76</v>
      </c>
      <c r="P1" s="17" t="s">
        <v>76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"/>
    </sheetView>
  </sheetViews>
  <sheetFormatPr defaultRowHeight="15" x14ac:dyDescent="0.25"/>
  <cols>
    <col min="2" max="2" width="26.5703125" customWidth="1"/>
    <col min="3" max="3" width="19.4257812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C2">
        <f>0.014*A2^3.081</f>
        <v>1.9936761753793848</v>
      </c>
    </row>
    <row r="3" spans="1:3" x14ac:dyDescent="0.25">
      <c r="A3">
        <v>10</v>
      </c>
      <c r="C3" s="17">
        <f t="shared" ref="C3:C6" si="0">0.014*A3^3.081</f>
        <v>16.870503165205175</v>
      </c>
    </row>
    <row r="4" spans="1:3" x14ac:dyDescent="0.25">
      <c r="A4">
        <v>15</v>
      </c>
      <c r="C4" s="17">
        <f t="shared" si="0"/>
        <v>58.838989402011265</v>
      </c>
    </row>
    <row r="5" spans="1:3" x14ac:dyDescent="0.25">
      <c r="A5">
        <v>20</v>
      </c>
      <c r="C5" s="17">
        <f t="shared" si="0"/>
        <v>142.75832783778787</v>
      </c>
    </row>
    <row r="6" spans="1:3" x14ac:dyDescent="0.25">
      <c r="A6">
        <v>25</v>
      </c>
      <c r="C6" s="17">
        <f t="shared" si="0"/>
        <v>283.91033516252662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10" sqref="G10"/>
    </sheetView>
  </sheetViews>
  <sheetFormatPr defaultRowHeight="15" x14ac:dyDescent="0.25"/>
  <sheetData>
    <row r="1" spans="1:16" s="17" customFormat="1" x14ac:dyDescent="0.25">
      <c r="A1" s="17" t="s">
        <v>23</v>
      </c>
      <c r="B1" s="17" t="s">
        <v>119</v>
      </c>
      <c r="C1" s="17" t="s">
        <v>80</v>
      </c>
      <c r="D1" s="17" t="s">
        <v>81</v>
      </c>
      <c r="E1" s="17" t="s">
        <v>82</v>
      </c>
      <c r="F1" s="17" t="s">
        <v>76</v>
      </c>
      <c r="G1" s="17">
        <v>1.4E-2</v>
      </c>
      <c r="H1" s="17">
        <v>3.081</v>
      </c>
      <c r="I1" s="17" t="s">
        <v>56</v>
      </c>
      <c r="J1" s="17" t="s">
        <v>92</v>
      </c>
      <c r="K1" s="17" t="s">
        <v>54</v>
      </c>
      <c r="L1" s="17" t="s">
        <v>120</v>
      </c>
      <c r="N1" s="17" t="s">
        <v>76</v>
      </c>
      <c r="O1" s="17" t="s">
        <v>76</v>
      </c>
      <c r="P1" s="17" t="s">
        <v>76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1"/>
    </sheetView>
  </sheetViews>
  <sheetFormatPr defaultRowHeight="15" x14ac:dyDescent="0.25"/>
  <cols>
    <col min="2" max="2" width="27.85546875" customWidth="1"/>
    <col min="3" max="4" width="18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C2">
        <f>(0.00000898*10^3.132)*A2^3.132</f>
        <v>1.881266795565959</v>
      </c>
    </row>
    <row r="3" spans="1:3" x14ac:dyDescent="0.25">
      <c r="A3">
        <v>10</v>
      </c>
      <c r="C3" s="17">
        <f t="shared" ref="C3:C5" si="0">(0.00000898*10^3.132)*A3^3.132</f>
        <v>16.492114323268179</v>
      </c>
    </row>
    <row r="4" spans="1:3" x14ac:dyDescent="0.25">
      <c r="A4">
        <v>15</v>
      </c>
      <c r="C4" s="17">
        <f t="shared" si="0"/>
        <v>58.721096967553272</v>
      </c>
    </row>
    <row r="5" spans="1:3" x14ac:dyDescent="0.25">
      <c r="A5">
        <v>25</v>
      </c>
      <c r="C5" s="17">
        <f t="shared" si="0"/>
        <v>290.82011633065554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K30" sqref="K30"/>
    </sheetView>
  </sheetViews>
  <sheetFormatPr defaultRowHeight="15" x14ac:dyDescent="0.25"/>
  <sheetData>
    <row r="1" spans="1:16" s="20" customFormat="1" x14ac:dyDescent="0.25">
      <c r="A1" s="20" t="s">
        <v>15</v>
      </c>
      <c r="B1" s="20" t="s">
        <v>121</v>
      </c>
      <c r="C1" s="20" t="s">
        <v>80</v>
      </c>
      <c r="D1" s="20" t="s">
        <v>81</v>
      </c>
      <c r="E1" s="20" t="s">
        <v>82</v>
      </c>
      <c r="F1" s="20" t="s">
        <v>76</v>
      </c>
      <c r="G1" s="21">
        <v>8.9800000000000004E-6</v>
      </c>
      <c r="H1" s="20">
        <v>3.1320000000000001</v>
      </c>
      <c r="I1" s="20" t="s">
        <v>56</v>
      </c>
      <c r="J1" s="20" t="s">
        <v>57</v>
      </c>
      <c r="K1" s="20" t="s">
        <v>54</v>
      </c>
      <c r="L1" s="20" t="s">
        <v>83</v>
      </c>
      <c r="N1" s="20" t="s">
        <v>76</v>
      </c>
      <c r="O1" s="20" t="s">
        <v>76</v>
      </c>
      <c r="P1" s="20" t="s">
        <v>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"/>
    </sheetView>
  </sheetViews>
  <sheetFormatPr defaultRowHeight="15" x14ac:dyDescent="0.25"/>
  <cols>
    <col min="2" max="2" width="25.42578125" customWidth="1"/>
    <col min="3" max="3" width="21.4257812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C2">
        <f>(0.0000055*10^3.185)*A2^3.185</f>
        <v>1.4176928639135045</v>
      </c>
    </row>
    <row r="3" spans="1:3" x14ac:dyDescent="0.25">
      <c r="A3">
        <v>10</v>
      </c>
      <c r="C3" s="17">
        <f t="shared" ref="C3:C6" si="0">(0.0000055*10^3.185)*A3^3.185</f>
        <v>12.893258484259587</v>
      </c>
    </row>
    <row r="4" spans="1:3" x14ac:dyDescent="0.25">
      <c r="A4">
        <v>15</v>
      </c>
      <c r="C4" s="17">
        <f t="shared" si="0"/>
        <v>46.904374591324327</v>
      </c>
    </row>
    <row r="5" spans="1:3" x14ac:dyDescent="0.25">
      <c r="A5">
        <v>35</v>
      </c>
      <c r="C5" s="17">
        <f t="shared" si="0"/>
        <v>696.97854704893837</v>
      </c>
    </row>
    <row r="6" spans="1:3" x14ac:dyDescent="0.25">
      <c r="A6">
        <v>40</v>
      </c>
      <c r="C6" s="17">
        <f t="shared" si="0"/>
        <v>1066.4089022895191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E11" sqref="E11"/>
    </sheetView>
  </sheetViews>
  <sheetFormatPr defaultRowHeight="15" x14ac:dyDescent="0.25"/>
  <sheetData>
    <row r="1" spans="1:16" s="22" customFormat="1" x14ac:dyDescent="0.25">
      <c r="A1" s="22" t="s">
        <v>13</v>
      </c>
      <c r="B1" s="22" t="s">
        <v>122</v>
      </c>
      <c r="C1" s="22" t="s">
        <v>123</v>
      </c>
      <c r="D1" s="22" t="s">
        <v>81</v>
      </c>
      <c r="E1" s="22" t="s">
        <v>82</v>
      </c>
      <c r="F1" s="22" t="s">
        <v>76</v>
      </c>
      <c r="G1" s="23">
        <v>5.4999999999999999E-6</v>
      </c>
      <c r="H1" s="22">
        <v>3.1850000000000001</v>
      </c>
      <c r="I1" s="22" t="s">
        <v>56</v>
      </c>
      <c r="J1" s="22" t="s">
        <v>57</v>
      </c>
      <c r="K1" s="22" t="s">
        <v>54</v>
      </c>
      <c r="L1" s="22" t="s">
        <v>83</v>
      </c>
      <c r="N1" s="22" t="s">
        <v>76</v>
      </c>
      <c r="O1" s="22" t="s">
        <v>76</v>
      </c>
      <c r="P1" s="2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"/>
    </sheetView>
  </sheetViews>
  <sheetFormatPr defaultRowHeight="15" x14ac:dyDescent="0.25"/>
  <cols>
    <col min="1" max="1" width="15.140625" customWidth="1"/>
    <col min="2" max="2" width="27" customWidth="1"/>
    <col min="3" max="3" width="19.5703125" customWidth="1"/>
  </cols>
  <sheetData>
    <row r="1" spans="1:3" s="1" customFormat="1" x14ac:dyDescent="0.25">
      <c r="A1" s="1" t="s">
        <v>54</v>
      </c>
      <c r="B1" s="1" t="s">
        <v>77</v>
      </c>
      <c r="C1" s="1" t="s">
        <v>78</v>
      </c>
    </row>
    <row r="2" spans="1:3" x14ac:dyDescent="0.25">
      <c r="A2">
        <v>5</v>
      </c>
      <c r="B2" s="4"/>
      <c r="C2">
        <f>(0.0000045*10^3.16)*A2^3.16</f>
        <v>1.0518594849602867</v>
      </c>
    </row>
    <row r="3" spans="1:3" x14ac:dyDescent="0.25">
      <c r="A3">
        <v>10</v>
      </c>
      <c r="B3" s="4"/>
      <c r="C3" s="3">
        <f t="shared" ref="C3:C4" si="0">(0.0000045*10^3.16)*A3^3.16</f>
        <v>9.4018325888431953</v>
      </c>
    </row>
    <row r="4" spans="1:3" x14ac:dyDescent="0.25">
      <c r="A4">
        <v>15</v>
      </c>
      <c r="B4" s="4"/>
      <c r="C4" s="3">
        <f t="shared" si="0"/>
        <v>33.857968171501135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"/>
    </sheetView>
  </sheetViews>
  <sheetFormatPr defaultRowHeight="15" x14ac:dyDescent="0.25"/>
  <cols>
    <col min="2" max="2" width="30.28515625" customWidth="1"/>
    <col min="3" max="3" width="17.8554687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C2">
        <f>(0.0000145*10^3.0492)*A2^3.0492</f>
        <v>2.1971886122218978</v>
      </c>
    </row>
    <row r="3" spans="1:3" x14ac:dyDescent="0.25">
      <c r="A3">
        <v>10</v>
      </c>
      <c r="C3" s="17">
        <f t="shared" ref="C3:C6" si="0">(0.0000145*10^3.0492)*A3^3.0492</f>
        <v>18.187290438383627</v>
      </c>
    </row>
    <row r="4" spans="1:3" x14ac:dyDescent="0.25">
      <c r="A4">
        <v>15</v>
      </c>
      <c r="C4" s="17">
        <f t="shared" si="0"/>
        <v>62.618905056435274</v>
      </c>
    </row>
    <row r="5" spans="1:3" x14ac:dyDescent="0.25">
      <c r="A5">
        <v>25</v>
      </c>
      <c r="C5" s="17">
        <f t="shared" si="0"/>
        <v>297.28067381036226</v>
      </c>
    </row>
    <row r="6" spans="1:3" x14ac:dyDescent="0.25">
      <c r="A6">
        <v>32</v>
      </c>
      <c r="C6" s="17">
        <f t="shared" si="0"/>
        <v>631.06096341017303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K32" sqref="K32"/>
    </sheetView>
  </sheetViews>
  <sheetFormatPr defaultRowHeight="15" x14ac:dyDescent="0.25"/>
  <sheetData>
    <row r="1" spans="1:16" s="20" customFormat="1" x14ac:dyDescent="0.25">
      <c r="A1" s="20" t="s">
        <v>11</v>
      </c>
      <c r="B1" s="20" t="s">
        <v>124</v>
      </c>
      <c r="C1" s="20" t="s">
        <v>114</v>
      </c>
      <c r="D1" s="20" t="s">
        <v>87</v>
      </c>
      <c r="E1" s="20" t="s">
        <v>82</v>
      </c>
      <c r="F1" s="20" t="s">
        <v>76</v>
      </c>
      <c r="G1" s="21">
        <v>1.45E-5</v>
      </c>
      <c r="H1" s="20">
        <v>3.0491999999999999</v>
      </c>
      <c r="I1" s="20" t="s">
        <v>56</v>
      </c>
      <c r="J1" s="20" t="s">
        <v>57</v>
      </c>
      <c r="K1" s="20" t="s">
        <v>54</v>
      </c>
      <c r="L1" s="20" t="s">
        <v>75</v>
      </c>
      <c r="N1" s="20" t="s">
        <v>76</v>
      </c>
      <c r="O1" s="20" t="s">
        <v>76</v>
      </c>
      <c r="P1" s="20" t="s">
        <v>76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"/>
    </sheetView>
  </sheetViews>
  <sheetFormatPr defaultRowHeight="15" x14ac:dyDescent="0.25"/>
  <cols>
    <col min="2" max="2" width="25.5703125" customWidth="1"/>
    <col min="3" max="3" width="14.8554687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C2">
        <f>(((0.0000000116*10^2.99)*1000)*A2^2.99)</f>
        <v>1.3943708728980908</v>
      </c>
    </row>
    <row r="3" spans="1:3" x14ac:dyDescent="0.25">
      <c r="A3">
        <v>10</v>
      </c>
      <c r="C3" s="17">
        <f t="shared" ref="C3:C6" si="0">(((0.0000000116*10^2.99)*1000)*A3^2.99)</f>
        <v>11.077913997848672</v>
      </c>
    </row>
    <row r="4" spans="1:3" x14ac:dyDescent="0.25">
      <c r="A4">
        <v>15</v>
      </c>
      <c r="C4" s="17">
        <f t="shared" si="0"/>
        <v>37.236671529075736</v>
      </c>
    </row>
    <row r="5" spans="1:3" x14ac:dyDescent="0.25">
      <c r="A5">
        <v>20</v>
      </c>
      <c r="C5" s="17">
        <f t="shared" si="0"/>
        <v>88.011146050883269</v>
      </c>
    </row>
    <row r="6" spans="1:3" x14ac:dyDescent="0.25">
      <c r="A6">
        <v>45</v>
      </c>
      <c r="C6" s="17">
        <f t="shared" si="0"/>
        <v>994.40524290528367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20" sqref="G20"/>
    </sheetView>
  </sheetViews>
  <sheetFormatPr defaultRowHeight="15" x14ac:dyDescent="0.25"/>
  <sheetData>
    <row r="1" spans="1:16" s="20" customFormat="1" x14ac:dyDescent="0.25">
      <c r="A1" s="20" t="s">
        <v>9</v>
      </c>
      <c r="B1" s="20" t="s">
        <v>125</v>
      </c>
      <c r="C1" s="20" t="s">
        <v>126</v>
      </c>
      <c r="D1" s="20" t="s">
        <v>81</v>
      </c>
      <c r="E1" s="20" t="s">
        <v>82</v>
      </c>
      <c r="F1" s="20" t="s">
        <v>76</v>
      </c>
      <c r="G1" s="21">
        <v>1.16E-8</v>
      </c>
      <c r="H1" s="20">
        <v>2.99</v>
      </c>
      <c r="I1" s="20" t="s">
        <v>112</v>
      </c>
      <c r="J1" s="20" t="s">
        <v>57</v>
      </c>
      <c r="K1" s="20" t="s">
        <v>54</v>
      </c>
      <c r="L1" s="20" t="s">
        <v>75</v>
      </c>
      <c r="N1" s="20" t="s">
        <v>76</v>
      </c>
      <c r="O1" s="20" t="s">
        <v>76</v>
      </c>
      <c r="P1" s="20" t="s">
        <v>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5" x14ac:dyDescent="0.25"/>
  <cols>
    <col min="2" max="2" width="25.42578125" customWidth="1"/>
    <col min="3" max="3" width="15.4257812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B2">
        <f>A2/1.12</f>
        <v>4.4642857142857135</v>
      </c>
      <c r="C2">
        <f>(0.000172*10^2.6801)*B2^2.6801</f>
        <v>4.5397165047044359</v>
      </c>
    </row>
    <row r="3" spans="1:3" x14ac:dyDescent="0.25">
      <c r="A3">
        <v>10</v>
      </c>
      <c r="B3" s="17">
        <f t="shared" ref="B3:B6" si="0">A3/1.12</f>
        <v>8.928571428571427</v>
      </c>
      <c r="C3" s="17">
        <f t="shared" ref="C3:C6" si="1">(0.000172*10^2.6801)*B3^2.6801</f>
        <v>29.095057803557399</v>
      </c>
    </row>
    <row r="4" spans="1:3" x14ac:dyDescent="0.25">
      <c r="A4">
        <v>15</v>
      </c>
      <c r="B4" s="17">
        <f t="shared" si="0"/>
        <v>13.392857142857142</v>
      </c>
      <c r="C4" s="17">
        <f t="shared" si="1"/>
        <v>86.250457570727761</v>
      </c>
    </row>
    <row r="5" spans="1:3" x14ac:dyDescent="0.25">
      <c r="A5">
        <v>25</v>
      </c>
      <c r="B5" s="17">
        <f t="shared" si="0"/>
        <v>22.321428571428569</v>
      </c>
      <c r="C5" s="17">
        <f t="shared" si="1"/>
        <v>339.10816094285468</v>
      </c>
    </row>
    <row r="6" spans="1:3" x14ac:dyDescent="0.25">
      <c r="A6">
        <v>30</v>
      </c>
      <c r="B6" s="17">
        <f t="shared" si="0"/>
        <v>26.785714285714285</v>
      </c>
      <c r="C6" s="17">
        <f t="shared" si="1"/>
        <v>552.77946233054104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D7" sqref="D7"/>
    </sheetView>
  </sheetViews>
  <sheetFormatPr defaultRowHeight="15" x14ac:dyDescent="0.25"/>
  <sheetData>
    <row r="1" spans="1:18" s="20" customFormat="1" x14ac:dyDescent="0.25">
      <c r="A1" s="20" t="s">
        <v>7</v>
      </c>
      <c r="B1" s="20" t="s">
        <v>127</v>
      </c>
      <c r="C1" s="20" t="s">
        <v>80</v>
      </c>
      <c r="D1" s="20" t="s">
        <v>81</v>
      </c>
      <c r="E1" s="20" t="s">
        <v>82</v>
      </c>
      <c r="F1" s="20" t="s">
        <v>76</v>
      </c>
      <c r="G1" s="20">
        <v>1.7200000000000001E-4</v>
      </c>
      <c r="H1" s="20">
        <v>2.6800999999999999</v>
      </c>
      <c r="I1" s="20" t="s">
        <v>56</v>
      </c>
      <c r="J1" s="20" t="s">
        <v>57</v>
      </c>
      <c r="K1" s="20" t="s">
        <v>58</v>
      </c>
      <c r="L1" s="20" t="s">
        <v>59</v>
      </c>
      <c r="N1" s="20">
        <v>1.2</v>
      </c>
      <c r="O1" s="20">
        <v>0</v>
      </c>
      <c r="P1" s="20" t="s">
        <v>60</v>
      </c>
      <c r="Q1" s="20" t="s">
        <v>61</v>
      </c>
      <c r="R1" s="20" t="s">
        <v>128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5" x14ac:dyDescent="0.25"/>
  <cols>
    <col min="2" max="2" width="27.140625" customWidth="1"/>
    <col min="3" max="3" width="17.570312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B2">
        <f>(A2-1.8277)/1.2398</f>
        <v>2.5587191482497178</v>
      </c>
      <c r="C2">
        <f>(0.0000208*10^3.0721)*B2^3.0721</f>
        <v>0.44019957954131111</v>
      </c>
    </row>
    <row r="3" spans="1:3" x14ac:dyDescent="0.25">
      <c r="A3">
        <v>10</v>
      </c>
      <c r="B3" s="17">
        <f t="shared" ref="B3:B6" si="0">(A3-1.8277)/1.2398</f>
        <v>6.5916276818841748</v>
      </c>
      <c r="C3" s="17">
        <f t="shared" ref="C3:C6" si="1">(0.0000208*10^3.0721)*B3^3.0721</f>
        <v>8.0573218729739953</v>
      </c>
    </row>
    <row r="4" spans="1:3" x14ac:dyDescent="0.25">
      <c r="A4">
        <v>12</v>
      </c>
      <c r="B4" s="17">
        <f t="shared" si="0"/>
        <v>8.2047910953379581</v>
      </c>
      <c r="C4" s="17">
        <f t="shared" si="1"/>
        <v>15.785930528177552</v>
      </c>
    </row>
    <row r="5" spans="1:3" x14ac:dyDescent="0.25">
      <c r="A5">
        <v>15</v>
      </c>
      <c r="B5" s="17">
        <f t="shared" si="0"/>
        <v>10.624536215518631</v>
      </c>
      <c r="C5" s="17">
        <f t="shared" si="1"/>
        <v>34.921285980676366</v>
      </c>
    </row>
    <row r="6" spans="1:3" x14ac:dyDescent="0.25">
      <c r="A6">
        <v>20</v>
      </c>
      <c r="B6" s="17">
        <f t="shared" si="0"/>
        <v>14.65744474915309</v>
      </c>
      <c r="C6" s="17">
        <f t="shared" si="1"/>
        <v>93.844955631780735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E10" sqref="E10"/>
    </sheetView>
  </sheetViews>
  <sheetFormatPr defaultRowHeight="15" x14ac:dyDescent="0.25"/>
  <sheetData>
    <row r="1" spans="1:18" s="20" customFormat="1" x14ac:dyDescent="0.25">
      <c r="A1" s="20" t="s">
        <v>5</v>
      </c>
      <c r="B1" s="20" t="s">
        <v>129</v>
      </c>
      <c r="C1" s="20" t="s">
        <v>95</v>
      </c>
      <c r="D1" s="20" t="s">
        <v>87</v>
      </c>
      <c r="E1" s="20" t="s">
        <v>82</v>
      </c>
      <c r="F1" s="20" t="s">
        <v>76</v>
      </c>
      <c r="G1" s="21">
        <v>2.0800000000000001E-5</v>
      </c>
      <c r="H1" s="20">
        <v>3.0720999999999998</v>
      </c>
      <c r="I1" s="20" t="s">
        <v>56</v>
      </c>
      <c r="J1" s="20" t="s">
        <v>57</v>
      </c>
      <c r="K1" s="20" t="s">
        <v>58</v>
      </c>
      <c r="L1" s="20" t="s">
        <v>59</v>
      </c>
      <c r="N1" s="20">
        <v>1.2398</v>
      </c>
      <c r="O1" s="20">
        <v>0.18276999999999999</v>
      </c>
      <c r="P1" s="20" t="s">
        <v>60</v>
      </c>
      <c r="Q1" s="20" t="s">
        <v>59</v>
      </c>
      <c r="R1" s="20" t="s">
        <v>130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5" x14ac:dyDescent="0.25"/>
  <cols>
    <col min="2" max="2" width="25.42578125" customWidth="1"/>
    <col min="3" max="3" width="15.85546875" customWidth="1"/>
  </cols>
  <sheetData>
    <row r="1" spans="1:3" s="17" customFormat="1" x14ac:dyDescent="0.25">
      <c r="A1" s="17" t="s">
        <v>54</v>
      </c>
      <c r="B1" s="17" t="s">
        <v>77</v>
      </c>
      <c r="C1" s="17" t="s">
        <v>78</v>
      </c>
    </row>
    <row r="2" spans="1:3" x14ac:dyDescent="0.25">
      <c r="A2">
        <v>5</v>
      </c>
      <c r="B2">
        <f>(A2-1.1535)/1.2258</f>
        <v>3.1379507260564528</v>
      </c>
      <c r="C2">
        <f>(0.0000366*10^2.9831)*B2^2.9831</f>
        <v>1.0669059207717471</v>
      </c>
    </row>
    <row r="3" spans="1:3" x14ac:dyDescent="0.25">
      <c r="A3">
        <v>15</v>
      </c>
      <c r="B3" s="17">
        <f t="shared" ref="B3:B6" si="0">(A3-1.1535)/1.2258</f>
        <v>11.295888399412629</v>
      </c>
      <c r="C3" s="17">
        <f t="shared" ref="C3:C6" si="1">(0.0000366*10^2.9831)*B3^2.9831</f>
        <v>48.702124859856774</v>
      </c>
    </row>
    <row r="4" spans="1:3" x14ac:dyDescent="0.25">
      <c r="A4">
        <v>20</v>
      </c>
      <c r="B4" s="17">
        <f t="shared" si="0"/>
        <v>15.374857236090715</v>
      </c>
      <c r="C4" s="17">
        <f t="shared" si="1"/>
        <v>122.16794070603586</v>
      </c>
    </row>
    <row r="5" spans="1:3" x14ac:dyDescent="0.25">
      <c r="A5">
        <v>25</v>
      </c>
      <c r="B5" s="17">
        <f t="shared" si="0"/>
        <v>19.453826072768802</v>
      </c>
      <c r="C5" s="17">
        <f t="shared" si="1"/>
        <v>246.49719784711911</v>
      </c>
    </row>
    <row r="6" spans="1:3" x14ac:dyDescent="0.25">
      <c r="A6">
        <v>30</v>
      </c>
      <c r="B6" s="17">
        <f t="shared" si="0"/>
        <v>23.532794909446892</v>
      </c>
      <c r="C6" s="17">
        <f t="shared" si="1"/>
        <v>434.93096935375314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I18" sqref="I18"/>
    </sheetView>
  </sheetViews>
  <sheetFormatPr defaultRowHeight="15" x14ac:dyDescent="0.25"/>
  <sheetData>
    <row r="1" spans="1:18" s="20" customFormat="1" x14ac:dyDescent="0.25">
      <c r="A1" s="20" t="s">
        <v>3</v>
      </c>
      <c r="B1" s="20" t="s">
        <v>131</v>
      </c>
      <c r="C1" s="20" t="s">
        <v>91</v>
      </c>
      <c r="D1" s="20" t="s">
        <v>81</v>
      </c>
      <c r="E1" s="20" t="s">
        <v>82</v>
      </c>
      <c r="F1" s="20" t="s">
        <v>76</v>
      </c>
      <c r="G1" s="21">
        <v>3.6600000000000002E-5</v>
      </c>
      <c r="H1" s="20">
        <v>2.9830999999999999</v>
      </c>
      <c r="I1" s="20" t="s">
        <v>56</v>
      </c>
      <c r="J1" s="20" t="s">
        <v>57</v>
      </c>
      <c r="K1" s="20" t="s">
        <v>58</v>
      </c>
      <c r="L1" s="20" t="s">
        <v>59</v>
      </c>
      <c r="N1" s="20">
        <v>1.2258</v>
      </c>
      <c r="O1" s="20">
        <v>0.11534999999999999</v>
      </c>
      <c r="P1" s="20" t="s">
        <v>60</v>
      </c>
      <c r="Q1" s="20" t="s">
        <v>59</v>
      </c>
      <c r="R1" s="20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10" sqref="E10"/>
    </sheetView>
  </sheetViews>
  <sheetFormatPr defaultRowHeight="15" x14ac:dyDescent="0.25"/>
  <sheetData>
    <row r="1" spans="1:12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</row>
    <row r="2" spans="1:12" x14ac:dyDescent="0.25">
      <c r="A2">
        <v>4.5000000000000001E-6</v>
      </c>
      <c r="B2">
        <v>3.16</v>
      </c>
      <c r="C2" t="s">
        <v>56</v>
      </c>
      <c r="D2" t="s">
        <v>57</v>
      </c>
      <c r="E2" t="s">
        <v>54</v>
      </c>
      <c r="F2" t="s">
        <v>75</v>
      </c>
      <c r="H2" t="s">
        <v>76</v>
      </c>
      <c r="I2" t="s">
        <v>76</v>
      </c>
      <c r="J2" t="s">
        <v>76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H11" sqref="H11"/>
    </sheetView>
  </sheetViews>
  <sheetFormatPr defaultRowHeight="15" x14ac:dyDescent="0.25"/>
  <cols>
    <col min="2" max="2" width="26.140625" bestFit="1" customWidth="1"/>
    <col min="3" max="3" width="15" bestFit="1" customWidth="1"/>
  </cols>
  <sheetData>
    <row r="1" spans="1:3" x14ac:dyDescent="0.25">
      <c r="A1" s="17" t="s">
        <v>54</v>
      </c>
      <c r="B1" s="17" t="s">
        <v>77</v>
      </c>
      <c r="C1" s="17" t="s">
        <v>78</v>
      </c>
    </row>
    <row r="2" spans="1:3" x14ac:dyDescent="0.25">
      <c r="B2">
        <f>A2*0.853</f>
        <v>0</v>
      </c>
      <c r="C2">
        <f>(0.00002*10^3.0787)*B2^3.0787</f>
        <v>0</v>
      </c>
    </row>
    <row r="3" spans="1:3" x14ac:dyDescent="0.25">
      <c r="B3" s="17">
        <f t="shared" ref="B3:B13" si="0">A3*0.853</f>
        <v>0</v>
      </c>
      <c r="C3" s="24">
        <f t="shared" ref="C3:C13" si="1">(0.00002*10^3.0787)*B3^3.0787</f>
        <v>0</v>
      </c>
    </row>
    <row r="4" spans="1:3" x14ac:dyDescent="0.25">
      <c r="B4" s="17">
        <f t="shared" si="0"/>
        <v>0</v>
      </c>
      <c r="C4" s="24">
        <f t="shared" si="1"/>
        <v>0</v>
      </c>
    </row>
    <row r="5" spans="1:3" x14ac:dyDescent="0.25">
      <c r="B5" s="17">
        <f t="shared" si="0"/>
        <v>0</v>
      </c>
      <c r="C5" s="24">
        <f t="shared" si="1"/>
        <v>0</v>
      </c>
    </row>
    <row r="6" spans="1:3" x14ac:dyDescent="0.25">
      <c r="B6" s="17">
        <f t="shared" si="0"/>
        <v>0</v>
      </c>
      <c r="C6" s="24">
        <f t="shared" si="1"/>
        <v>0</v>
      </c>
    </row>
    <row r="7" spans="1:3" x14ac:dyDescent="0.25">
      <c r="B7" s="17">
        <f t="shared" si="0"/>
        <v>0</v>
      </c>
      <c r="C7" s="24">
        <f t="shared" si="1"/>
        <v>0</v>
      </c>
    </row>
    <row r="8" spans="1:3" x14ac:dyDescent="0.25">
      <c r="B8" s="17">
        <f t="shared" si="0"/>
        <v>0</v>
      </c>
      <c r="C8" s="24">
        <f t="shared" si="1"/>
        <v>0</v>
      </c>
    </row>
    <row r="9" spans="1:3" x14ac:dyDescent="0.25">
      <c r="B9" s="17">
        <f t="shared" si="0"/>
        <v>0</v>
      </c>
      <c r="C9" s="24">
        <f t="shared" si="1"/>
        <v>0</v>
      </c>
    </row>
    <row r="10" spans="1:3" x14ac:dyDescent="0.25">
      <c r="B10" s="17">
        <f t="shared" si="0"/>
        <v>0</v>
      </c>
      <c r="C10" s="24">
        <f t="shared" si="1"/>
        <v>0</v>
      </c>
    </row>
    <row r="11" spans="1:3" x14ac:dyDescent="0.25">
      <c r="B11" s="17">
        <f t="shared" si="0"/>
        <v>0</v>
      </c>
      <c r="C11" s="24">
        <f t="shared" si="1"/>
        <v>0</v>
      </c>
    </row>
    <row r="12" spans="1:3" x14ac:dyDescent="0.25">
      <c r="B12" s="17">
        <f t="shared" si="0"/>
        <v>0</v>
      </c>
      <c r="C12" s="24">
        <f t="shared" si="1"/>
        <v>0</v>
      </c>
    </row>
    <row r="13" spans="1:3" x14ac:dyDescent="0.25">
      <c r="B13" s="17">
        <f t="shared" si="0"/>
        <v>0</v>
      </c>
      <c r="C13" s="24">
        <f t="shared" si="1"/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I14" sqref="I14"/>
    </sheetView>
  </sheetViews>
  <sheetFormatPr defaultRowHeight="15" x14ac:dyDescent="0.25"/>
  <sheetData>
    <row r="1" spans="1:18" x14ac:dyDescent="0.25">
      <c r="A1" s="25" t="s">
        <v>133</v>
      </c>
      <c r="B1" s="25" t="s">
        <v>134</v>
      </c>
      <c r="C1" s="25" t="s">
        <v>95</v>
      </c>
      <c r="D1" s="25" t="s">
        <v>87</v>
      </c>
      <c r="E1" s="25" t="s">
        <v>82</v>
      </c>
      <c r="F1" s="25" t="s">
        <v>76</v>
      </c>
      <c r="G1" s="26">
        <v>2.0000000000000002E-5</v>
      </c>
      <c r="H1" s="25">
        <v>3.0787</v>
      </c>
      <c r="I1" s="25" t="s">
        <v>56</v>
      </c>
      <c r="J1" s="25" t="s">
        <v>57</v>
      </c>
      <c r="K1" s="25" t="s">
        <v>58</v>
      </c>
      <c r="L1" s="25" t="s">
        <v>96</v>
      </c>
      <c r="M1" s="25"/>
      <c r="N1" s="25">
        <v>0.85299999999999998</v>
      </c>
      <c r="O1" s="25">
        <v>0</v>
      </c>
      <c r="P1" s="25" t="s">
        <v>97</v>
      </c>
      <c r="Q1" s="25" t="s">
        <v>61</v>
      </c>
      <c r="R1" s="25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RowHeight="15" x14ac:dyDescent="0.25"/>
  <cols>
    <col min="1" max="1" width="26.5703125" customWidth="1"/>
    <col min="2" max="2" width="27.42578125" customWidth="1"/>
    <col min="3" max="3" width="26.5703125" customWidth="1"/>
  </cols>
  <sheetData>
    <row r="1" spans="1:3" s="1" customFormat="1" x14ac:dyDescent="0.25">
      <c r="A1" s="1" t="s">
        <v>54</v>
      </c>
      <c r="B1" s="1" t="s">
        <v>84</v>
      </c>
      <c r="C1" s="1" t="s">
        <v>78</v>
      </c>
    </row>
    <row r="2" spans="1:3" x14ac:dyDescent="0.25">
      <c r="A2">
        <v>5</v>
      </c>
      <c r="C2">
        <f>(0.00000977*10^3.09)*A2^3.09</f>
        <v>1.7366483063177294</v>
      </c>
    </row>
    <row r="3" spans="1:3" x14ac:dyDescent="0.25">
      <c r="A3">
        <v>10</v>
      </c>
      <c r="C3" s="6">
        <f t="shared" ref="C3:C5" si="0">(0.00000977*10^3.09)*A3^3.09</f>
        <v>14.787493397221773</v>
      </c>
    </row>
    <row r="4" spans="1:3" x14ac:dyDescent="0.25">
      <c r="A4">
        <v>15</v>
      </c>
      <c r="C4" s="6">
        <f t="shared" si="0"/>
        <v>51.762656218226844</v>
      </c>
    </row>
    <row r="5" spans="1:3" x14ac:dyDescent="0.25">
      <c r="A5">
        <v>20</v>
      </c>
      <c r="C5" s="6">
        <f t="shared" si="0"/>
        <v>125.91493636183013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G1" sqref="G1"/>
    </sheetView>
  </sheetViews>
  <sheetFormatPr defaultRowHeight="15" x14ac:dyDescent="0.25"/>
  <sheetData>
    <row r="1" spans="1:18" x14ac:dyDescent="0.25">
      <c r="A1" s="7" t="s">
        <v>49</v>
      </c>
      <c r="B1" s="7" t="s">
        <v>79</v>
      </c>
      <c r="C1" s="7" t="s">
        <v>80</v>
      </c>
      <c r="D1" s="7" t="s">
        <v>81</v>
      </c>
      <c r="E1" s="7" t="s">
        <v>82</v>
      </c>
      <c r="F1" s="7" t="s">
        <v>76</v>
      </c>
      <c r="G1" s="8">
        <v>9.7699999999999996E-6</v>
      </c>
      <c r="H1" s="7">
        <v>3.09</v>
      </c>
      <c r="I1" s="7" t="s">
        <v>56</v>
      </c>
      <c r="J1" s="7" t="s">
        <v>57</v>
      </c>
      <c r="K1" s="7" t="s">
        <v>54</v>
      </c>
      <c r="L1" s="7" t="s">
        <v>83</v>
      </c>
      <c r="M1" s="7"/>
      <c r="N1" s="7" t="s">
        <v>76</v>
      </c>
      <c r="O1" s="7" t="s">
        <v>76</v>
      </c>
      <c r="P1" s="7" t="s">
        <v>76</v>
      </c>
      <c r="Q1" s="7"/>
      <c r="R1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1"/>
    </sheetView>
  </sheetViews>
  <sheetFormatPr defaultRowHeight="15" x14ac:dyDescent="0.25"/>
  <cols>
    <col min="1" max="3" width="27.140625" customWidth="1"/>
  </cols>
  <sheetData>
    <row r="1" spans="1:3" s="1" customFormat="1" x14ac:dyDescent="0.25">
      <c r="A1" s="1" t="s">
        <v>54</v>
      </c>
      <c r="B1" s="1" t="s">
        <v>84</v>
      </c>
      <c r="C1" s="1" t="s">
        <v>78</v>
      </c>
    </row>
    <row r="2" spans="1:3" x14ac:dyDescent="0.25">
      <c r="A2">
        <v>5</v>
      </c>
      <c r="C2">
        <f>(0.00000631*10^3.136)*A2^3.136</f>
        <v>1.3427627747265714</v>
      </c>
    </row>
    <row r="3" spans="1:3" x14ac:dyDescent="0.25">
      <c r="A3">
        <v>10</v>
      </c>
      <c r="C3" s="6">
        <f t="shared" ref="C3:C5" si="0">(0.00000631*10^3.136)*A3^3.136</f>
        <v>11.804004305708224</v>
      </c>
    </row>
    <row r="4" spans="1:3" x14ac:dyDescent="0.25">
      <c r="A4">
        <v>15</v>
      </c>
      <c r="C4" s="6">
        <f t="shared" si="0"/>
        <v>42.097038797992646</v>
      </c>
    </row>
    <row r="5" spans="1:3" x14ac:dyDescent="0.25">
      <c r="A5">
        <v>20</v>
      </c>
      <c r="C5" s="6">
        <f t="shared" si="0"/>
        <v>103.76703932498495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Species</vt:lpstr>
      <vt:lpstr>Blacksmith</vt:lpstr>
      <vt:lpstr>CHPU Eq</vt:lpstr>
      <vt:lpstr>Senorita</vt:lpstr>
      <vt:lpstr>OXCA Eq</vt:lpstr>
      <vt:lpstr>BlueRock</vt:lpstr>
      <vt:lpstr>SEMY Eq</vt:lpstr>
      <vt:lpstr>Olive</vt:lpstr>
      <vt:lpstr>SESE Eq</vt:lpstr>
      <vt:lpstr>Kelpbass</vt:lpstr>
      <vt:lpstr>PACL Eq</vt:lpstr>
      <vt:lpstr>KelpRockfish</vt:lpstr>
      <vt:lpstr>SEAT Eq</vt:lpstr>
      <vt:lpstr>Black Perch</vt:lpstr>
      <vt:lpstr>EMJA Eq</vt:lpstr>
      <vt:lpstr>Garibaldi</vt:lpstr>
      <vt:lpstr>HYRU Eq</vt:lpstr>
      <vt:lpstr>Sheephead</vt:lpstr>
      <vt:lpstr>SEPU Eq</vt:lpstr>
      <vt:lpstr>Striped Perch</vt:lpstr>
      <vt:lpstr>EMLA Eq</vt:lpstr>
      <vt:lpstr>Pile Perch</vt:lpstr>
      <vt:lpstr>RHVA Eq</vt:lpstr>
      <vt:lpstr>Rock Wrasse</vt:lpstr>
      <vt:lpstr>HASE Eq</vt:lpstr>
      <vt:lpstr>Bocaccio</vt:lpstr>
      <vt:lpstr>SEPA Eq</vt:lpstr>
      <vt:lpstr>Halfmoon</vt:lpstr>
      <vt:lpstr>MECA Eq</vt:lpstr>
      <vt:lpstr>Ocean Whitefish</vt:lpstr>
      <vt:lpstr>CAPR Eq</vt:lpstr>
      <vt:lpstr>Black and Yellow</vt:lpstr>
      <vt:lpstr>SECH Eq</vt:lpstr>
      <vt:lpstr>Treefish</vt:lpstr>
      <vt:lpstr>SEBSER Eq</vt:lpstr>
      <vt:lpstr>Copper Rockfish</vt:lpstr>
      <vt:lpstr>SECA Eq</vt:lpstr>
      <vt:lpstr>Cabezon</vt:lpstr>
      <vt:lpstr>SCMA Eq</vt:lpstr>
      <vt:lpstr>Opaleye</vt:lpstr>
      <vt:lpstr>GINI Eq</vt:lpstr>
      <vt:lpstr>Lingcod</vt:lpstr>
      <vt:lpstr>OPEL Eq</vt:lpstr>
      <vt:lpstr>Gopher Rockfish</vt:lpstr>
      <vt:lpstr>SEBCAR Eq</vt:lpstr>
      <vt:lpstr>Shiner Surfperch</vt:lpstr>
      <vt:lpstr>CYAG Eq</vt:lpstr>
      <vt:lpstr>Scorpionfish</vt:lpstr>
      <vt:lpstr>SCGU Eq</vt:lpstr>
      <vt:lpstr>rubberlip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House, Parker Henry</dc:creator>
  <cp:lastModifiedBy>Joshua Sprague</cp:lastModifiedBy>
  <dcterms:created xsi:type="dcterms:W3CDTF">2016-06-15T19:12:48Z</dcterms:created>
  <dcterms:modified xsi:type="dcterms:W3CDTF">2016-09-09T22:04:43Z</dcterms:modified>
</cp:coreProperties>
</file>