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 Cunha\Desktop\TripSense Empreededorismo\"/>
    </mc:Choice>
  </mc:AlternateContent>
  <xr:revisionPtr revIDLastSave="0" documentId="13_ncr:1_{D9931DF5-170F-4FBA-9A12-CE23AC062E74}" xr6:coauthVersionLast="47" xr6:coauthVersionMax="47" xr10:uidLastSave="{00000000-0000-0000-0000-000000000000}"/>
  <bookViews>
    <workbookView xWindow="12800" yWindow="0" windowWidth="12800" windowHeight="15540" xr2:uid="{00000000-000D-0000-FFFF-FFFF00000000}"/>
  </bookViews>
  <sheets>
    <sheet name="Benchmark 1" sheetId="11" r:id="rId1"/>
    <sheet name="Benchmark 2" sheetId="10" r:id="rId2"/>
    <sheet name="finicia 2023" sheetId="5" r:id="rId3"/>
    <sheet name="finicia 2024" sheetId="4" r:id="rId4"/>
    <sheet name="finicia 2025" sheetId="6" r:id="rId5"/>
    <sheet name="finicia 2026" sheetId="7" r:id="rId6"/>
    <sheet name="finicia 2027" sheetId="8" r:id="rId7"/>
    <sheet name="finicia 2028" sheetId="9" r:id="rId8"/>
    <sheet name="Sheet1" sheetId="2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7" i="11" l="1"/>
  <c r="E37" i="11"/>
  <c r="I37" i="11"/>
  <c r="J37" i="11"/>
  <c r="K37" i="11"/>
  <c r="L37" i="11"/>
  <c r="P38" i="11"/>
  <c r="Q38" i="11"/>
  <c r="R38" i="11"/>
  <c r="S38" i="11"/>
  <c r="C40" i="11"/>
  <c r="C41" i="11"/>
  <c r="C42" i="11"/>
  <c r="H5" i="10"/>
  <c r="T5" i="10"/>
  <c r="H6" i="10"/>
  <c r="T6" i="10"/>
  <c r="H7" i="10"/>
  <c r="T7" i="10"/>
  <c r="H8" i="10"/>
  <c r="H48" i="10" s="1"/>
  <c r="T8" i="10"/>
  <c r="H9" i="10"/>
  <c r="T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3" i="10"/>
  <c r="H44" i="10"/>
  <c r="H45" i="10"/>
  <c r="H46" i="10"/>
  <c r="H47" i="10"/>
  <c r="D48" i="10"/>
  <c r="E48" i="10"/>
  <c r="F48" i="10"/>
  <c r="G48" i="10"/>
  <c r="H30" i="9" l="1"/>
  <c r="H29" i="9"/>
  <c r="H28" i="9"/>
  <c r="E28" i="9"/>
  <c r="H27" i="9"/>
  <c r="S21" i="9"/>
  <c r="Q21" i="9"/>
  <c r="Q20" i="9"/>
  <c r="Q22" i="9" s="1"/>
  <c r="Q4" i="9" s="1"/>
  <c r="S17" i="9"/>
  <c r="S16" i="9" a="1"/>
  <c r="S16" i="9" s="1"/>
  <c r="H16" i="9"/>
  <c r="J16" i="9" s="1"/>
  <c r="G16" i="9"/>
  <c r="H15" i="9"/>
  <c r="G15" i="9"/>
  <c r="J15" i="9" s="1"/>
  <c r="H14" i="9"/>
  <c r="E14" i="9"/>
  <c r="G14" i="9" s="1"/>
  <c r="J14" i="9" s="1"/>
  <c r="J17" i="9" s="1"/>
  <c r="R12" i="9"/>
  <c r="S11" i="9"/>
  <c r="T11" i="9" s="1"/>
  <c r="S10" i="9"/>
  <c r="T10" i="9" s="1"/>
  <c r="G10" i="9"/>
  <c r="D10" i="9"/>
  <c r="F10" i="9" s="1"/>
  <c r="H10" i="9" s="1"/>
  <c r="S9" i="9"/>
  <c r="T9" i="9" s="1"/>
  <c r="G9" i="9"/>
  <c r="D9" i="9"/>
  <c r="F9" i="9" s="1"/>
  <c r="S8" i="9"/>
  <c r="T8" i="9" s="1"/>
  <c r="N8" i="9"/>
  <c r="G8" i="9"/>
  <c r="F8" i="9"/>
  <c r="H8" i="9" s="1"/>
  <c r="S7" i="9"/>
  <c r="T7" i="9" s="1"/>
  <c r="G7" i="9"/>
  <c r="F7" i="9"/>
  <c r="H7" i="9" s="1"/>
  <c r="AE6" i="9"/>
  <c r="S6" i="9"/>
  <c r="T6" i="9" s="1"/>
  <c r="N6" i="9"/>
  <c r="G6" i="9"/>
  <c r="H6" i="9" s="1"/>
  <c r="F6" i="9"/>
  <c r="D6" i="9"/>
  <c r="S5" i="9"/>
  <c r="T5" i="9" s="1"/>
  <c r="G5" i="9"/>
  <c r="D5" i="9"/>
  <c r="F5" i="9" s="1"/>
  <c r="H4" i="9"/>
  <c r="G4" i="9"/>
  <c r="F4" i="9"/>
  <c r="S3" i="9"/>
  <c r="T3" i="9" s="1"/>
  <c r="G3" i="9"/>
  <c r="F3" i="9"/>
  <c r="H3" i="9" s="1"/>
  <c r="G2" i="9"/>
  <c r="F2" i="9"/>
  <c r="H2" i="9" s="1"/>
  <c r="J2" i="9" s="1"/>
  <c r="H29" i="8"/>
  <c r="H28" i="8"/>
  <c r="E28" i="8"/>
  <c r="H27" i="8"/>
  <c r="S21" i="8"/>
  <c r="Q21" i="8"/>
  <c r="Q20" i="8"/>
  <c r="Q22" i="8" s="1"/>
  <c r="Q4" i="8" s="1"/>
  <c r="S17" i="8"/>
  <c r="S16" i="8"/>
  <c r="S16" i="8" a="1"/>
  <c r="H16" i="8"/>
  <c r="G16" i="8"/>
  <c r="J16" i="8" s="1"/>
  <c r="H15" i="8"/>
  <c r="G15" i="8"/>
  <c r="J15" i="8" s="1"/>
  <c r="E15" i="8"/>
  <c r="H14" i="8"/>
  <c r="E14" i="8"/>
  <c r="G14" i="8" s="1"/>
  <c r="J14" i="8" s="1"/>
  <c r="R12" i="8"/>
  <c r="S11" i="8"/>
  <c r="T11" i="8" s="1"/>
  <c r="S10" i="8"/>
  <c r="T10" i="8" s="1"/>
  <c r="G10" i="8"/>
  <c r="D10" i="8"/>
  <c r="F10" i="8" s="1"/>
  <c r="H10" i="8" s="1"/>
  <c r="S9" i="8"/>
  <c r="T9" i="8" s="1"/>
  <c r="G9" i="8"/>
  <c r="F9" i="8"/>
  <c r="K9" i="8" s="1"/>
  <c r="D9" i="8"/>
  <c r="S8" i="8"/>
  <c r="T8" i="8" s="1"/>
  <c r="N8" i="8"/>
  <c r="G8" i="8"/>
  <c r="F8" i="8"/>
  <c r="H8" i="8" s="1"/>
  <c r="S7" i="8"/>
  <c r="T7" i="8" s="1"/>
  <c r="G7" i="8"/>
  <c r="F7" i="8"/>
  <c r="H7" i="8" s="1"/>
  <c r="AE6" i="8"/>
  <c r="S6" i="8"/>
  <c r="T6" i="8" s="1"/>
  <c r="N6" i="8"/>
  <c r="G6" i="8"/>
  <c r="H6" i="8" s="1"/>
  <c r="F6" i="8"/>
  <c r="D6" i="8"/>
  <c r="T5" i="8"/>
  <c r="S5" i="8"/>
  <c r="G5" i="8"/>
  <c r="D5" i="8"/>
  <c r="F5" i="8" s="1"/>
  <c r="H4" i="8"/>
  <c r="G4" i="8"/>
  <c r="F4" i="8"/>
  <c r="S3" i="8"/>
  <c r="T3" i="8" s="1"/>
  <c r="G3" i="8"/>
  <c r="F3" i="8"/>
  <c r="H3" i="8" s="1"/>
  <c r="G2" i="8"/>
  <c r="H2" i="8" s="1"/>
  <c r="F2" i="8"/>
  <c r="H28" i="7"/>
  <c r="H27" i="7"/>
  <c r="D5" i="7"/>
  <c r="E28" i="7"/>
  <c r="S21" i="7"/>
  <c r="Q21" i="7"/>
  <c r="Q20" i="7"/>
  <c r="Q22" i="7" s="1"/>
  <c r="Q4" i="7" s="1"/>
  <c r="S17" i="7"/>
  <c r="S16" i="7" a="1"/>
  <c r="S16" i="7" s="1"/>
  <c r="H16" i="7"/>
  <c r="E16" i="7"/>
  <c r="G16" i="7" s="1"/>
  <c r="J16" i="7" s="1"/>
  <c r="H15" i="7"/>
  <c r="E15" i="7"/>
  <c r="G15" i="7" s="1"/>
  <c r="J15" i="7" s="1"/>
  <c r="H14" i="7"/>
  <c r="E14" i="7"/>
  <c r="G14" i="7" s="1"/>
  <c r="J14" i="7" s="1"/>
  <c r="R12" i="7"/>
  <c r="S11" i="7"/>
  <c r="T11" i="7" s="1"/>
  <c r="T10" i="7"/>
  <c r="S10" i="7"/>
  <c r="G10" i="7"/>
  <c r="D10" i="7"/>
  <c r="F10" i="7" s="1"/>
  <c r="H10" i="7" s="1"/>
  <c r="S9" i="7"/>
  <c r="T9" i="7" s="1"/>
  <c r="G9" i="7"/>
  <c r="D9" i="7"/>
  <c r="F9" i="7" s="1"/>
  <c r="S8" i="7"/>
  <c r="T8" i="7" s="1"/>
  <c r="N8" i="7"/>
  <c r="G8" i="7"/>
  <c r="H8" i="7" s="1"/>
  <c r="F8" i="7"/>
  <c r="S7" i="7"/>
  <c r="T7" i="7" s="1"/>
  <c r="G7" i="7"/>
  <c r="F7" i="7"/>
  <c r="H7" i="7" s="1"/>
  <c r="AE6" i="7"/>
  <c r="S6" i="7"/>
  <c r="T6" i="7" s="1"/>
  <c r="N6" i="7"/>
  <c r="G6" i="7"/>
  <c r="F6" i="7"/>
  <c r="H6" i="7" s="1"/>
  <c r="D6" i="7"/>
  <c r="S5" i="7"/>
  <c r="T5" i="7" s="1"/>
  <c r="G5" i="7"/>
  <c r="F5" i="7"/>
  <c r="G4" i="7"/>
  <c r="H4" i="7" s="1"/>
  <c r="F4" i="7"/>
  <c r="S3" i="7"/>
  <c r="T3" i="7" s="1"/>
  <c r="G3" i="7"/>
  <c r="F3" i="7"/>
  <c r="H3" i="7" s="1"/>
  <c r="G2" i="7"/>
  <c r="F2" i="7"/>
  <c r="H2" i="7" s="1"/>
  <c r="H27" i="6"/>
  <c r="D8" i="4"/>
  <c r="E28" i="6"/>
  <c r="S21" i="6"/>
  <c r="Q21" i="6"/>
  <c r="Q20" i="6"/>
  <c r="Q22" i="6" s="1"/>
  <c r="Q4" i="6" s="1"/>
  <c r="S17" i="6"/>
  <c r="S16" i="6" a="1"/>
  <c r="S16" i="6" s="1"/>
  <c r="H16" i="6"/>
  <c r="E16" i="6"/>
  <c r="G16" i="6" s="1"/>
  <c r="J16" i="6" s="1"/>
  <c r="H15" i="6"/>
  <c r="E15" i="6"/>
  <c r="G15" i="6" s="1"/>
  <c r="J15" i="6" s="1"/>
  <c r="H14" i="6"/>
  <c r="E14" i="6"/>
  <c r="G14" i="6" s="1"/>
  <c r="J14" i="6" s="1"/>
  <c r="J17" i="6" s="1"/>
  <c r="R12" i="6"/>
  <c r="S11" i="6"/>
  <c r="T11" i="6" s="1"/>
  <c r="T10" i="6"/>
  <c r="S10" i="6"/>
  <c r="G10" i="6"/>
  <c r="F10" i="6"/>
  <c r="H10" i="6" s="1"/>
  <c r="D10" i="6"/>
  <c r="S9" i="6"/>
  <c r="T9" i="6" s="1"/>
  <c r="G9" i="6"/>
  <c r="D9" i="6"/>
  <c r="F9" i="6" s="1"/>
  <c r="H9" i="6" s="1"/>
  <c r="S8" i="6"/>
  <c r="T8" i="6" s="1"/>
  <c r="N8" i="6"/>
  <c r="G8" i="6"/>
  <c r="F8" i="6"/>
  <c r="S7" i="6"/>
  <c r="T7" i="6" s="1"/>
  <c r="G7" i="6"/>
  <c r="F7" i="6"/>
  <c r="H7" i="6" s="1"/>
  <c r="AE6" i="6"/>
  <c r="S6" i="6"/>
  <c r="T6" i="6" s="1"/>
  <c r="N6" i="6"/>
  <c r="G6" i="6"/>
  <c r="H6" i="6" s="1"/>
  <c r="F6" i="6"/>
  <c r="D6" i="6"/>
  <c r="T5" i="6"/>
  <c r="S5" i="6"/>
  <c r="G5" i="6"/>
  <c r="D5" i="6"/>
  <c r="F5" i="6" s="1"/>
  <c r="H4" i="6"/>
  <c r="G4" i="6"/>
  <c r="F4" i="6"/>
  <c r="S3" i="6"/>
  <c r="T3" i="6" s="1"/>
  <c r="G3" i="6"/>
  <c r="F3" i="6"/>
  <c r="H3" i="6" s="1"/>
  <c r="G2" i="6"/>
  <c r="F2" i="6"/>
  <c r="H2" i="6" s="1"/>
  <c r="J2" i="6" s="1"/>
  <c r="H27" i="4"/>
  <c r="E28" i="4"/>
  <c r="Q22" i="5"/>
  <c r="Q4" i="5" s="1"/>
  <c r="S21" i="5"/>
  <c r="Q21" i="5"/>
  <c r="Q20" i="5"/>
  <c r="S17" i="5"/>
  <c r="S16" i="5" a="1"/>
  <c r="S16" i="5" s="1"/>
  <c r="H16" i="5"/>
  <c r="G16" i="5"/>
  <c r="J16" i="5" s="1"/>
  <c r="E16" i="5"/>
  <c r="H15" i="5"/>
  <c r="E15" i="5"/>
  <c r="G15" i="5" s="1"/>
  <c r="J15" i="5" s="1"/>
  <c r="H14" i="5"/>
  <c r="G14" i="5"/>
  <c r="J14" i="5" s="1"/>
  <c r="E14" i="5"/>
  <c r="R12" i="5"/>
  <c r="S11" i="5"/>
  <c r="T11" i="5" s="1"/>
  <c r="S10" i="5"/>
  <c r="T10" i="5" s="1"/>
  <c r="G10" i="5"/>
  <c r="D10" i="5"/>
  <c r="F10" i="5" s="1"/>
  <c r="H10" i="5" s="1"/>
  <c r="S9" i="5"/>
  <c r="T9" i="5" s="1"/>
  <c r="G9" i="5"/>
  <c r="D9" i="5"/>
  <c r="F9" i="5" s="1"/>
  <c r="H9" i="5" s="1"/>
  <c r="S8" i="5"/>
  <c r="T8" i="5" s="1"/>
  <c r="N8" i="5"/>
  <c r="G8" i="5"/>
  <c r="D8" i="5"/>
  <c r="F8" i="5" s="1"/>
  <c r="S7" i="5"/>
  <c r="T7" i="5" s="1"/>
  <c r="H7" i="5"/>
  <c r="G7" i="5"/>
  <c r="F7" i="5"/>
  <c r="AE6" i="5"/>
  <c r="S6" i="5"/>
  <c r="T6" i="5" s="1"/>
  <c r="N6" i="5"/>
  <c r="G6" i="5"/>
  <c r="H6" i="5" s="1"/>
  <c r="F6" i="5"/>
  <c r="D6" i="5"/>
  <c r="S5" i="5"/>
  <c r="T5" i="5" s="1"/>
  <c r="G5" i="5"/>
  <c r="D5" i="5"/>
  <c r="F5" i="5" s="1"/>
  <c r="G4" i="5"/>
  <c r="D4" i="5"/>
  <c r="F4" i="5" s="1"/>
  <c r="H4" i="5" s="1"/>
  <c r="S3" i="5"/>
  <c r="T3" i="5" s="1"/>
  <c r="G3" i="5"/>
  <c r="D3" i="5"/>
  <c r="F3" i="5" s="1"/>
  <c r="H3" i="5" s="1"/>
  <c r="G2" i="5"/>
  <c r="D2" i="5"/>
  <c r="F2" i="5" s="1"/>
  <c r="H2" i="5" s="1"/>
  <c r="F2" i="4"/>
  <c r="D5" i="4"/>
  <c r="S4" i="9" l="1"/>
  <c r="S20" i="9"/>
  <c r="Q12" i="9"/>
  <c r="K9" i="9"/>
  <c r="H9" i="9"/>
  <c r="J8" i="9" s="1"/>
  <c r="K6" i="9"/>
  <c r="H5" i="9"/>
  <c r="J5" i="9" s="1"/>
  <c r="S20" i="8"/>
  <c r="Q12" i="8"/>
  <c r="S4" i="8"/>
  <c r="J2" i="8"/>
  <c r="H5" i="8"/>
  <c r="J5" i="8" s="1"/>
  <c r="K6" i="8"/>
  <c r="J17" i="8"/>
  <c r="H9" i="8"/>
  <c r="J8" i="8" s="1"/>
  <c r="J2" i="7"/>
  <c r="J17" i="7"/>
  <c r="K6" i="7"/>
  <c r="H5" i="7"/>
  <c r="J5" i="7" s="1"/>
  <c r="K9" i="7"/>
  <c r="H9" i="7"/>
  <c r="J8" i="7" s="1"/>
  <c r="Q12" i="7"/>
  <c r="S4" i="7"/>
  <c r="S20" i="7"/>
  <c r="K6" i="6"/>
  <c r="H5" i="6"/>
  <c r="J5" i="6" s="1"/>
  <c r="S4" i="6"/>
  <c r="S20" i="6"/>
  <c r="Q12" i="6"/>
  <c r="H8" i="6"/>
  <c r="J8" i="6" s="1"/>
  <c r="J11" i="6" s="1"/>
  <c r="J19" i="6" s="1"/>
  <c r="K9" i="6"/>
  <c r="J2" i="5"/>
  <c r="J17" i="5"/>
  <c r="H5" i="5"/>
  <c r="J5" i="5" s="1"/>
  <c r="K6" i="5"/>
  <c r="K9" i="5"/>
  <c r="H8" i="5"/>
  <c r="J8" i="5" s="1"/>
  <c r="Q12" i="5"/>
  <c r="S20" i="5"/>
  <c r="S4" i="5"/>
  <c r="H2" i="4"/>
  <c r="G2" i="4"/>
  <c r="X3" i="4"/>
  <c r="S21" i="4"/>
  <c r="S20" i="4"/>
  <c r="S17" i="4"/>
  <c r="S16" i="4" a="1"/>
  <c r="S16" i="4" s="1"/>
  <c r="AB4" i="4"/>
  <c r="N8" i="4"/>
  <c r="G14" i="4"/>
  <c r="J14" i="4"/>
  <c r="AE6" i="4"/>
  <c r="X5" i="4"/>
  <c r="Q12" i="4"/>
  <c r="AB3" i="4" s="1"/>
  <c r="S10" i="4"/>
  <c r="T10" i="4" s="1"/>
  <c r="S11" i="4"/>
  <c r="T11" i="4" s="1"/>
  <c r="R12" i="4"/>
  <c r="S5" i="4"/>
  <c r="T5" i="4" s="1"/>
  <c r="S6" i="4"/>
  <c r="T6" i="4" s="1"/>
  <c r="S7" i="4"/>
  <c r="T7" i="4" s="1"/>
  <c r="S8" i="4"/>
  <c r="T8" i="4" s="1"/>
  <c r="S9" i="4"/>
  <c r="T9" i="4" s="1"/>
  <c r="S3" i="4"/>
  <c r="T3" i="4" s="1"/>
  <c r="Q21" i="4"/>
  <c r="Q20" i="4"/>
  <c r="Q22" i="4" s="1"/>
  <c r="Q4" i="4" s="1"/>
  <c r="S4" i="4" s="1"/>
  <c r="T4" i="4" s="1"/>
  <c r="N6" i="4"/>
  <c r="F4" i="4"/>
  <c r="F3" i="4"/>
  <c r="D6" i="4"/>
  <c r="F6" i="4" s="1"/>
  <c r="D10" i="4"/>
  <c r="F10" i="4" s="1"/>
  <c r="D9" i="4"/>
  <c r="F9" i="4" s="1"/>
  <c r="F8" i="4"/>
  <c r="K9" i="4" s="1"/>
  <c r="H16" i="4"/>
  <c r="E16" i="4"/>
  <c r="G16" i="4" s="1"/>
  <c r="H15" i="4"/>
  <c r="E15" i="4"/>
  <c r="G15" i="4" s="1"/>
  <c r="H14" i="4"/>
  <c r="E14" i="4"/>
  <c r="G10" i="4"/>
  <c r="G9" i="4"/>
  <c r="G8" i="4"/>
  <c r="G7" i="4"/>
  <c r="F7" i="4"/>
  <c r="H7" i="4" s="1"/>
  <c r="G6" i="4"/>
  <c r="G5" i="4"/>
  <c r="F5" i="4"/>
  <c r="H5" i="4" s="1"/>
  <c r="G4" i="4"/>
  <c r="G3" i="4"/>
  <c r="D10" i="2"/>
  <c r="F10" i="2" s="1"/>
  <c r="D9" i="2"/>
  <c r="F9" i="2" s="1"/>
  <c r="D8" i="2"/>
  <c r="F8" i="2" s="1"/>
  <c r="D7" i="2"/>
  <c r="F7" i="2" s="1"/>
  <c r="D6" i="2"/>
  <c r="F6" i="2" s="1"/>
  <c r="D5" i="2"/>
  <c r="F5" i="2" s="1"/>
  <c r="D4" i="2"/>
  <c r="F4" i="2" s="1"/>
  <c r="D3" i="2"/>
  <c r="F3" i="2" s="1"/>
  <c r="D2" i="2"/>
  <c r="F2" i="2" s="1"/>
  <c r="G10" i="2"/>
  <c r="G9" i="2"/>
  <c r="G8" i="2"/>
  <c r="G7" i="2"/>
  <c r="G6" i="2"/>
  <c r="G5" i="2"/>
  <c r="G15" i="2"/>
  <c r="D15" i="2"/>
  <c r="F15" i="2" s="1"/>
  <c r="H15" i="2" s="1"/>
  <c r="D14" i="2"/>
  <c r="D13" i="2"/>
  <c r="F13" i="2" s="1"/>
  <c r="G14" i="2"/>
  <c r="G13" i="2"/>
  <c r="G3" i="2"/>
  <c r="G4" i="2"/>
  <c r="G2" i="2"/>
  <c r="J11" i="9" l="1"/>
  <c r="J19" i="9" s="1"/>
  <c r="X5" i="9"/>
  <c r="X4" i="9"/>
  <c r="AB4" i="9" s="1"/>
  <c r="X3" i="9"/>
  <c r="AB3" i="9" s="1"/>
  <c r="T4" i="9"/>
  <c r="T12" i="9" s="1"/>
  <c r="S12" i="9"/>
  <c r="J11" i="8"/>
  <c r="J19" i="8" s="1"/>
  <c r="T4" i="8"/>
  <c r="T12" i="8" s="1"/>
  <c r="S12" i="8"/>
  <c r="X5" i="8"/>
  <c r="X3" i="8"/>
  <c r="AB3" i="8" s="1"/>
  <c r="X4" i="8"/>
  <c r="AB4" i="8" s="1"/>
  <c r="X5" i="7"/>
  <c r="X3" i="7"/>
  <c r="AB3" i="7" s="1"/>
  <c r="X4" i="7"/>
  <c r="AB4" i="7" s="1"/>
  <c r="T4" i="7"/>
  <c r="T12" i="7" s="1"/>
  <c r="S12" i="7"/>
  <c r="J11" i="7"/>
  <c r="J19" i="7" s="1"/>
  <c r="X5" i="6"/>
  <c r="X3" i="6"/>
  <c r="AB3" i="6" s="1"/>
  <c r="X4" i="6"/>
  <c r="AB4" i="6" s="1"/>
  <c r="T4" i="6"/>
  <c r="T12" i="6" s="1"/>
  <c r="S12" i="6"/>
  <c r="S12" i="5"/>
  <c r="T4" i="5"/>
  <c r="T12" i="5" s="1"/>
  <c r="X3" i="5"/>
  <c r="AB3" i="5" s="1"/>
  <c r="X4" i="5"/>
  <c r="AB4" i="5" s="1"/>
  <c r="X5" i="5"/>
  <c r="J11" i="5"/>
  <c r="J19" i="5" s="1"/>
  <c r="K6" i="4"/>
  <c r="X4" i="4"/>
  <c r="T12" i="4"/>
  <c r="J15" i="4"/>
  <c r="J16" i="4"/>
  <c r="H8" i="4"/>
  <c r="S12" i="4"/>
  <c r="H9" i="4"/>
  <c r="H10" i="4"/>
  <c r="H6" i="4"/>
  <c r="J5" i="4" s="1"/>
  <c r="H3" i="4"/>
  <c r="H4" i="4"/>
  <c r="H2" i="2"/>
  <c r="H4" i="2"/>
  <c r="H7" i="2"/>
  <c r="H10" i="2"/>
  <c r="H9" i="2"/>
  <c r="H8" i="2"/>
  <c r="H6" i="2"/>
  <c r="H5" i="2"/>
  <c r="H3" i="2"/>
  <c r="F14" i="2"/>
  <c r="H14" i="2" s="1"/>
  <c r="H13" i="2"/>
  <c r="J17" i="4" l="1"/>
  <c r="J8" i="4"/>
  <c r="J2" i="4"/>
  <c r="J11" i="4" l="1"/>
  <c r="J19" i="4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AA4BEE2-A239-465A-B51F-6F13547E8328}" keepAlive="1" name="Query - Simulação" description="Connection to the 'Simulação' query in the workbook." type="5" refreshedVersion="0" background="1" saveData="1">
    <dbPr connection="Provider=Microsoft.Mashup.OleDb.1;Data Source=$Workbook$;Location=Simulação;Extended Properties=&quot;&quot;" command="SELECT * FROM [Simulação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<sst xmlns="http://schemas.openxmlformats.org/spreadsheetml/2006/main" count="956" uniqueCount="175">
  <si>
    <t>população</t>
  </si>
  <si>
    <t>preço</t>
  </si>
  <si>
    <t>plano</t>
  </si>
  <si>
    <t>individual</t>
  </si>
  <si>
    <t>penetração</t>
  </si>
  <si>
    <t>freq</t>
  </si>
  <si>
    <t>vol negocio</t>
  </si>
  <si>
    <t>faturaçao</t>
  </si>
  <si>
    <t>cidade</t>
  </si>
  <si>
    <t>pais</t>
  </si>
  <si>
    <t>personalizado</t>
  </si>
  <si>
    <t>multiple</t>
  </si>
  <si>
    <t>big chains</t>
  </si>
  <si>
    <t>RH</t>
  </si>
  <si>
    <t>Marketing</t>
  </si>
  <si>
    <t>Preço</t>
  </si>
  <si>
    <t>Plano</t>
  </si>
  <si>
    <t>População</t>
  </si>
  <si>
    <t>Penetração</t>
  </si>
  <si>
    <t>Frequência</t>
  </si>
  <si>
    <t>Volume Negócio</t>
  </si>
  <si>
    <t>Faturação</t>
  </si>
  <si>
    <t>Total Respostas</t>
  </si>
  <si>
    <t>Faturação Categoria</t>
  </si>
  <si>
    <t>Recursos Humanos</t>
  </si>
  <si>
    <t>Departamento</t>
  </si>
  <si>
    <t>Nº Pessoas</t>
  </si>
  <si>
    <t>Juridico</t>
  </si>
  <si>
    <t>Comercial</t>
  </si>
  <si>
    <t>IT</t>
  </si>
  <si>
    <t>Nº Comerciais</t>
  </si>
  <si>
    <t>Pontos Visita</t>
  </si>
  <si>
    <t>Nº Visitas p/Mês</t>
  </si>
  <si>
    <t>Tempo p/Visita</t>
  </si>
  <si>
    <t>Total Horas</t>
  </si>
  <si>
    <t>Horas Trabalho Anuais</t>
  </si>
  <si>
    <t>Total Trabalhadores</t>
  </si>
  <si>
    <t>Total Salários Mensal</t>
  </si>
  <si>
    <t>Total Salários Annual</t>
  </si>
  <si>
    <t>Administrativo</t>
  </si>
  <si>
    <t>Financeiro</t>
  </si>
  <si>
    <t>Nº empresas</t>
  </si>
  <si>
    <t>Nº mensagens</t>
  </si>
  <si>
    <t>Custo por clique</t>
  </si>
  <si>
    <t>Custo por view</t>
  </si>
  <si>
    <t>Nº contatos</t>
  </si>
  <si>
    <t>Valor Marketing</t>
  </si>
  <si>
    <t>Total Subscrições + Serviços</t>
  </si>
  <si>
    <t>Total</t>
  </si>
  <si>
    <t>Aluguer de Espaço</t>
  </si>
  <si>
    <t>Hardware</t>
  </si>
  <si>
    <t>Software</t>
  </si>
  <si>
    <t>hardware - pc + telemovel + servidor</t>
  </si>
  <si>
    <t>Salário Médio</t>
  </si>
  <si>
    <t>Limpeza</t>
  </si>
  <si>
    <t>Manutenção Hardware</t>
  </si>
  <si>
    <t>software - office + powerbi + adobe + primavera</t>
  </si>
  <si>
    <t>annual</t>
  </si>
  <si>
    <t>mes</t>
  </si>
  <si>
    <t>Internet+SIM</t>
  </si>
  <si>
    <t>Gastos</t>
  </si>
  <si>
    <t>x</t>
  </si>
  <si>
    <t>Análise de Cenários</t>
  </si>
  <si>
    <t>Controlo Humano sobre a Tecnologia</t>
  </si>
  <si>
    <t>Possui uma Missão/Propóstio</t>
  </si>
  <si>
    <t>Oferta de serviços adicionais sem necessidade de subscrição</t>
  </si>
  <si>
    <t>Personalização de Palavras-Chave</t>
  </si>
  <si>
    <t>Notificações de novas avaliações</t>
  </si>
  <si>
    <t>Fontes de Dados Adicionais</t>
  </si>
  <si>
    <t>Machine Learning</t>
  </si>
  <si>
    <t>Algoritmos otimizados para cada setor</t>
  </si>
  <si>
    <t>Medir ROI de campanhas</t>
  </si>
  <si>
    <t>Identificar tendencias de mercado</t>
  </si>
  <si>
    <t>Exportar relatório em diferentes formatos (pdf, xls, jpg)</t>
  </si>
  <si>
    <t>Relatórios prontos para apresentações</t>
  </si>
  <si>
    <t>Relatórios Diários/Semanais/Mensais</t>
  </si>
  <si>
    <t>Deteção automática de pais do comentário</t>
  </si>
  <si>
    <t>benchmarking</t>
  </si>
  <si>
    <t xml:space="preserve">Filtros de analise </t>
  </si>
  <si>
    <t>Serviços adicionais estabelecidos</t>
  </si>
  <si>
    <t>Oferta de formação</t>
  </si>
  <si>
    <t>Foco num único setor</t>
  </si>
  <si>
    <t>Gestão de Crise</t>
  </si>
  <si>
    <t>Acesso a formação e webinars</t>
  </si>
  <si>
    <t>Acesso a suporte prioritário</t>
  </si>
  <si>
    <t>Análise de concorrência</t>
  </si>
  <si>
    <t>Personalizar fontes de monitorização</t>
  </si>
  <si>
    <t>Acesso a histórico de dados</t>
  </si>
  <si>
    <t>Acesso a Dashboards Personalizados</t>
  </si>
  <si>
    <t>Suporte ao Cliente</t>
  </si>
  <si>
    <t>Acesso a API</t>
  </si>
  <si>
    <t>Relatórios Personalizados</t>
  </si>
  <si>
    <t>Análise de Emoções</t>
  </si>
  <si>
    <t>Análise de Influencers</t>
  </si>
  <si>
    <t>Análise de Intenção</t>
  </si>
  <si>
    <t>Análise de Sentimento</t>
  </si>
  <si>
    <t>Monitorização de Localização</t>
  </si>
  <si>
    <t>Monitorização de Sites de Reviews</t>
  </si>
  <si>
    <t>Monitorização de Imagens</t>
  </si>
  <si>
    <t>Monitorização de Podcasts</t>
  </si>
  <si>
    <t>Monitorização de Vídeos Online</t>
  </si>
  <si>
    <t>Monitorização de Blogs</t>
  </si>
  <si>
    <t>Monitorização de Fóruns</t>
  </si>
  <si>
    <t>Monitorização de Notícias</t>
  </si>
  <si>
    <t>Monitorização de Social Media</t>
  </si>
  <si>
    <t>TripSense</t>
  </si>
  <si>
    <t>BrandWatch</t>
  </si>
  <si>
    <t>NetBased Quid</t>
  </si>
  <si>
    <t>Digimind</t>
  </si>
  <si>
    <t>Funcionalidade
                                                                                      Empresa</t>
  </si>
  <si>
    <t>#</t>
  </si>
  <si>
    <t>Funcionalidade
                                                                                       Empresa</t>
  </si>
  <si>
    <t>NetBase Quid</t>
  </si>
  <si>
    <t>Dgimind</t>
  </si>
  <si>
    <t>NSI</t>
  </si>
  <si>
    <t>Empresa</t>
  </si>
  <si>
    <t>total</t>
  </si>
  <si>
    <t>website</t>
  </si>
  <si>
    <t>twitter</t>
  </si>
  <si>
    <t>facebook</t>
  </si>
  <si>
    <t>Fonte</t>
  </si>
  <si>
    <t>Positiva</t>
  </si>
  <si>
    <t>Neutra</t>
  </si>
  <si>
    <t>Negativa</t>
  </si>
  <si>
    <t>Numero total</t>
  </si>
  <si>
    <t>Sim</t>
  </si>
  <si>
    <t>Não</t>
  </si>
  <si>
    <t>Preços sob orçamento</t>
  </si>
  <si>
    <t>A partir de $1.200</t>
  </si>
  <si>
    <t>A partir de $800</t>
  </si>
  <si>
    <t>Preço Mensal</t>
  </si>
  <si>
    <t>Identificação de Tendências</t>
  </si>
  <si>
    <t>Análise de Proporção de Voz</t>
  </si>
  <si>
    <t>Monitorização de Localizações</t>
  </si>
  <si>
    <t>Mais de 700</t>
  </si>
  <si>
    <t>N/A</t>
  </si>
  <si>
    <t>Análise de Voz do Consumidor</t>
  </si>
  <si>
    <t>Atualizações em Tempo Real</t>
  </si>
  <si>
    <t>Personalizado</t>
  </si>
  <si>
    <t>Mensal ou anual</t>
  </si>
  <si>
    <t>Prazo de Contrato</t>
  </si>
  <si>
    <t>Análise da Concorrência</t>
  </si>
  <si>
    <t>A partir de $4.000</t>
  </si>
  <si>
    <t>A partir de $2.000</t>
  </si>
  <si>
    <t>A partir de $1.000</t>
  </si>
  <si>
    <t>Atribuição de Conversões</t>
  </si>
  <si>
    <t>Até 10.000.000/mês</t>
  </si>
  <si>
    <t>Até 1.000.000/mês</t>
  </si>
  <si>
    <t>Até 250.000/mês</t>
  </si>
  <si>
    <t>Volume de Dados</t>
  </si>
  <si>
    <t>E-learning e treino personalizado</t>
  </si>
  <si>
    <t>E-learning</t>
  </si>
  <si>
    <t>Formação</t>
  </si>
  <si>
    <t>Quantidade de utilizadores</t>
  </si>
  <si>
    <t>Até 5</t>
  </si>
  <si>
    <t>Até 3</t>
  </si>
  <si>
    <t>E-mail e telefone</t>
  </si>
  <si>
    <t>E-mail</t>
  </si>
  <si>
    <t>Mais de 250.000</t>
  </si>
  <si>
    <t>Até 250.000</t>
  </si>
  <si>
    <t>Até 50.000</t>
  </si>
  <si>
    <t>Quantidade de palavras monitoradas</t>
  </si>
  <si>
    <t>Preços personalizados</t>
  </si>
  <si>
    <t>Integração de CRM</t>
  </si>
  <si>
    <t>Enterprise</t>
  </si>
  <si>
    <t>Pro</t>
  </si>
  <si>
    <t>Essentials</t>
  </si>
  <si>
    <t>Recursos / Planos</t>
  </si>
  <si>
    <t>Standard</t>
  </si>
  <si>
    <t>Basic</t>
  </si>
  <si>
    <t>Ultimate</t>
  </si>
  <si>
    <t>Starter</t>
  </si>
  <si>
    <t>brand</t>
  </si>
  <si>
    <t>netbase</t>
  </si>
  <si>
    <t>digimind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</si>
</sst>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164" formatCode="_-* #,##0.00\ [$€-816]_-;\-* #,##0.00\ [$€-816]_-;_-* &quot;-&quot;??\ [$€-816]_-;_-@_-"/>
    <numFmt numFmtId="165" formatCode="0.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Arial"/>
      <family val="2"/>
    </font>
    <font>
      <sz val="10"/>
      <name val="Arial"/>
      <family val="2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4"/>
        <bgColor theme="4"/>
      </patternFill>
    </fill>
  </fills>
  <borders count="3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 diagonalUp="1">
      <left style="thin">
        <color indexed="64"/>
      </left>
      <right style="thin">
        <color indexed="64"/>
      </right>
      <top/>
      <bottom style="thin">
        <color indexed="64"/>
      </bottom>
      <diagonal style="thin">
        <color auto="1"/>
      </diagonal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5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160">
    <xf numFmtId="0" fontId="0" fillId="0" borderId="0" xfId="0"/>
    <xf numFmtId="0" fontId="0" fillId="0" borderId="10" xfId="0" applyBorder="1" applyAlignment="1">
      <alignment horizontal="center"/>
    </xf>
    <xf numFmtId="0" fontId="0" fillId="0" borderId="10" xfId="0" applyBorder="1"/>
    <xf numFmtId="9" fontId="0" fillId="0" borderId="10" xfId="2" applyFont="1" applyBorder="1"/>
    <xf numFmtId="1" fontId="0" fillId="0" borderId="10" xfId="0" applyNumberFormat="1" applyBorder="1"/>
    <xf numFmtId="2" fontId="0" fillId="0" borderId="10" xfId="0" applyNumberFormat="1" applyBorder="1"/>
    <xf numFmtId="164" fontId="0" fillId="0" borderId="10" xfId="1" applyNumberFormat="1" applyFont="1" applyBorder="1"/>
    <xf numFmtId="0" fontId="0" fillId="0" borderId="0" xfId="0" applyAlignment="1">
      <alignment horizontal="center"/>
    </xf>
    <xf numFmtId="0" fontId="16" fillId="0" borderId="10" xfId="0" applyFont="1" applyBorder="1" applyAlignment="1">
      <alignment horizontal="center"/>
    </xf>
    <xf numFmtId="0" fontId="0" fillId="33" borderId="10" xfId="0" applyFill="1" applyBorder="1" applyAlignment="1">
      <alignment horizontal="center"/>
    </xf>
    <xf numFmtId="0" fontId="0" fillId="33" borderId="10" xfId="0" applyFill="1" applyBorder="1"/>
    <xf numFmtId="9" fontId="0" fillId="33" borderId="10" xfId="2" applyFont="1" applyFill="1" applyBorder="1"/>
    <xf numFmtId="1" fontId="0" fillId="33" borderId="10" xfId="0" applyNumberFormat="1" applyFill="1" applyBorder="1"/>
    <xf numFmtId="2" fontId="0" fillId="33" borderId="10" xfId="0" applyNumberFormat="1" applyFill="1" applyBorder="1"/>
    <xf numFmtId="164" fontId="0" fillId="33" borderId="10" xfId="1" applyNumberFormat="1" applyFont="1" applyFill="1" applyBorder="1"/>
    <xf numFmtId="0" fontId="0" fillId="34" borderId="10" xfId="0" applyFill="1" applyBorder="1" applyAlignment="1">
      <alignment horizontal="center"/>
    </xf>
    <xf numFmtId="0" fontId="0" fillId="34" borderId="10" xfId="0" applyFill="1" applyBorder="1"/>
    <xf numFmtId="9" fontId="0" fillId="34" borderId="10" xfId="2" applyFont="1" applyFill="1" applyBorder="1"/>
    <xf numFmtId="1" fontId="0" fillId="34" borderId="10" xfId="0" applyNumberFormat="1" applyFill="1" applyBorder="1"/>
    <xf numFmtId="2" fontId="0" fillId="34" borderId="10" xfId="0" applyNumberFormat="1" applyFill="1" applyBorder="1"/>
    <xf numFmtId="164" fontId="0" fillId="34" borderId="10" xfId="1" applyNumberFormat="1" applyFont="1" applyFill="1" applyBorder="1"/>
    <xf numFmtId="0" fontId="0" fillId="35" borderId="10" xfId="0" applyFill="1" applyBorder="1" applyAlignment="1">
      <alignment horizontal="center"/>
    </xf>
    <xf numFmtId="0" fontId="0" fillId="35" borderId="10" xfId="0" applyFill="1" applyBorder="1"/>
    <xf numFmtId="9" fontId="0" fillId="35" borderId="10" xfId="2" applyFont="1" applyFill="1" applyBorder="1"/>
    <xf numFmtId="1" fontId="0" fillId="35" borderId="10" xfId="0" applyNumberFormat="1" applyFill="1" applyBorder="1"/>
    <xf numFmtId="2" fontId="0" fillId="35" borderId="10" xfId="0" applyNumberFormat="1" applyFill="1" applyBorder="1"/>
    <xf numFmtId="164" fontId="0" fillId="35" borderId="10" xfId="1" applyNumberFormat="1" applyFont="1" applyFill="1" applyBorder="1"/>
    <xf numFmtId="164" fontId="16" fillId="0" borderId="10" xfId="0" applyNumberFormat="1" applyFont="1" applyBorder="1"/>
    <xf numFmtId="0" fontId="0" fillId="33" borderId="13" xfId="0" applyFill="1" applyBorder="1" applyAlignment="1">
      <alignment horizontal="center"/>
    </xf>
    <xf numFmtId="0" fontId="0" fillId="33" borderId="14" xfId="0" applyFill="1" applyBorder="1" applyAlignment="1">
      <alignment horizontal="center"/>
    </xf>
    <xf numFmtId="164" fontId="0" fillId="33" borderId="14" xfId="1" applyNumberFormat="1" applyFont="1" applyFill="1" applyBorder="1"/>
    <xf numFmtId="0" fontId="0" fillId="33" borderId="16" xfId="0" applyFill="1" applyBorder="1" applyAlignment="1">
      <alignment horizontal="center"/>
    </xf>
    <xf numFmtId="0" fontId="0" fillId="33" borderId="18" xfId="0" applyFill="1" applyBorder="1" applyAlignment="1">
      <alignment horizontal="center"/>
    </xf>
    <xf numFmtId="0" fontId="0" fillId="33" borderId="19" xfId="0" applyFill="1" applyBorder="1" applyAlignment="1">
      <alignment horizontal="center"/>
    </xf>
    <xf numFmtId="164" fontId="0" fillId="33" borderId="19" xfId="1" applyNumberFormat="1" applyFont="1" applyFill="1" applyBorder="1"/>
    <xf numFmtId="0" fontId="0" fillId="34" borderId="13" xfId="0" applyFill="1" applyBorder="1" applyAlignment="1">
      <alignment horizontal="center"/>
    </xf>
    <xf numFmtId="0" fontId="0" fillId="34" borderId="14" xfId="0" applyFill="1" applyBorder="1" applyAlignment="1">
      <alignment horizontal="center"/>
    </xf>
    <xf numFmtId="164" fontId="0" fillId="34" borderId="14" xfId="1" applyNumberFormat="1" applyFont="1" applyFill="1" applyBorder="1"/>
    <xf numFmtId="0" fontId="0" fillId="34" borderId="16" xfId="0" applyFill="1" applyBorder="1" applyAlignment="1">
      <alignment horizontal="center"/>
    </xf>
    <xf numFmtId="0" fontId="0" fillId="34" borderId="18" xfId="0" applyFill="1" applyBorder="1" applyAlignment="1">
      <alignment horizontal="center"/>
    </xf>
    <xf numFmtId="0" fontId="0" fillId="34" borderId="19" xfId="0" applyFill="1" applyBorder="1" applyAlignment="1">
      <alignment horizontal="center"/>
    </xf>
    <xf numFmtId="164" fontId="0" fillId="34" borderId="19" xfId="1" applyNumberFormat="1" applyFont="1" applyFill="1" applyBorder="1"/>
    <xf numFmtId="164" fontId="16" fillId="0" borderId="12" xfId="0" applyNumberFormat="1" applyFont="1" applyBorder="1"/>
    <xf numFmtId="0" fontId="0" fillId="35" borderId="13" xfId="0" applyFill="1" applyBorder="1" applyAlignment="1">
      <alignment horizontal="center"/>
    </xf>
    <xf numFmtId="0" fontId="0" fillId="35" borderId="14" xfId="0" applyFill="1" applyBorder="1" applyAlignment="1">
      <alignment horizontal="center"/>
    </xf>
    <xf numFmtId="164" fontId="0" fillId="35" borderId="14" xfId="1" applyNumberFormat="1" applyFont="1" applyFill="1" applyBorder="1"/>
    <xf numFmtId="0" fontId="0" fillId="35" borderId="16" xfId="0" applyFill="1" applyBorder="1" applyAlignment="1">
      <alignment horizontal="center"/>
    </xf>
    <xf numFmtId="0" fontId="0" fillId="35" borderId="18" xfId="0" applyFill="1" applyBorder="1" applyAlignment="1">
      <alignment horizontal="center"/>
    </xf>
    <xf numFmtId="0" fontId="0" fillId="35" borderId="19" xfId="0" applyFill="1" applyBorder="1" applyAlignment="1">
      <alignment horizontal="center"/>
    </xf>
    <xf numFmtId="164" fontId="0" fillId="35" borderId="19" xfId="1" applyNumberFormat="1" applyFont="1" applyFill="1" applyBorder="1"/>
    <xf numFmtId="9" fontId="0" fillId="33" borderId="14" xfId="2" applyFont="1" applyFill="1" applyBorder="1" applyAlignment="1">
      <alignment horizontal="center"/>
    </xf>
    <xf numFmtId="1" fontId="0" fillId="33" borderId="14" xfId="0" applyNumberFormat="1" applyFill="1" applyBorder="1" applyAlignment="1">
      <alignment horizontal="center"/>
    </xf>
    <xf numFmtId="2" fontId="0" fillId="33" borderId="14" xfId="0" applyNumberFormat="1" applyFill="1" applyBorder="1" applyAlignment="1">
      <alignment horizontal="center"/>
    </xf>
    <xf numFmtId="9" fontId="0" fillId="33" borderId="10" xfId="2" applyFont="1" applyFill="1" applyBorder="1" applyAlignment="1">
      <alignment horizontal="center"/>
    </xf>
    <xf numFmtId="1" fontId="0" fillId="33" borderId="10" xfId="0" applyNumberFormat="1" applyFill="1" applyBorder="1" applyAlignment="1">
      <alignment horizontal="center"/>
    </xf>
    <xf numFmtId="2" fontId="0" fillId="33" borderId="10" xfId="0" applyNumberFormat="1" applyFill="1" applyBorder="1" applyAlignment="1">
      <alignment horizontal="center"/>
    </xf>
    <xf numFmtId="9" fontId="0" fillId="33" borderId="19" xfId="2" applyFont="1" applyFill="1" applyBorder="1" applyAlignment="1">
      <alignment horizontal="center"/>
    </xf>
    <xf numFmtId="1" fontId="0" fillId="33" borderId="19" xfId="0" applyNumberFormat="1" applyFill="1" applyBorder="1" applyAlignment="1">
      <alignment horizontal="center"/>
    </xf>
    <xf numFmtId="2" fontId="0" fillId="33" borderId="19" xfId="0" applyNumberFormat="1" applyFill="1" applyBorder="1" applyAlignment="1">
      <alignment horizontal="center"/>
    </xf>
    <xf numFmtId="9" fontId="0" fillId="34" borderId="14" xfId="2" applyFont="1" applyFill="1" applyBorder="1" applyAlignment="1">
      <alignment horizontal="center"/>
    </xf>
    <xf numFmtId="1" fontId="0" fillId="34" borderId="14" xfId="0" applyNumberFormat="1" applyFill="1" applyBorder="1" applyAlignment="1">
      <alignment horizontal="center"/>
    </xf>
    <xf numFmtId="2" fontId="0" fillId="34" borderId="14" xfId="0" applyNumberFormat="1" applyFill="1" applyBorder="1" applyAlignment="1">
      <alignment horizontal="center"/>
    </xf>
    <xf numFmtId="9" fontId="0" fillId="34" borderId="10" xfId="2" applyFont="1" applyFill="1" applyBorder="1" applyAlignment="1">
      <alignment horizontal="center"/>
    </xf>
    <xf numFmtId="1" fontId="0" fillId="34" borderId="10" xfId="0" applyNumberFormat="1" applyFill="1" applyBorder="1" applyAlignment="1">
      <alignment horizontal="center"/>
    </xf>
    <xf numFmtId="2" fontId="0" fillId="34" borderId="10" xfId="0" applyNumberFormat="1" applyFill="1" applyBorder="1" applyAlignment="1">
      <alignment horizontal="center"/>
    </xf>
    <xf numFmtId="9" fontId="0" fillId="34" borderId="19" xfId="2" applyFont="1" applyFill="1" applyBorder="1" applyAlignment="1">
      <alignment horizontal="center"/>
    </xf>
    <xf numFmtId="1" fontId="0" fillId="34" borderId="19" xfId="0" applyNumberFormat="1" applyFill="1" applyBorder="1" applyAlignment="1">
      <alignment horizontal="center"/>
    </xf>
    <xf numFmtId="2" fontId="0" fillId="34" borderId="19" xfId="0" applyNumberFormat="1" applyFill="1" applyBorder="1" applyAlignment="1">
      <alignment horizontal="center"/>
    </xf>
    <xf numFmtId="9" fontId="0" fillId="35" borderId="14" xfId="2" applyFont="1" applyFill="1" applyBorder="1" applyAlignment="1">
      <alignment horizontal="center"/>
    </xf>
    <xf numFmtId="1" fontId="0" fillId="35" borderId="14" xfId="0" applyNumberFormat="1" applyFill="1" applyBorder="1" applyAlignment="1">
      <alignment horizontal="center"/>
    </xf>
    <xf numFmtId="2" fontId="0" fillId="35" borderId="14" xfId="0" applyNumberFormat="1" applyFill="1" applyBorder="1" applyAlignment="1">
      <alignment horizontal="center"/>
    </xf>
    <xf numFmtId="9" fontId="0" fillId="35" borderId="10" xfId="2" applyFont="1" applyFill="1" applyBorder="1" applyAlignment="1">
      <alignment horizontal="center"/>
    </xf>
    <xf numFmtId="1" fontId="0" fillId="35" borderId="10" xfId="0" applyNumberFormat="1" applyFill="1" applyBorder="1" applyAlignment="1">
      <alignment horizontal="center"/>
    </xf>
    <xf numFmtId="2" fontId="0" fillId="35" borderId="10" xfId="0" applyNumberFormat="1" applyFill="1" applyBorder="1" applyAlignment="1">
      <alignment horizontal="center"/>
    </xf>
    <xf numFmtId="9" fontId="0" fillId="35" borderId="19" xfId="2" applyFont="1" applyFill="1" applyBorder="1" applyAlignment="1">
      <alignment horizontal="center"/>
    </xf>
    <xf numFmtId="1" fontId="0" fillId="35" borderId="19" xfId="0" applyNumberFormat="1" applyFill="1" applyBorder="1" applyAlignment="1">
      <alignment horizontal="center"/>
    </xf>
    <xf numFmtId="2" fontId="0" fillId="35" borderId="19" xfId="0" applyNumberFormat="1" applyFill="1" applyBorder="1" applyAlignment="1">
      <alignment horizontal="center"/>
    </xf>
    <xf numFmtId="0" fontId="13" fillId="36" borderId="11" xfId="0" applyFont="1" applyFill="1" applyBorder="1" applyAlignment="1">
      <alignment horizontal="center"/>
    </xf>
    <xf numFmtId="0" fontId="13" fillId="36" borderId="11" xfId="0" applyFont="1" applyFill="1" applyBorder="1"/>
    <xf numFmtId="0" fontId="0" fillId="38" borderId="10" xfId="0" applyFill="1" applyBorder="1"/>
    <xf numFmtId="164" fontId="0" fillId="38" borderId="10" xfId="44" applyNumberFormat="1" applyFont="1" applyFill="1" applyBorder="1"/>
    <xf numFmtId="164" fontId="17" fillId="29" borderId="10" xfId="40" applyNumberFormat="1" applyBorder="1"/>
    <xf numFmtId="0" fontId="16" fillId="37" borderId="10" xfId="0" applyFont="1" applyFill="1" applyBorder="1"/>
    <xf numFmtId="0" fontId="13" fillId="36" borderId="22" xfId="0" applyFont="1" applyFill="1" applyBorder="1" applyAlignment="1">
      <alignment horizontal="center"/>
    </xf>
    <xf numFmtId="9" fontId="0" fillId="0" borderId="10" xfId="2" applyFont="1" applyBorder="1" applyAlignment="1">
      <alignment horizontal="center"/>
    </xf>
    <xf numFmtId="1" fontId="0" fillId="0" borderId="10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0" fontId="16" fillId="37" borderId="10" xfId="0" applyFont="1" applyFill="1" applyBorder="1" applyAlignment="1">
      <alignment horizontal="center"/>
    </xf>
    <xf numFmtId="0" fontId="0" fillId="38" borderId="10" xfId="0" applyFill="1" applyBorder="1" applyAlignment="1">
      <alignment horizontal="center"/>
    </xf>
    <xf numFmtId="164" fontId="0" fillId="0" borderId="0" xfId="0" applyNumberFormat="1"/>
    <xf numFmtId="164" fontId="0" fillId="38" borderId="10" xfId="0" applyNumberFormat="1" applyFill="1" applyBorder="1"/>
    <xf numFmtId="1" fontId="0" fillId="38" borderId="10" xfId="0" applyNumberFormat="1" applyFill="1" applyBorder="1" applyAlignment="1">
      <alignment horizontal="center"/>
    </xf>
    <xf numFmtId="0" fontId="0" fillId="38" borderId="22" xfId="0" applyFill="1" applyBorder="1" applyAlignment="1">
      <alignment horizontal="center"/>
    </xf>
    <xf numFmtId="1" fontId="0" fillId="38" borderId="10" xfId="0" applyNumberFormat="1" applyFill="1" applyBorder="1"/>
    <xf numFmtId="1" fontId="17" fillId="29" borderId="10" xfId="40" applyNumberFormat="1" applyBorder="1" applyAlignment="1">
      <alignment horizontal="center"/>
    </xf>
    <xf numFmtId="0" fontId="16" fillId="37" borderId="0" xfId="0" applyFont="1" applyFill="1" applyAlignment="1">
      <alignment horizontal="center"/>
    </xf>
    <xf numFmtId="164" fontId="0" fillId="0" borderId="0" xfId="44" applyNumberFormat="1" applyFont="1"/>
    <xf numFmtId="0" fontId="0" fillId="37" borderId="10" xfId="0" applyFill="1" applyBorder="1"/>
    <xf numFmtId="0" fontId="0" fillId="37" borderId="22" xfId="0" applyFill="1" applyBorder="1"/>
    <xf numFmtId="1" fontId="0" fillId="0" borderId="0" xfId="0" applyNumberFormat="1"/>
    <xf numFmtId="0" fontId="17" fillId="36" borderId="10" xfId="0" applyFont="1" applyFill="1" applyBorder="1" applyAlignment="1">
      <alignment horizontal="center"/>
    </xf>
    <xf numFmtId="0" fontId="0" fillId="33" borderId="14" xfId="0" applyFill="1" applyBorder="1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0" fillId="33" borderId="19" xfId="0" applyFill="1" applyBorder="1" applyAlignment="1">
      <alignment horizontal="center" vertical="center"/>
    </xf>
    <xf numFmtId="164" fontId="16" fillId="33" borderId="15" xfId="0" applyNumberFormat="1" applyFont="1" applyFill="1" applyBorder="1" applyAlignment="1">
      <alignment horizontal="center" vertical="center"/>
    </xf>
    <xf numFmtId="0" fontId="16" fillId="33" borderId="17" xfId="0" applyFont="1" applyFill="1" applyBorder="1" applyAlignment="1">
      <alignment horizontal="center" vertical="center"/>
    </xf>
    <xf numFmtId="0" fontId="16" fillId="33" borderId="20" xfId="0" applyFont="1" applyFill="1" applyBorder="1" applyAlignment="1">
      <alignment horizontal="center" vertical="center"/>
    </xf>
    <xf numFmtId="0" fontId="0" fillId="34" borderId="14" xfId="0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0" fontId="0" fillId="34" borderId="19" xfId="0" applyFill="1" applyBorder="1" applyAlignment="1">
      <alignment horizontal="center" vertical="center"/>
    </xf>
    <xf numFmtId="164" fontId="16" fillId="34" borderId="15" xfId="0" applyNumberFormat="1" applyFont="1" applyFill="1" applyBorder="1" applyAlignment="1">
      <alignment horizontal="center" vertical="center"/>
    </xf>
    <xf numFmtId="0" fontId="16" fillId="34" borderId="17" xfId="0" applyFont="1" applyFill="1" applyBorder="1" applyAlignment="1">
      <alignment horizontal="center" vertical="center"/>
    </xf>
    <xf numFmtId="0" fontId="16" fillId="34" borderId="20" xfId="0" applyFont="1" applyFill="1" applyBorder="1" applyAlignment="1">
      <alignment horizontal="center" vertical="center"/>
    </xf>
    <xf numFmtId="0" fontId="0" fillId="35" borderId="14" xfId="0" applyFill="1" applyBorder="1" applyAlignment="1">
      <alignment horizontal="center" vertical="center"/>
    </xf>
    <xf numFmtId="0" fontId="0" fillId="35" borderId="10" xfId="0" applyFill="1" applyBorder="1" applyAlignment="1">
      <alignment horizontal="center" vertical="center"/>
    </xf>
    <xf numFmtId="0" fontId="0" fillId="35" borderId="19" xfId="0" applyFill="1" applyBorder="1" applyAlignment="1">
      <alignment horizontal="center" vertical="center"/>
    </xf>
    <xf numFmtId="164" fontId="16" fillId="35" borderId="15" xfId="0" applyNumberFormat="1" applyFont="1" applyFill="1" applyBorder="1" applyAlignment="1">
      <alignment horizontal="center" vertical="center"/>
    </xf>
    <xf numFmtId="0" fontId="16" fillId="35" borderId="17" xfId="0" applyFont="1" applyFill="1" applyBorder="1" applyAlignment="1">
      <alignment horizontal="center" vertical="center"/>
    </xf>
    <xf numFmtId="0" fontId="16" fillId="35" borderId="20" xfId="0" applyFont="1" applyFill="1" applyBorder="1" applyAlignment="1">
      <alignment horizontal="center" vertical="center"/>
    </xf>
    <xf numFmtId="0" fontId="13" fillId="36" borderId="10" xfId="0" applyFont="1" applyFill="1" applyBorder="1" applyAlignment="1">
      <alignment horizontal="center"/>
    </xf>
    <xf numFmtId="0" fontId="16" fillId="37" borderId="10" xfId="0" applyFont="1" applyFill="1" applyBorder="1" applyAlignment="1">
      <alignment horizontal="center"/>
    </xf>
    <xf numFmtId="0" fontId="13" fillId="36" borderId="21" xfId="0" applyFont="1" applyFill="1" applyBorder="1" applyAlignment="1">
      <alignment horizontal="center"/>
    </xf>
    <xf numFmtId="0" fontId="0" fillId="0" borderId="10" xfId="0" applyBorder="1" applyAlignment="1">
      <alignment horizontal="center" vertical="center"/>
    </xf>
    <xf numFmtId="165" fontId="16" fillId="0" borderId="10" xfId="0" applyNumberFormat="1" applyFont="1" applyBorder="1"/>
    <xf numFmtId="0" fontId="16" fillId="0" borderId="10" xfId="0" applyFont="1" applyBorder="1"/>
    <xf numFmtId="0" fontId="0" fillId="0" borderId="11" xfId="0" applyBorder="1"/>
    <xf numFmtId="0" fontId="0" fillId="0" borderId="2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 vertical="center"/>
    </xf>
    <xf numFmtId="0" fontId="0" fillId="39" borderId="0" xfId="0" applyFill="1"/>
    <xf numFmtId="0" fontId="0" fillId="40" borderId="23" xfId="0" applyFill="1" applyBorder="1" applyAlignment="1">
      <alignment horizontal="center"/>
    </xf>
    <xf numFmtId="0" fontId="0" fillId="40" borderId="11" xfId="0" applyFill="1" applyBorder="1" applyAlignment="1">
      <alignment horizontal="center"/>
    </xf>
    <xf numFmtId="0" fontId="0" fillId="41" borderId="11" xfId="0" applyFill="1" applyBorder="1"/>
    <xf numFmtId="0" fontId="0" fillId="41" borderId="24" xfId="0" applyFill="1" applyBorder="1" applyAlignment="1">
      <alignment horizontal="center" vertical="center"/>
    </xf>
    <xf numFmtId="0" fontId="0" fillId="0" borderId="12" xfId="0" applyBorder="1"/>
    <xf numFmtId="0" fontId="13" fillId="42" borderId="21" xfId="0" applyFont="1" applyFill="1" applyBorder="1" applyAlignment="1">
      <alignment horizontal="center" vertical="center"/>
    </xf>
    <xf numFmtId="0" fontId="13" fillId="42" borderId="27" xfId="0" applyFont="1" applyFill="1" applyBorder="1" applyAlignment="1">
      <alignment horizontal="center" vertical="center"/>
    </xf>
    <xf numFmtId="0" fontId="13" fillId="42" borderId="12" xfId="0" applyFont="1" applyFill="1" applyBorder="1" applyAlignment="1">
      <alignment horizontal="center" vertical="center"/>
    </xf>
    <xf numFmtId="0" fontId="13" fillId="42" borderId="28" xfId="0" applyFont="1" applyFill="1" applyBorder="1" applyAlignment="1">
      <alignment wrapText="1"/>
    </xf>
    <xf numFmtId="0" fontId="13" fillId="42" borderId="29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wrapText="1"/>
    </xf>
    <xf numFmtId="0" fontId="0" fillId="0" borderId="29" xfId="0" applyBorder="1" applyAlignment="1">
      <alignment horizontal="center" vertical="center"/>
    </xf>
    <xf numFmtId="0" fontId="18" fillId="0" borderId="0" xfId="0" applyFont="1"/>
    <xf numFmtId="0" fontId="18" fillId="0" borderId="10" xfId="0" applyFont="1" applyBorder="1"/>
    <xf numFmtId="0" fontId="19" fillId="0" borderId="0" xfId="0" applyFont="1" applyAlignment="1">
      <alignment wrapText="1"/>
    </xf>
    <xf numFmtId="0" fontId="18" fillId="0" borderId="0" xfId="0" applyFont="1" applyAlignment="1">
      <alignment wrapText="1"/>
    </xf>
    <xf numFmtId="0" fontId="18" fillId="0" borderId="10" xfId="0" applyFont="1" applyBorder="1" applyAlignment="1">
      <alignment wrapText="1"/>
    </xf>
    <xf numFmtId="0" fontId="18" fillId="0" borderId="22" xfId="0" applyFont="1" applyBorder="1"/>
    <xf numFmtId="0" fontId="18" fillId="0" borderId="0" xfId="0" applyFont="1" applyAlignment="1">
      <alignment horizontal="center"/>
    </xf>
    <xf numFmtId="0" fontId="18" fillId="0" borderId="26" xfId="0" applyFont="1" applyBorder="1" applyAlignment="1">
      <alignment horizontal="center"/>
    </xf>
    <xf numFmtId="0" fontId="18" fillId="0" borderId="30" xfId="0" applyFont="1" applyBorder="1" applyAlignment="1">
      <alignment horizontal="center"/>
    </xf>
    <xf numFmtId="0" fontId="18" fillId="0" borderId="25" xfId="0" applyFont="1" applyBorder="1" applyAlignment="1">
      <alignment horizontal="center"/>
    </xf>
    <xf numFmtId="0" fontId="0" fillId="0" borderId="10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6" fillId="0" borderId="10" xfId="0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</cellXfs>
  <cellStyles count="45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1" builtinId="3"/>
    <cellStyle name="Currency" xfId="44" builtinId="4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Percent" xfId="2" builtinId="5"/>
    <cellStyle name="Title" xfId="3" builtinId="15" customBuiltin="1"/>
    <cellStyle name="Total" xfId="19" builtinId="25" customBuiltin="1"/>
    <cellStyle name="Warning Text" xfId="16" builtinId="11" customBuiltin="1"/>
  </cellStyles>
  <dxfs count="47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right style="thin">
          <color indexed="64"/>
        </right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right style="thin">
          <color indexed="64"/>
        </right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</dxf>
    <dxf>
      <numFmt numFmtId="0" formatCode="General"/>
      <border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colors>
    <mruColors>
      <color rgb="FF2160AF"/>
      <color rgb="FF0125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19" Type="http://schemas.openxmlformats.org/officeDocument/2006/relationships/customXml" Target="../customXml/item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0</xdr:colOff>
      <xdr:row>18</xdr:row>
      <xdr:rowOff>0</xdr:rowOff>
    </xdr:from>
    <xdr:ext cx="615950" cy="190500"/>
    <xdr:pic>
      <xdr:nvPicPr>
        <xdr:cNvPr id="2" name="Picture 1">
          <a:extLst>
            <a:ext uri="{FF2B5EF4-FFF2-40B4-BE49-F238E27FC236}">
              <a16:creationId xmlns:a16="http://schemas.microsoft.com/office/drawing/2014/main" id="{E1B9AEC9-B3D8-47B7-B98B-8F7F13D783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314700"/>
          <a:ext cx="6159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19</xdr:col>
      <xdr:colOff>0</xdr:colOff>
      <xdr:row>4</xdr:row>
      <xdr:rowOff>0</xdr:rowOff>
    </xdr:from>
    <xdr:ext cx="615949" cy="190500"/>
    <xdr:pic>
      <xdr:nvPicPr>
        <xdr:cNvPr id="3" name="Picture 2">
          <a:extLst>
            <a:ext uri="{FF2B5EF4-FFF2-40B4-BE49-F238E27FC236}">
              <a16:creationId xmlns:a16="http://schemas.microsoft.com/office/drawing/2014/main" id="{FEE24C1F-6D72-48B3-BC47-951308FDDB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736600"/>
          <a:ext cx="615949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D2EE660-7311-4EB8-AA48-85C0D65E54D9}" name="Table2" displayName="Table2" ref="I4:M28" totalsRowShown="0">
  <autoFilter ref="I4:M28" xr:uid="{1677FDEE-5C62-4992-AE94-72D2EBF91762}"/>
  <tableColumns count="5">
    <tableColumn id="1" xr3:uid="{92FE4548-4348-48BC-9011-F33F7F64EB22}" name="Recursos / Planos"/>
    <tableColumn id="2" xr3:uid="{84C663AF-A5CC-4873-819B-5C2F343EFA87}" name="Basic" dataDxfId="24"/>
    <tableColumn id="3" xr3:uid="{2AA58AAD-FC91-42B2-813A-8700ABD95995}" name="Standard" dataDxfId="23"/>
    <tableColumn id="4" xr3:uid="{913B3A65-0F3F-4851-BFD6-BB8EC769C084}" name="Pro" dataDxfId="22"/>
    <tableColumn id="5" xr3:uid="{D321624C-A416-47C3-B806-0A0DFA408F4C}" name="Enterprise" dataDxfId="2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2E6A7EF-2608-43D6-BA60-FC041B72DF30}" name="Table3" displayName="Table3" ref="P4:S27" totalsRowShown="0" tableBorderDxfId="20">
  <autoFilter ref="P4:S27" xr:uid="{7748D0D9-84AB-4B0C-846F-76EF13836FEE}"/>
  <tableColumns count="4">
    <tableColumn id="1" xr3:uid="{6039C5EB-9E4D-4669-8D40-A37FD8678BE1}" name="Recursos / Planos" dataDxfId="19"/>
    <tableColumn id="2" xr3:uid="{B711A269-75FE-4A29-B763-C43C68EAF505}" name="Essentials" dataDxfId="18"/>
    <tableColumn id="3" xr3:uid="{46BED29D-C7D6-44FF-B519-0FCC8BB318A8}" name="Pro" dataDxfId="17"/>
    <tableColumn id="4" xr3:uid="{7B5C4357-D882-4905-B1ED-42FA95C471BC}" name="Enterprise" dataDxfId="1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1BF417C-15E8-48F2-B98F-A8F0BB5700A7}" name="Table1" displayName="Table1" ref="B4:E27" totalsRowShown="0">
  <autoFilter ref="B4:E27" xr:uid="{AA03DA75-6D57-45F3-A0E2-CCF5D326D84D}"/>
  <tableColumns count="4">
    <tableColumn id="1" xr3:uid="{7345EB44-F69A-4F72-BB49-3EE0066C1BC2}" name="Recursos / Planos" dataDxfId="15"/>
    <tableColumn id="2" xr3:uid="{059449C2-EFED-4402-97F8-E872F9A27513}" name="Starter" dataDxfId="14"/>
    <tableColumn id="3" xr3:uid="{874DD57E-DA0A-4098-8976-CF5BA2419415}" name="Pro" dataDxfId="13"/>
    <tableColumn id="4" xr3:uid="{D1FC16FF-63D3-4C61-8248-C28C6DF45DC1}" name="Ultimate" dataDxfId="1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F8220A-DB4B-41CD-9A9E-5E42A491A5AA}" name="Table7" displayName="Table7" ref="B4:H47" totalsRowShown="0" headerRowDxfId="46" headerRowBorderDxfId="44" tableBorderDxfId="45" totalsRowBorderDxfId="43">
  <autoFilter ref="B4:H47" xr:uid="{BB1CBAE5-275C-4CE0-BCE4-76EB9D45E424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773E6636-D2F0-4140-8D18-3EE326318A00}" name="#" dataDxfId="42"/>
    <tableColumn id="2" xr3:uid="{FE20430C-8D41-44FD-81F2-739B3B02E1E4}" name="Funcionalidade_x000a__x000a_                                                                                       Empresa" dataDxfId="41"/>
    <tableColumn id="3" xr3:uid="{E258109A-D483-4EB4-AB19-8330F239C2BA}" name="Digimind" dataDxfId="40"/>
    <tableColumn id="4" xr3:uid="{78AD06B1-9706-4E32-A61E-3D3AC56570BA}" name="NetBased Quid" dataDxfId="39"/>
    <tableColumn id="5" xr3:uid="{1E161321-BB5B-4F77-82B4-9B5B922DD35D}" name="BrandWatch" dataDxfId="38"/>
    <tableColumn id="6" xr3:uid="{5E4FB150-6296-42B1-9B48-817C56C5E480}" name="TripSense" dataDxfId="37"/>
    <tableColumn id="7" xr3:uid="{C1EFAB63-FB67-410B-8CC8-07D9BF61438C}" name="Total" dataDxfId="36">
      <calculatedColumnFormula>COUNTIF(Table7[[#This Row],[Digimind]:[TripSense]],1)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9E3DD74-19EA-4C90-BCC6-322319064964}" name="Table4" displayName="Table4" ref="N4:T9" totalsRowShown="0" headerRowDxfId="35" headerRowBorderDxfId="33" tableBorderDxfId="34" totalsRowBorderDxfId="32">
  <autoFilter ref="N4:T9" xr:uid="{F8851172-7904-4E86-9AA6-E5E42A36F4CF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D14E3131-7C0F-4456-83CE-044B6CD0FD72}" name="#" dataDxfId="31"/>
    <tableColumn id="2" xr3:uid="{7F6F9D4D-CD15-46C4-99DD-0F57D28B7075}" name="Funcionalidade_x000a_                                                                                  _x000a_                                                                                      Empresa" dataDxfId="30"/>
    <tableColumn id="3" xr3:uid="{74514B6D-BD20-4126-9A02-C020FED07628}" name="Digimind" dataDxfId="29"/>
    <tableColumn id="4" xr3:uid="{9B761497-5221-4B3E-A5A7-A34265B07B5E}" name="NetBased Quid" dataDxfId="28"/>
    <tableColumn id="5" xr3:uid="{3D4A3974-8230-4E5A-93BE-4A91AD5A482A}" name="BrandWatch" dataDxfId="27"/>
    <tableColumn id="6" xr3:uid="{3C605B54-2722-4B49-8E2E-999635A7549E}" name="TripSense" dataDxfId="26"/>
    <tableColumn id="7" xr3:uid="{54827DF6-E27B-4A23-AA65-80BA7B43EB92}" name="Total" dataDxfId="25">
      <calculatedColumnFormula>COUNTIF(Table4[[#This Row],[Digimind]:[TripSense]],1)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5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264B5-F047-45AE-BA3A-D5787E8BB95D}">
  <dimension ref="A2:Z42"/>
  <sheetViews>
    <sheetView tabSelected="1" topLeftCell="A8" zoomScaleNormal="100" workbookViewId="0">
      <selection activeCell="C40" sqref="C40"/>
    </sheetView>
  </sheetViews>
  <sheetFormatPr defaultRowHeight="14.5" x14ac:dyDescent="0.35"/>
  <cols>
    <col min="2" max="2" width="32.1796875" bestFit="1" customWidth="1"/>
    <col min="3" max="4" width="15.7265625" bestFit="1" customWidth="1"/>
    <col min="5" max="5" width="19.453125" bestFit="1" customWidth="1"/>
    <col min="9" max="9" width="29.26953125" bestFit="1" customWidth="1"/>
    <col min="10" max="10" width="15.7265625" bestFit="1" customWidth="1"/>
    <col min="11" max="11" width="16.54296875" bestFit="1" customWidth="1"/>
    <col min="12" max="12" width="17.54296875" bestFit="1" customWidth="1"/>
    <col min="13" max="13" width="19.453125" bestFit="1" customWidth="1"/>
    <col min="16" max="16" width="27.54296875" bestFit="1" customWidth="1"/>
    <col min="17" max="17" width="14.1796875" bestFit="1" customWidth="1"/>
    <col min="18" max="19" width="28.54296875" bestFit="1" customWidth="1"/>
  </cols>
  <sheetData>
    <row r="2" spans="2:19" x14ac:dyDescent="0.35">
      <c r="B2" t="s">
        <v>174</v>
      </c>
      <c r="I2" t="s">
        <v>173</v>
      </c>
      <c r="P2" t="s">
        <v>172</v>
      </c>
    </row>
    <row r="4" spans="2:19" ht="14.5" customHeight="1" x14ac:dyDescent="0.35">
      <c r="B4" s="159" t="s">
        <v>167</v>
      </c>
      <c r="C4" s="159" t="s">
        <v>171</v>
      </c>
      <c r="D4" s="159" t="s">
        <v>165</v>
      </c>
      <c r="E4" s="159" t="s">
        <v>170</v>
      </c>
      <c r="I4" s="159" t="s">
        <v>167</v>
      </c>
      <c r="J4" s="159" t="s">
        <v>169</v>
      </c>
      <c r="K4" s="159" t="s">
        <v>168</v>
      </c>
      <c r="L4" s="159" t="s">
        <v>165</v>
      </c>
      <c r="M4" s="159" t="s">
        <v>164</v>
      </c>
      <c r="P4" s="158" t="s">
        <v>167</v>
      </c>
      <c r="Q4" s="158" t="s">
        <v>166</v>
      </c>
      <c r="R4" s="158" t="s">
        <v>165</v>
      </c>
      <c r="S4" s="158" t="s">
        <v>164</v>
      </c>
    </row>
    <row r="5" spans="2:19" ht="14.5" customHeight="1" x14ac:dyDescent="0.35">
      <c r="B5" s="157" t="s">
        <v>104</v>
      </c>
      <c r="C5" s="156" t="s">
        <v>125</v>
      </c>
      <c r="D5" s="156" t="s">
        <v>125</v>
      </c>
      <c r="E5" s="156" t="s">
        <v>125</v>
      </c>
      <c r="I5" s="157" t="s">
        <v>104</v>
      </c>
      <c r="J5" s="156" t="s">
        <v>125</v>
      </c>
      <c r="K5" s="156" t="s">
        <v>125</v>
      </c>
      <c r="L5" s="156" t="s">
        <v>125</v>
      </c>
      <c r="M5" s="156" t="s">
        <v>125</v>
      </c>
      <c r="P5" s="157" t="s">
        <v>104</v>
      </c>
      <c r="Q5" s="156" t="s">
        <v>125</v>
      </c>
      <c r="R5" s="156" t="s">
        <v>125</v>
      </c>
      <c r="S5" s="156" t="s">
        <v>125</v>
      </c>
    </row>
    <row r="6" spans="2:19" ht="14.5" customHeight="1" x14ac:dyDescent="0.35">
      <c r="B6" s="157" t="s">
        <v>103</v>
      </c>
      <c r="C6" s="156" t="s">
        <v>125</v>
      </c>
      <c r="D6" s="156" t="s">
        <v>125</v>
      </c>
      <c r="E6" s="156" t="s">
        <v>125</v>
      </c>
      <c r="I6" s="157" t="s">
        <v>103</v>
      </c>
      <c r="J6" s="156" t="s">
        <v>125</v>
      </c>
      <c r="K6" s="156" t="s">
        <v>125</v>
      </c>
      <c r="L6" s="156" t="s">
        <v>125</v>
      </c>
      <c r="M6" s="156" t="s">
        <v>125</v>
      </c>
      <c r="P6" s="157" t="s">
        <v>103</v>
      </c>
      <c r="Q6" s="156" t="s">
        <v>125</v>
      </c>
      <c r="R6" s="156" t="s">
        <v>125</v>
      </c>
      <c r="S6" s="156" t="s">
        <v>125</v>
      </c>
    </row>
    <row r="7" spans="2:19" ht="14.5" customHeight="1" x14ac:dyDescent="0.35">
      <c r="B7" s="157" t="s">
        <v>102</v>
      </c>
      <c r="C7" s="156" t="s">
        <v>125</v>
      </c>
      <c r="D7" s="156" t="s">
        <v>125</v>
      </c>
      <c r="E7" s="156" t="s">
        <v>125</v>
      </c>
      <c r="I7" s="157" t="s">
        <v>102</v>
      </c>
      <c r="J7" s="156" t="s">
        <v>125</v>
      </c>
      <c r="K7" s="156" t="s">
        <v>125</v>
      </c>
      <c r="L7" s="156" t="s">
        <v>125</v>
      </c>
      <c r="M7" s="156" t="s">
        <v>125</v>
      </c>
      <c r="P7" s="157" t="s">
        <v>102</v>
      </c>
      <c r="Q7" s="156" t="s">
        <v>125</v>
      </c>
      <c r="R7" s="156" t="s">
        <v>125</v>
      </c>
      <c r="S7" s="156" t="s">
        <v>125</v>
      </c>
    </row>
    <row r="8" spans="2:19" ht="14.5" customHeight="1" x14ac:dyDescent="0.35">
      <c r="B8" s="157" t="s">
        <v>101</v>
      </c>
      <c r="C8" s="156" t="s">
        <v>125</v>
      </c>
      <c r="D8" s="156" t="s">
        <v>125</v>
      </c>
      <c r="E8" s="156" t="s">
        <v>125</v>
      </c>
      <c r="I8" s="157" t="s">
        <v>101</v>
      </c>
      <c r="J8" s="156" t="s">
        <v>125</v>
      </c>
      <c r="K8" s="156" t="s">
        <v>125</v>
      </c>
      <c r="L8" s="156" t="s">
        <v>125</v>
      </c>
      <c r="M8" s="156" t="s">
        <v>125</v>
      </c>
      <c r="P8" s="157" t="s">
        <v>101</v>
      </c>
      <c r="Q8" s="156" t="s">
        <v>125</v>
      </c>
      <c r="R8" s="156" t="s">
        <v>125</v>
      </c>
      <c r="S8" s="156" t="s">
        <v>125</v>
      </c>
    </row>
    <row r="9" spans="2:19" ht="14.5" customHeight="1" x14ac:dyDescent="0.35">
      <c r="B9" s="157" t="s">
        <v>100</v>
      </c>
      <c r="C9" s="156" t="s">
        <v>126</v>
      </c>
      <c r="D9" s="156" t="s">
        <v>125</v>
      </c>
      <c r="E9" s="156" t="s">
        <v>125</v>
      </c>
      <c r="I9" s="157" t="s">
        <v>100</v>
      </c>
      <c r="J9" s="156" t="s">
        <v>125</v>
      </c>
      <c r="K9" s="156" t="s">
        <v>125</v>
      </c>
      <c r="L9" s="156" t="s">
        <v>125</v>
      </c>
      <c r="M9" s="156" t="s">
        <v>125</v>
      </c>
      <c r="P9" s="157" t="s">
        <v>100</v>
      </c>
      <c r="Q9" s="156" t="s">
        <v>125</v>
      </c>
      <c r="R9" s="156" t="s">
        <v>125</v>
      </c>
      <c r="S9" s="156" t="s">
        <v>125</v>
      </c>
    </row>
    <row r="10" spans="2:19" ht="14.5" customHeight="1" x14ac:dyDescent="0.35">
      <c r="B10" s="157" t="s">
        <v>99</v>
      </c>
      <c r="C10" s="156" t="s">
        <v>126</v>
      </c>
      <c r="D10" s="156" t="s">
        <v>125</v>
      </c>
      <c r="E10" s="156" t="s">
        <v>125</v>
      </c>
      <c r="I10" s="157" t="s">
        <v>99</v>
      </c>
      <c r="J10" s="156" t="s">
        <v>125</v>
      </c>
      <c r="K10" s="156" t="s">
        <v>125</v>
      </c>
      <c r="L10" s="156" t="s">
        <v>125</v>
      </c>
      <c r="M10" s="156" t="s">
        <v>125</v>
      </c>
      <c r="P10" s="157" t="s">
        <v>99</v>
      </c>
      <c r="Q10" s="156" t="s">
        <v>125</v>
      </c>
      <c r="R10" s="156" t="s">
        <v>125</v>
      </c>
      <c r="S10" s="156" t="s">
        <v>125</v>
      </c>
    </row>
    <row r="11" spans="2:19" ht="14.5" customHeight="1" x14ac:dyDescent="0.35">
      <c r="B11" s="157" t="s">
        <v>98</v>
      </c>
      <c r="C11" s="156" t="s">
        <v>126</v>
      </c>
      <c r="D11" s="156" t="s">
        <v>125</v>
      </c>
      <c r="E11" s="156" t="s">
        <v>125</v>
      </c>
      <c r="I11" s="157" t="s">
        <v>98</v>
      </c>
      <c r="J11" s="156" t="s">
        <v>125</v>
      </c>
      <c r="K11" s="156" t="s">
        <v>125</v>
      </c>
      <c r="L11" s="156" t="s">
        <v>125</v>
      </c>
      <c r="M11" s="156" t="s">
        <v>125</v>
      </c>
      <c r="P11" s="157" t="s">
        <v>98</v>
      </c>
      <c r="Q11" s="156" t="s">
        <v>125</v>
      </c>
      <c r="R11" s="156" t="s">
        <v>125</v>
      </c>
      <c r="S11" s="156" t="s">
        <v>125</v>
      </c>
    </row>
    <row r="12" spans="2:19" ht="14.5" customHeight="1" x14ac:dyDescent="0.35">
      <c r="B12" s="157" t="s">
        <v>95</v>
      </c>
      <c r="C12" s="156" t="s">
        <v>125</v>
      </c>
      <c r="D12" s="156" t="s">
        <v>125</v>
      </c>
      <c r="E12" s="156" t="s">
        <v>125</v>
      </c>
      <c r="I12" s="157" t="s">
        <v>95</v>
      </c>
      <c r="J12" s="156" t="s">
        <v>125</v>
      </c>
      <c r="K12" s="156" t="s">
        <v>125</v>
      </c>
      <c r="L12" s="156" t="s">
        <v>125</v>
      </c>
      <c r="M12" s="156" t="s">
        <v>125</v>
      </c>
      <c r="P12" s="157" t="s">
        <v>95</v>
      </c>
      <c r="Q12" s="156" t="s">
        <v>125</v>
      </c>
      <c r="R12" s="156" t="s">
        <v>125</v>
      </c>
      <c r="S12" s="156" t="s">
        <v>125</v>
      </c>
    </row>
    <row r="13" spans="2:19" ht="14.5" customHeight="1" x14ac:dyDescent="0.35">
      <c r="B13" s="157" t="s">
        <v>94</v>
      </c>
      <c r="C13" s="156" t="s">
        <v>126</v>
      </c>
      <c r="D13" s="156" t="s">
        <v>125</v>
      </c>
      <c r="E13" s="156" t="s">
        <v>125</v>
      </c>
      <c r="I13" s="157" t="s">
        <v>94</v>
      </c>
      <c r="J13" s="156" t="s">
        <v>126</v>
      </c>
      <c r="K13" s="156" t="s">
        <v>125</v>
      </c>
      <c r="L13" s="156" t="s">
        <v>125</v>
      </c>
      <c r="M13" s="156" t="s">
        <v>125</v>
      </c>
      <c r="P13" s="157" t="s">
        <v>94</v>
      </c>
      <c r="Q13" s="156" t="s">
        <v>126</v>
      </c>
      <c r="R13" s="156" t="s">
        <v>125</v>
      </c>
      <c r="S13" s="156" t="s">
        <v>125</v>
      </c>
    </row>
    <row r="14" spans="2:19" ht="14.5" customHeight="1" x14ac:dyDescent="0.35">
      <c r="B14" s="157" t="s">
        <v>93</v>
      </c>
      <c r="C14" s="156" t="s">
        <v>126</v>
      </c>
      <c r="D14" s="156" t="s">
        <v>125</v>
      </c>
      <c r="E14" s="156" t="s">
        <v>125</v>
      </c>
      <c r="I14" s="157" t="s">
        <v>93</v>
      </c>
      <c r="J14" s="156" t="s">
        <v>126</v>
      </c>
      <c r="K14" s="156" t="s">
        <v>125</v>
      </c>
      <c r="L14" s="156" t="s">
        <v>125</v>
      </c>
      <c r="M14" s="156" t="s">
        <v>125</v>
      </c>
      <c r="P14" s="157" t="s">
        <v>93</v>
      </c>
      <c r="Q14" s="156" t="s">
        <v>126</v>
      </c>
      <c r="R14" s="156" t="s">
        <v>125</v>
      </c>
      <c r="S14" s="156" t="s">
        <v>125</v>
      </c>
    </row>
    <row r="15" spans="2:19" ht="14.5" customHeight="1" x14ac:dyDescent="0.35">
      <c r="B15" s="157" t="s">
        <v>91</v>
      </c>
      <c r="C15" s="156" t="s">
        <v>126</v>
      </c>
      <c r="D15" s="156" t="s">
        <v>125</v>
      </c>
      <c r="E15" s="156" t="s">
        <v>125</v>
      </c>
      <c r="I15" s="157" t="s">
        <v>92</v>
      </c>
      <c r="J15" s="156" t="s">
        <v>126</v>
      </c>
      <c r="K15" s="156" t="s">
        <v>126</v>
      </c>
      <c r="L15" s="156" t="s">
        <v>125</v>
      </c>
      <c r="M15" s="156" t="s">
        <v>125</v>
      </c>
      <c r="P15" s="157" t="s">
        <v>92</v>
      </c>
      <c r="Q15" s="156" t="s">
        <v>126</v>
      </c>
      <c r="R15" s="156" t="s">
        <v>126</v>
      </c>
      <c r="S15" s="156" t="s">
        <v>125</v>
      </c>
    </row>
    <row r="16" spans="2:19" ht="14.5" customHeight="1" x14ac:dyDescent="0.35">
      <c r="B16" s="157" t="s">
        <v>90</v>
      </c>
      <c r="C16" s="156" t="s">
        <v>126</v>
      </c>
      <c r="D16" s="156" t="s">
        <v>125</v>
      </c>
      <c r="E16" s="156" t="s">
        <v>125</v>
      </c>
      <c r="I16" s="157" t="s">
        <v>91</v>
      </c>
      <c r="J16" s="156" t="s">
        <v>126</v>
      </c>
      <c r="K16" s="156" t="s">
        <v>125</v>
      </c>
      <c r="L16" s="156" t="s">
        <v>125</v>
      </c>
      <c r="M16" s="156" t="s">
        <v>125</v>
      </c>
      <c r="P16" s="157" t="s">
        <v>91</v>
      </c>
      <c r="Q16" s="156" t="s">
        <v>126</v>
      </c>
      <c r="R16" s="156" t="s">
        <v>125</v>
      </c>
      <c r="S16" s="156" t="s">
        <v>125</v>
      </c>
    </row>
    <row r="17" spans="2:19" ht="14.5" customHeight="1" x14ac:dyDescent="0.35">
      <c r="B17" s="157" t="s">
        <v>89</v>
      </c>
      <c r="C17" s="156" t="s">
        <v>157</v>
      </c>
      <c r="D17" s="156" t="s">
        <v>156</v>
      </c>
      <c r="E17" s="156" t="s">
        <v>156</v>
      </c>
      <c r="I17" s="157" t="s">
        <v>163</v>
      </c>
      <c r="J17" s="156" t="s">
        <v>126</v>
      </c>
      <c r="K17" s="156" t="s">
        <v>125</v>
      </c>
      <c r="L17" s="156" t="s">
        <v>125</v>
      </c>
      <c r="M17" s="156" t="s">
        <v>125</v>
      </c>
      <c r="P17" s="157" t="s">
        <v>163</v>
      </c>
      <c r="Q17" s="156" t="s">
        <v>126</v>
      </c>
      <c r="R17" s="156" t="s">
        <v>125</v>
      </c>
      <c r="S17" s="156" t="s">
        <v>125</v>
      </c>
    </row>
    <row r="18" spans="2:19" ht="14.5" customHeight="1" x14ac:dyDescent="0.35">
      <c r="B18" s="157" t="s">
        <v>130</v>
      </c>
      <c r="C18" s="156" t="s">
        <v>144</v>
      </c>
      <c r="D18" s="156" t="s">
        <v>143</v>
      </c>
      <c r="E18" s="156" t="s">
        <v>162</v>
      </c>
      <c r="I18" s="157" t="s">
        <v>90</v>
      </c>
      <c r="J18" s="156" t="s">
        <v>125</v>
      </c>
      <c r="K18" s="156" t="s">
        <v>125</v>
      </c>
      <c r="L18" s="156" t="s">
        <v>125</v>
      </c>
      <c r="M18" s="156" t="s">
        <v>125</v>
      </c>
      <c r="P18" s="157" t="s">
        <v>90</v>
      </c>
      <c r="Q18" s="156" t="s">
        <v>125</v>
      </c>
      <c r="R18" s="156" t="s">
        <v>125</v>
      </c>
      <c r="S18" s="156" t="s">
        <v>125</v>
      </c>
    </row>
    <row r="19" spans="2:19" ht="14.5" customHeight="1" x14ac:dyDescent="0.35">
      <c r="B19" s="157" t="s">
        <v>161</v>
      </c>
      <c r="C19" s="156" t="s">
        <v>160</v>
      </c>
      <c r="D19" s="156" t="s">
        <v>159</v>
      </c>
      <c r="E19" s="156" t="s">
        <v>158</v>
      </c>
      <c r="I19" s="157" t="s">
        <v>89</v>
      </c>
      <c r="J19" s="156" t="s">
        <v>157</v>
      </c>
      <c r="K19" s="156" t="s">
        <v>156</v>
      </c>
      <c r="L19" s="156" t="s">
        <v>156</v>
      </c>
      <c r="M19" s="156" t="s">
        <v>156</v>
      </c>
      <c r="P19" s="157" t="s">
        <v>89</v>
      </c>
      <c r="Q19" s="156" t="s">
        <v>157</v>
      </c>
      <c r="R19" s="156" t="s">
        <v>156</v>
      </c>
      <c r="S19" s="156" t="s">
        <v>156</v>
      </c>
    </row>
    <row r="20" spans="2:19" ht="14.5" customHeight="1" x14ac:dyDescent="0.35">
      <c r="B20" s="157" t="s">
        <v>153</v>
      </c>
      <c r="C20" s="156" t="s">
        <v>155</v>
      </c>
      <c r="D20" s="156" t="s">
        <v>154</v>
      </c>
      <c r="E20" s="156" t="s">
        <v>138</v>
      </c>
      <c r="I20" s="157" t="s">
        <v>153</v>
      </c>
      <c r="J20" s="156">
        <v>1</v>
      </c>
      <c r="K20" s="156">
        <v>3</v>
      </c>
      <c r="L20" s="156">
        <v>5</v>
      </c>
      <c r="M20" s="156" t="s">
        <v>138</v>
      </c>
      <c r="P20" s="157" t="s">
        <v>152</v>
      </c>
      <c r="Q20" s="156" t="s">
        <v>151</v>
      </c>
      <c r="R20" s="156" t="s">
        <v>150</v>
      </c>
      <c r="S20" s="156" t="s">
        <v>150</v>
      </c>
    </row>
    <row r="21" spans="2:19" ht="29" x14ac:dyDescent="0.35">
      <c r="B21" s="157" t="s">
        <v>88</v>
      </c>
      <c r="C21" s="156" t="s">
        <v>126</v>
      </c>
      <c r="D21" s="156" t="s">
        <v>125</v>
      </c>
      <c r="E21" s="156" t="s">
        <v>125</v>
      </c>
      <c r="I21" s="157" t="s">
        <v>149</v>
      </c>
      <c r="J21" s="156" t="s">
        <v>148</v>
      </c>
      <c r="K21" s="156" t="s">
        <v>147</v>
      </c>
      <c r="L21" s="156" t="s">
        <v>146</v>
      </c>
      <c r="M21" s="156" t="s">
        <v>138</v>
      </c>
      <c r="P21" s="157" t="s">
        <v>145</v>
      </c>
      <c r="Q21" s="156" t="s">
        <v>126</v>
      </c>
      <c r="R21" s="156" t="s">
        <v>125</v>
      </c>
      <c r="S21" s="156" t="s">
        <v>125</v>
      </c>
    </row>
    <row r="22" spans="2:19" x14ac:dyDescent="0.35">
      <c r="B22" s="157" t="s">
        <v>87</v>
      </c>
      <c r="C22" s="156" t="s">
        <v>126</v>
      </c>
      <c r="D22" s="156" t="s">
        <v>125</v>
      </c>
      <c r="E22" s="156" t="s">
        <v>125</v>
      </c>
      <c r="I22" s="157" t="s">
        <v>130</v>
      </c>
      <c r="J22" s="156" t="s">
        <v>144</v>
      </c>
      <c r="K22" s="156" t="s">
        <v>143</v>
      </c>
      <c r="L22" s="156" t="s">
        <v>142</v>
      </c>
      <c r="M22" s="156" t="s">
        <v>127</v>
      </c>
      <c r="P22" s="157" t="s">
        <v>141</v>
      </c>
      <c r="Q22" s="156" t="s">
        <v>126</v>
      </c>
      <c r="R22" s="156" t="s">
        <v>125</v>
      </c>
      <c r="S22" s="156" t="s">
        <v>125</v>
      </c>
    </row>
    <row r="23" spans="2:19" x14ac:dyDescent="0.35">
      <c r="B23" s="157" t="s">
        <v>86</v>
      </c>
      <c r="C23" s="156" t="s">
        <v>126</v>
      </c>
      <c r="D23" s="156" t="s">
        <v>125</v>
      </c>
      <c r="E23" s="156" t="s">
        <v>125</v>
      </c>
      <c r="I23" s="157" t="s">
        <v>140</v>
      </c>
      <c r="J23" s="156" t="s">
        <v>139</v>
      </c>
      <c r="K23" s="156" t="s">
        <v>139</v>
      </c>
      <c r="L23" s="156" t="s">
        <v>139</v>
      </c>
      <c r="M23" s="156" t="s">
        <v>138</v>
      </c>
      <c r="P23" s="157" t="s">
        <v>82</v>
      </c>
      <c r="Q23" s="156" t="s">
        <v>126</v>
      </c>
      <c r="R23" s="156" t="s">
        <v>125</v>
      </c>
      <c r="S23" s="156" t="s">
        <v>125</v>
      </c>
    </row>
    <row r="24" spans="2:19" x14ac:dyDescent="0.35">
      <c r="B24" s="157" t="s">
        <v>85</v>
      </c>
      <c r="C24" s="156" t="s">
        <v>126</v>
      </c>
      <c r="D24" s="156" t="s">
        <v>126</v>
      </c>
      <c r="E24" s="156" t="s">
        <v>125</v>
      </c>
      <c r="I24" s="157" t="s">
        <v>137</v>
      </c>
      <c r="J24" s="156" t="s">
        <v>126</v>
      </c>
      <c r="K24" s="156" t="s">
        <v>125</v>
      </c>
      <c r="L24" s="156" t="s">
        <v>125</v>
      </c>
      <c r="M24" s="156" t="s">
        <v>125</v>
      </c>
      <c r="P24" s="157" t="s">
        <v>136</v>
      </c>
      <c r="Q24" s="156" t="s">
        <v>126</v>
      </c>
      <c r="R24" s="156" t="s">
        <v>125</v>
      </c>
      <c r="S24" s="156" t="s">
        <v>125</v>
      </c>
    </row>
    <row r="25" spans="2:19" x14ac:dyDescent="0.35">
      <c r="B25" s="157" t="s">
        <v>84</v>
      </c>
      <c r="C25" s="156" t="s">
        <v>126</v>
      </c>
      <c r="D25" s="156" t="s">
        <v>126</v>
      </c>
      <c r="E25" s="156" t="s">
        <v>125</v>
      </c>
      <c r="I25" s="157" t="s">
        <v>68</v>
      </c>
      <c r="J25" s="156" t="s">
        <v>135</v>
      </c>
      <c r="K25" s="156" t="s">
        <v>135</v>
      </c>
      <c r="L25" s="156" t="s">
        <v>135</v>
      </c>
      <c r="M25" s="156" t="s">
        <v>134</v>
      </c>
      <c r="P25" s="157" t="s">
        <v>133</v>
      </c>
      <c r="Q25" s="156" t="s">
        <v>126</v>
      </c>
      <c r="R25" s="156" t="s">
        <v>125</v>
      </c>
      <c r="S25" s="156" t="s">
        <v>125</v>
      </c>
    </row>
    <row r="26" spans="2:19" x14ac:dyDescent="0.35">
      <c r="B26" s="157" t="s">
        <v>83</v>
      </c>
      <c r="C26" s="156" t="s">
        <v>126</v>
      </c>
      <c r="D26" s="156" t="s">
        <v>126</v>
      </c>
      <c r="E26" s="156" t="s">
        <v>125</v>
      </c>
      <c r="I26" s="157" t="s">
        <v>66</v>
      </c>
      <c r="J26" s="156" t="s">
        <v>126</v>
      </c>
      <c r="K26" s="156" t="s">
        <v>126</v>
      </c>
      <c r="L26" s="156" t="s">
        <v>125</v>
      </c>
      <c r="M26" s="156" t="s">
        <v>125</v>
      </c>
      <c r="P26" s="157" t="s">
        <v>132</v>
      </c>
      <c r="Q26" s="156" t="s">
        <v>126</v>
      </c>
      <c r="R26" s="156" t="s">
        <v>125</v>
      </c>
      <c r="S26" s="156" t="s">
        <v>125</v>
      </c>
    </row>
    <row r="27" spans="2:19" x14ac:dyDescent="0.35">
      <c r="B27" s="157" t="s">
        <v>82</v>
      </c>
      <c r="C27" s="156" t="s">
        <v>126</v>
      </c>
      <c r="D27" s="156" t="s">
        <v>126</v>
      </c>
      <c r="E27" s="156" t="s">
        <v>125</v>
      </c>
      <c r="I27" s="157" t="s">
        <v>131</v>
      </c>
      <c r="J27" s="156" t="s">
        <v>126</v>
      </c>
      <c r="K27" s="156" t="s">
        <v>126</v>
      </c>
      <c r="L27" s="156" t="s">
        <v>125</v>
      </c>
      <c r="M27" s="156" t="s">
        <v>125</v>
      </c>
      <c r="P27" s="157" t="s">
        <v>130</v>
      </c>
      <c r="Q27" s="156" t="s">
        <v>129</v>
      </c>
      <c r="R27" s="156" t="s">
        <v>128</v>
      </c>
      <c r="S27" s="156" t="s">
        <v>127</v>
      </c>
    </row>
    <row r="28" spans="2:19" x14ac:dyDescent="0.35">
      <c r="I28" s="157" t="s">
        <v>62</v>
      </c>
      <c r="J28" s="156" t="s">
        <v>126</v>
      </c>
      <c r="K28" s="156" t="s">
        <v>126</v>
      </c>
      <c r="L28" s="156" t="s">
        <v>126</v>
      </c>
      <c r="M28" s="156" t="s">
        <v>125</v>
      </c>
    </row>
    <row r="33" spans="1:26" x14ac:dyDescent="0.35">
      <c r="B33" s="155" t="s">
        <v>108</v>
      </c>
      <c r="C33" s="154"/>
      <c r="D33" s="154"/>
      <c r="E33" s="154"/>
      <c r="F33" s="153"/>
      <c r="I33" s="155" t="s">
        <v>112</v>
      </c>
      <c r="J33" s="154"/>
      <c r="K33" s="154"/>
      <c r="L33" s="154"/>
      <c r="M33" s="153"/>
      <c r="P33" s="155" t="s">
        <v>106</v>
      </c>
      <c r="Q33" s="154"/>
      <c r="R33" s="154"/>
      <c r="S33" s="154"/>
      <c r="T33" s="153"/>
      <c r="V33" s="152"/>
      <c r="W33" s="152"/>
      <c r="X33" s="152"/>
      <c r="Y33" s="152"/>
      <c r="Z33" s="152"/>
    </row>
    <row r="34" spans="1:26" x14ac:dyDescent="0.35">
      <c r="B34" s="147" t="s">
        <v>124</v>
      </c>
      <c r="C34" s="147" t="s">
        <v>123</v>
      </c>
      <c r="D34" s="147" t="s">
        <v>122</v>
      </c>
      <c r="E34" s="147" t="s">
        <v>121</v>
      </c>
      <c r="F34" s="147" t="s">
        <v>120</v>
      </c>
      <c r="G34" s="151"/>
      <c r="I34" s="147" t="s">
        <v>124</v>
      </c>
      <c r="J34" s="147" t="s">
        <v>123</v>
      </c>
      <c r="K34" s="147" t="s">
        <v>122</v>
      </c>
      <c r="L34" s="147" t="s">
        <v>121</v>
      </c>
      <c r="M34" s="147" t="s">
        <v>120</v>
      </c>
      <c r="N34" s="151"/>
      <c r="P34" s="147" t="s">
        <v>124</v>
      </c>
      <c r="Q34" s="147" t="s">
        <v>123</v>
      </c>
      <c r="R34" s="147" t="s">
        <v>122</v>
      </c>
      <c r="S34" s="147" t="s">
        <v>121</v>
      </c>
      <c r="T34" s="147" t="s">
        <v>120</v>
      </c>
      <c r="V34" s="146"/>
      <c r="W34" s="146"/>
      <c r="X34" s="146"/>
      <c r="Y34" s="146"/>
      <c r="Z34" s="146"/>
    </row>
    <row r="35" spans="1:26" x14ac:dyDescent="0.35">
      <c r="B35" s="150">
        <v>14</v>
      </c>
      <c r="C35" s="147">
        <v>0</v>
      </c>
      <c r="D35" s="147">
        <v>5</v>
      </c>
      <c r="E35" s="147">
        <v>9</v>
      </c>
      <c r="F35" s="147" t="s">
        <v>119</v>
      </c>
      <c r="G35" s="151"/>
      <c r="I35" s="150">
        <v>120</v>
      </c>
      <c r="J35" s="147">
        <v>3</v>
      </c>
      <c r="K35" s="147">
        <v>14</v>
      </c>
      <c r="L35" s="147">
        <v>103</v>
      </c>
      <c r="M35" s="147" t="s">
        <v>119</v>
      </c>
      <c r="N35" s="151"/>
      <c r="P35" s="150">
        <v>4</v>
      </c>
      <c r="Q35" s="147">
        <v>0</v>
      </c>
      <c r="R35" s="147">
        <v>0</v>
      </c>
      <c r="S35" s="147">
        <v>4</v>
      </c>
      <c r="T35" s="147" t="s">
        <v>119</v>
      </c>
      <c r="V35" s="149"/>
      <c r="W35" s="146"/>
      <c r="X35" s="146"/>
      <c r="Y35" s="146"/>
      <c r="Z35" s="146"/>
    </row>
    <row r="36" spans="1:26" x14ac:dyDescent="0.35">
      <c r="B36" s="150">
        <v>148</v>
      </c>
      <c r="C36" s="147">
        <v>11</v>
      </c>
      <c r="D36" s="147">
        <v>38</v>
      </c>
      <c r="E36" s="147">
        <v>99</v>
      </c>
      <c r="F36" s="147" t="s">
        <v>118</v>
      </c>
      <c r="I36" s="150">
        <v>95</v>
      </c>
      <c r="J36" s="147">
        <v>5</v>
      </c>
      <c r="K36" s="147">
        <v>12</v>
      </c>
      <c r="L36" s="147">
        <v>78</v>
      </c>
      <c r="M36" s="147" t="s">
        <v>118</v>
      </c>
      <c r="P36" s="150">
        <v>29</v>
      </c>
      <c r="Q36" s="147">
        <v>3</v>
      </c>
      <c r="R36" s="147">
        <v>8</v>
      </c>
      <c r="S36" s="147">
        <v>18</v>
      </c>
      <c r="T36" s="147" t="s">
        <v>118</v>
      </c>
      <c r="V36" s="149"/>
      <c r="W36" s="146"/>
      <c r="X36" s="146"/>
      <c r="Y36" s="146"/>
      <c r="Z36" s="146"/>
    </row>
    <row r="37" spans="1:26" x14ac:dyDescent="0.35">
      <c r="A37" t="s">
        <v>116</v>
      </c>
      <c r="B37" s="148">
        <v>162</v>
      </c>
      <c r="C37" s="146">
        <v>11</v>
      </c>
      <c r="D37" s="146">
        <f>SUM(D35+D36)</f>
        <v>43</v>
      </c>
      <c r="E37" s="146">
        <f>SUM(E35+E36)</f>
        <v>108</v>
      </c>
      <c r="F37" s="146"/>
      <c r="H37" t="s">
        <v>116</v>
      </c>
      <c r="I37">
        <f>SUM(I35+I36)</f>
        <v>215</v>
      </c>
      <c r="J37">
        <f>SUM(J35+J36)</f>
        <v>8</v>
      </c>
      <c r="K37">
        <f>SUM(K35+K36)</f>
        <v>26</v>
      </c>
      <c r="L37">
        <f>SUM(L35+L36)</f>
        <v>181</v>
      </c>
      <c r="P37" s="2">
        <v>19</v>
      </c>
      <c r="Q37" s="2">
        <v>1</v>
      </c>
      <c r="R37" s="2">
        <v>1</v>
      </c>
      <c r="S37" s="2">
        <v>17</v>
      </c>
      <c r="T37" s="147" t="s">
        <v>117</v>
      </c>
      <c r="Z37" s="146"/>
    </row>
    <row r="38" spans="1:26" x14ac:dyDescent="0.35">
      <c r="O38" t="s">
        <v>116</v>
      </c>
      <c r="P38">
        <f>SUM(P35+P36+P37)</f>
        <v>52</v>
      </c>
      <c r="Q38">
        <f>SUM(Q35+Q36+Q37)</f>
        <v>4</v>
      </c>
      <c r="R38">
        <f>SUM(R35+R36+R37)</f>
        <v>9</v>
      </c>
      <c r="S38">
        <f>SUM(S35+S36+S37)</f>
        <v>39</v>
      </c>
    </row>
    <row r="39" spans="1:26" x14ac:dyDescent="0.35">
      <c r="B39" s="2" t="s">
        <v>115</v>
      </c>
      <c r="C39" s="2" t="s">
        <v>114</v>
      </c>
    </row>
    <row r="40" spans="1:26" x14ac:dyDescent="0.35">
      <c r="B40" s="2" t="s">
        <v>113</v>
      </c>
      <c r="C40" s="2">
        <f>(E37-C37)/B37</f>
        <v>0.59876543209876543</v>
      </c>
    </row>
    <row r="41" spans="1:26" x14ac:dyDescent="0.35">
      <c r="B41" s="2" t="s">
        <v>112</v>
      </c>
      <c r="C41" s="2">
        <f>(L37-J37)/I37</f>
        <v>0.8046511627906977</v>
      </c>
    </row>
    <row r="42" spans="1:26" x14ac:dyDescent="0.35">
      <c r="B42" s="2" t="s">
        <v>106</v>
      </c>
      <c r="C42" s="2">
        <f>(S38-Q38)/P38</f>
        <v>0.67307692307692313</v>
      </c>
    </row>
  </sheetData>
  <mergeCells count="4">
    <mergeCell ref="B33:F33"/>
    <mergeCell ref="P33:T33"/>
    <mergeCell ref="I33:M33"/>
    <mergeCell ref="V33:Z33"/>
  </mergeCells>
  <conditionalFormatting sqref="C5:E27">
    <cfRule type="cellIs" dxfId="7" priority="5" operator="equal">
      <formula>"Não"</formula>
    </cfRule>
    <cfRule type="cellIs" dxfId="6" priority="6" operator="equal">
      <formula>"Sim"</formula>
    </cfRule>
  </conditionalFormatting>
  <conditionalFormatting sqref="J5:M28">
    <cfRule type="cellIs" dxfId="5" priority="3" operator="equal">
      <formula>"Sim"</formula>
    </cfRule>
    <cfRule type="cellIs" dxfId="4" priority="4" operator="equal">
      <formula>"Não"</formula>
    </cfRule>
  </conditionalFormatting>
  <conditionalFormatting sqref="Q5:S26 Q27:R27">
    <cfRule type="cellIs" dxfId="3" priority="7" operator="equal">
      <formula>"Sim"</formula>
    </cfRule>
    <cfRule type="cellIs" dxfId="2" priority="8" operator="equal">
      <formula>"Não"</formula>
    </cfRule>
  </conditionalFormatting>
  <conditionalFormatting sqref="S27">
    <cfRule type="cellIs" dxfId="1" priority="1" operator="equal">
      <formula>"Sim"</formula>
    </cfRule>
    <cfRule type="cellIs" dxfId="0" priority="2" operator="equal">
      <formula>"Não"</formula>
    </cfRule>
  </conditionalFormatting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84E47-AF7D-407E-AFE4-7FF32B158691}">
  <dimension ref="B4:T48"/>
  <sheetViews>
    <sheetView zoomScaleNormal="100" workbookViewId="0">
      <selection activeCell="L11" sqref="L11"/>
    </sheetView>
  </sheetViews>
  <sheetFormatPr defaultRowHeight="14.5" x14ac:dyDescent="0.35"/>
  <cols>
    <col min="2" max="2" width="3.81640625" customWidth="1"/>
    <col min="3" max="3" width="51.7265625" bestFit="1" customWidth="1"/>
    <col min="4" max="4" width="10.1796875" customWidth="1"/>
    <col min="5" max="5" width="15.26953125" customWidth="1"/>
    <col min="6" max="6" width="13.26953125" customWidth="1"/>
    <col min="7" max="7" width="10.81640625" customWidth="1"/>
    <col min="15" max="15" width="51.7265625" bestFit="1" customWidth="1"/>
    <col min="16" max="16" width="9" customWidth="1"/>
    <col min="17" max="17" width="14" customWidth="1"/>
    <col min="18" max="18" width="11.26953125" bestFit="1" customWidth="1"/>
    <col min="19" max="19" width="9.453125" customWidth="1"/>
  </cols>
  <sheetData>
    <row r="4" spans="2:20" ht="43.5" customHeight="1" x14ac:dyDescent="0.35">
      <c r="B4" s="145" t="s">
        <v>110</v>
      </c>
      <c r="C4" s="144" t="s">
        <v>111</v>
      </c>
      <c r="D4" s="142" t="s">
        <v>108</v>
      </c>
      <c r="E4" s="142" t="s">
        <v>107</v>
      </c>
      <c r="F4" s="142" t="s">
        <v>106</v>
      </c>
      <c r="G4" s="143" t="s">
        <v>105</v>
      </c>
      <c r="H4" s="142" t="s">
        <v>48</v>
      </c>
      <c r="N4" s="141" t="s">
        <v>110</v>
      </c>
      <c r="O4" s="140" t="s">
        <v>109</v>
      </c>
      <c r="P4" s="139" t="s">
        <v>108</v>
      </c>
      <c r="Q4" s="139" t="s">
        <v>107</v>
      </c>
      <c r="R4" s="139" t="s">
        <v>106</v>
      </c>
      <c r="S4" s="138" t="s">
        <v>105</v>
      </c>
      <c r="T4" s="137" t="s">
        <v>48</v>
      </c>
    </row>
    <row r="5" spans="2:20" ht="14.5" customHeight="1" x14ac:dyDescent="0.35">
      <c r="B5" s="130">
        <v>1</v>
      </c>
      <c r="C5" s="2" t="s">
        <v>104</v>
      </c>
      <c r="D5" s="1">
        <v>1</v>
      </c>
      <c r="E5" s="1">
        <v>1</v>
      </c>
      <c r="F5" s="1">
        <v>1</v>
      </c>
      <c r="G5" s="129">
        <v>1</v>
      </c>
      <c r="H5" s="136">
        <f>COUNTIF(Table7[[#This Row],[Digimind]:[TripSense]],1)</f>
        <v>4</v>
      </c>
      <c r="N5" s="130">
        <v>8</v>
      </c>
      <c r="O5" s="2" t="s">
        <v>97</v>
      </c>
      <c r="P5" s="1">
        <v>0</v>
      </c>
      <c r="Q5" s="1">
        <v>1</v>
      </c>
      <c r="R5" s="1">
        <v>0</v>
      </c>
      <c r="S5" s="129">
        <v>1</v>
      </c>
      <c r="T5" s="2">
        <f>COUNTIF(Table4[[#This Row],[Digimind]:[TripSense]],1)</f>
        <v>2</v>
      </c>
    </row>
    <row r="6" spans="2:20" ht="14.5" customHeight="1" x14ac:dyDescent="0.35">
      <c r="B6" s="130">
        <v>2</v>
      </c>
      <c r="C6" s="2" t="s">
        <v>103</v>
      </c>
      <c r="D6" s="1">
        <v>1</v>
      </c>
      <c r="E6" s="1">
        <v>1</v>
      </c>
      <c r="F6" s="1">
        <v>1</v>
      </c>
      <c r="G6" s="129">
        <v>0</v>
      </c>
      <c r="H6" s="2">
        <f>COUNTIF(Table7[[#This Row],[Digimind]:[TripSense]],1)</f>
        <v>3</v>
      </c>
      <c r="N6" s="130">
        <v>24</v>
      </c>
      <c r="O6" s="2" t="s">
        <v>81</v>
      </c>
      <c r="P6" s="1">
        <v>0</v>
      </c>
      <c r="Q6" s="1">
        <v>0</v>
      </c>
      <c r="R6" s="1">
        <v>0</v>
      </c>
      <c r="S6" s="129">
        <v>1</v>
      </c>
      <c r="T6" s="2">
        <f>COUNTIF(Table4[[#This Row],[Digimind]:[TripSense]],1)</f>
        <v>1</v>
      </c>
    </row>
    <row r="7" spans="2:20" ht="14.5" customHeight="1" x14ac:dyDescent="0.35">
      <c r="B7" s="130">
        <v>3</v>
      </c>
      <c r="C7" s="2" t="s">
        <v>102</v>
      </c>
      <c r="D7" s="1">
        <v>1</v>
      </c>
      <c r="E7" s="1">
        <v>1</v>
      </c>
      <c r="F7" s="1">
        <v>1</v>
      </c>
      <c r="G7" s="129">
        <v>0</v>
      </c>
      <c r="H7" s="2">
        <f>COUNTIF(Table7[[#This Row],[Digimind]:[TripSense]],1)</f>
        <v>3</v>
      </c>
      <c r="N7" s="130">
        <v>36</v>
      </c>
      <c r="O7" s="2" t="s">
        <v>70</v>
      </c>
      <c r="P7" s="1">
        <v>0</v>
      </c>
      <c r="Q7" s="1">
        <v>0</v>
      </c>
      <c r="R7" s="1">
        <v>0</v>
      </c>
      <c r="S7" s="129">
        <v>1</v>
      </c>
      <c r="T7" s="2">
        <f>COUNTIF(Table4[[#This Row],[Digimind]:[TripSense]],1)</f>
        <v>1</v>
      </c>
    </row>
    <row r="8" spans="2:20" ht="14.5" customHeight="1" x14ac:dyDescent="0.35">
      <c r="B8" s="130">
        <v>4</v>
      </c>
      <c r="C8" s="2" t="s">
        <v>101</v>
      </c>
      <c r="D8" s="1">
        <v>1</v>
      </c>
      <c r="E8" s="1">
        <v>1</v>
      </c>
      <c r="F8" s="1">
        <v>1</v>
      </c>
      <c r="G8" s="129">
        <v>1</v>
      </c>
      <c r="H8" s="2">
        <f>COUNTIF(Table7[[#This Row],[Digimind]:[TripSense]],1)</f>
        <v>4</v>
      </c>
      <c r="N8" s="135">
        <v>41</v>
      </c>
      <c r="O8" s="134" t="s">
        <v>65</v>
      </c>
      <c r="P8" s="133">
        <v>0</v>
      </c>
      <c r="Q8" s="133">
        <v>0</v>
      </c>
      <c r="R8" s="133">
        <v>0</v>
      </c>
      <c r="S8" s="132">
        <v>1</v>
      </c>
      <c r="T8" s="2">
        <f>COUNTIF(Table4[[#This Row],[Digimind]:[TripSense]],1)</f>
        <v>1</v>
      </c>
    </row>
    <row r="9" spans="2:20" ht="14.5" customHeight="1" x14ac:dyDescent="0.35">
      <c r="B9" s="130">
        <v>5</v>
      </c>
      <c r="C9" s="2" t="s">
        <v>100</v>
      </c>
      <c r="D9" s="1">
        <v>1</v>
      </c>
      <c r="E9" s="1">
        <v>1</v>
      </c>
      <c r="F9" s="1">
        <v>1</v>
      </c>
      <c r="G9" s="129">
        <v>0</v>
      </c>
      <c r="H9" s="2">
        <f>COUNTIF(Table7[[#This Row],[Digimind]:[TripSense]],1)</f>
        <v>3</v>
      </c>
      <c r="N9" s="128">
        <v>43</v>
      </c>
      <c r="O9" s="125" t="s">
        <v>63</v>
      </c>
      <c r="P9" s="127">
        <v>0</v>
      </c>
      <c r="Q9" s="127">
        <v>0</v>
      </c>
      <c r="R9" s="127">
        <v>0</v>
      </c>
      <c r="S9" s="126">
        <v>1</v>
      </c>
      <c r="T9" s="2">
        <f>COUNTIF(Table4[[#This Row],[Digimind]:[TripSense]],1)</f>
        <v>1</v>
      </c>
    </row>
    <row r="10" spans="2:20" ht="14.5" customHeight="1" x14ac:dyDescent="0.35">
      <c r="B10" s="130">
        <v>6</v>
      </c>
      <c r="C10" s="2" t="s">
        <v>99</v>
      </c>
      <c r="D10" s="1">
        <v>1</v>
      </c>
      <c r="E10" s="1">
        <v>1</v>
      </c>
      <c r="F10" s="1">
        <v>1</v>
      </c>
      <c r="G10" s="129">
        <v>0</v>
      </c>
      <c r="H10" s="2">
        <f>COUNTIF(Table7[[#This Row],[Digimind]:[TripSense]],1)</f>
        <v>3</v>
      </c>
    </row>
    <row r="11" spans="2:20" ht="14.5" customHeight="1" x14ac:dyDescent="0.35">
      <c r="B11" s="130">
        <v>7</v>
      </c>
      <c r="C11" s="2" t="s">
        <v>98</v>
      </c>
      <c r="D11" s="1">
        <v>1</v>
      </c>
      <c r="E11" s="1">
        <v>1</v>
      </c>
      <c r="F11" s="1">
        <v>1</v>
      </c>
      <c r="G11" s="129">
        <v>0</v>
      </c>
      <c r="H11" s="2">
        <f>COUNTIF(Table7[[#This Row],[Digimind]:[TripSense]],1)</f>
        <v>3</v>
      </c>
    </row>
    <row r="12" spans="2:20" ht="14.5" customHeight="1" x14ac:dyDescent="0.35">
      <c r="B12" s="130">
        <v>8</v>
      </c>
      <c r="C12" s="2" t="s">
        <v>97</v>
      </c>
      <c r="D12" s="1">
        <v>0</v>
      </c>
      <c r="E12" s="1">
        <v>1</v>
      </c>
      <c r="F12" s="1">
        <v>0</v>
      </c>
      <c r="G12" s="129">
        <v>1</v>
      </c>
      <c r="H12" s="2">
        <f>COUNTIF(Table7[[#This Row],[Digimind]:[TripSense]],1)</f>
        <v>2</v>
      </c>
      <c r="I12" s="131"/>
    </row>
    <row r="13" spans="2:20" ht="14.5" customHeight="1" x14ac:dyDescent="0.35">
      <c r="B13" s="130">
        <v>9</v>
      </c>
      <c r="C13" s="2" t="s">
        <v>96</v>
      </c>
      <c r="D13" s="1">
        <v>0</v>
      </c>
      <c r="E13" s="1">
        <v>0</v>
      </c>
      <c r="F13" s="1">
        <v>1</v>
      </c>
      <c r="G13" s="129">
        <v>1</v>
      </c>
      <c r="H13" s="2">
        <f>COUNTIF(Table7[[#This Row],[Digimind]:[TripSense]],1)</f>
        <v>2</v>
      </c>
    </row>
    <row r="14" spans="2:20" ht="14.5" customHeight="1" x14ac:dyDescent="0.35">
      <c r="B14" s="130">
        <v>10</v>
      </c>
      <c r="C14" s="2" t="s">
        <v>95</v>
      </c>
      <c r="D14" s="1">
        <v>1</v>
      </c>
      <c r="E14" s="1">
        <v>1</v>
      </c>
      <c r="F14" s="1">
        <v>1</v>
      </c>
      <c r="G14" s="129">
        <v>1</v>
      </c>
      <c r="H14" s="2">
        <f>COUNTIF(Table7[[#This Row],[Digimind]:[TripSense]],1)</f>
        <v>4</v>
      </c>
    </row>
    <row r="15" spans="2:20" ht="14.5" customHeight="1" x14ac:dyDescent="0.35">
      <c r="B15" s="130">
        <v>11</v>
      </c>
      <c r="C15" s="2" t="s">
        <v>94</v>
      </c>
      <c r="D15" s="1">
        <v>1</v>
      </c>
      <c r="E15" s="1">
        <v>1</v>
      </c>
      <c r="F15" s="1">
        <v>1</v>
      </c>
      <c r="G15" s="129">
        <v>0</v>
      </c>
      <c r="H15" s="2">
        <f>COUNTIF(Table7[[#This Row],[Digimind]:[TripSense]],1)</f>
        <v>3</v>
      </c>
    </row>
    <row r="16" spans="2:20" ht="14.5" customHeight="1" x14ac:dyDescent="0.35">
      <c r="B16" s="130">
        <v>12</v>
      </c>
      <c r="C16" s="2" t="s">
        <v>93</v>
      </c>
      <c r="D16" s="1">
        <v>1</v>
      </c>
      <c r="E16" s="1">
        <v>1</v>
      </c>
      <c r="F16" s="1">
        <v>1</v>
      </c>
      <c r="G16" s="129">
        <v>1</v>
      </c>
      <c r="H16" s="2">
        <f>COUNTIF(Table7[[#This Row],[Digimind]:[TripSense]],1)</f>
        <v>4</v>
      </c>
    </row>
    <row r="17" spans="2:9" x14ac:dyDescent="0.35">
      <c r="B17" s="130">
        <v>13</v>
      </c>
      <c r="C17" s="2" t="s">
        <v>92</v>
      </c>
      <c r="D17" s="1">
        <v>0</v>
      </c>
      <c r="E17" s="1">
        <v>1</v>
      </c>
      <c r="F17" s="1">
        <v>0</v>
      </c>
      <c r="G17" s="129">
        <v>1</v>
      </c>
      <c r="H17" s="2">
        <f>COUNTIF(Table7[[#This Row],[Digimind]:[TripSense]],1)</f>
        <v>2</v>
      </c>
    </row>
    <row r="18" spans="2:9" x14ac:dyDescent="0.35">
      <c r="B18" s="130">
        <v>14</v>
      </c>
      <c r="C18" s="2" t="s">
        <v>91</v>
      </c>
      <c r="D18" s="1">
        <v>1</v>
      </c>
      <c r="E18" s="1">
        <v>1</v>
      </c>
      <c r="F18" s="1">
        <v>1</v>
      </c>
      <c r="G18" s="129">
        <v>1</v>
      </c>
      <c r="H18" s="2">
        <f>COUNTIF(Table7[[#This Row],[Digimind]:[TripSense]],1)</f>
        <v>4</v>
      </c>
    </row>
    <row r="19" spans="2:9" x14ac:dyDescent="0.35">
      <c r="B19" s="130">
        <v>15</v>
      </c>
      <c r="C19" s="2" t="s">
        <v>90</v>
      </c>
      <c r="D19" s="1">
        <v>1</v>
      </c>
      <c r="E19" s="1">
        <v>1</v>
      </c>
      <c r="F19" s="1">
        <v>1</v>
      </c>
      <c r="G19" s="129">
        <v>1</v>
      </c>
      <c r="H19" s="2">
        <f>COUNTIF(Table7[[#This Row],[Digimind]:[TripSense]],1)</f>
        <v>4</v>
      </c>
    </row>
    <row r="20" spans="2:9" x14ac:dyDescent="0.35">
      <c r="B20" s="130">
        <v>16</v>
      </c>
      <c r="C20" s="2" t="s">
        <v>89</v>
      </c>
      <c r="D20" s="1">
        <v>1</v>
      </c>
      <c r="E20" s="1">
        <v>1</v>
      </c>
      <c r="F20" s="1">
        <v>1</v>
      </c>
      <c r="G20" s="129">
        <v>1</v>
      </c>
      <c r="H20" s="2">
        <f>COUNTIF(Table7[[#This Row],[Digimind]:[TripSense]],1)</f>
        <v>4</v>
      </c>
    </row>
    <row r="21" spans="2:9" x14ac:dyDescent="0.35">
      <c r="B21" s="130">
        <v>17</v>
      </c>
      <c r="C21" s="2" t="s">
        <v>88</v>
      </c>
      <c r="D21" s="1">
        <v>1</v>
      </c>
      <c r="E21" s="1">
        <v>0</v>
      </c>
      <c r="F21" s="1">
        <v>0</v>
      </c>
      <c r="G21" s="129">
        <v>1</v>
      </c>
      <c r="H21" s="2">
        <f>COUNTIF(Table7[[#This Row],[Digimind]:[TripSense]],1)</f>
        <v>2</v>
      </c>
    </row>
    <row r="22" spans="2:9" x14ac:dyDescent="0.35">
      <c r="B22" s="130">
        <v>18</v>
      </c>
      <c r="C22" s="2" t="s">
        <v>87</v>
      </c>
      <c r="D22" s="1">
        <v>1</v>
      </c>
      <c r="E22" s="1">
        <v>0</v>
      </c>
      <c r="F22" s="1">
        <v>0</v>
      </c>
      <c r="G22" s="129">
        <v>1</v>
      </c>
      <c r="H22" s="2">
        <f>COUNTIF(Table7[[#This Row],[Digimind]:[TripSense]],1)</f>
        <v>2</v>
      </c>
    </row>
    <row r="23" spans="2:9" x14ac:dyDescent="0.35">
      <c r="B23" s="130">
        <v>19</v>
      </c>
      <c r="C23" s="2" t="s">
        <v>86</v>
      </c>
      <c r="D23" s="1">
        <v>1</v>
      </c>
      <c r="E23" s="1">
        <v>0</v>
      </c>
      <c r="F23" s="1">
        <v>0</v>
      </c>
      <c r="G23" s="129">
        <v>0</v>
      </c>
      <c r="H23" s="2">
        <f>COUNTIF(Table7[[#This Row],[Digimind]:[TripSense]],1)</f>
        <v>1</v>
      </c>
    </row>
    <row r="24" spans="2:9" x14ac:dyDescent="0.35">
      <c r="B24" s="130">
        <v>20</v>
      </c>
      <c r="C24" s="2" t="s">
        <v>85</v>
      </c>
      <c r="D24" s="1">
        <v>1</v>
      </c>
      <c r="E24" s="1">
        <v>0</v>
      </c>
      <c r="F24" s="1">
        <v>1</v>
      </c>
      <c r="G24" s="129">
        <v>1</v>
      </c>
      <c r="H24" s="2">
        <f>COUNTIF(Table7[[#This Row],[Digimind]:[TripSense]],1)</f>
        <v>3</v>
      </c>
    </row>
    <row r="25" spans="2:9" x14ac:dyDescent="0.35">
      <c r="B25" s="130">
        <v>21</v>
      </c>
      <c r="C25" s="2" t="s">
        <v>84</v>
      </c>
      <c r="D25" s="1">
        <v>1</v>
      </c>
      <c r="E25" s="1">
        <v>0</v>
      </c>
      <c r="F25" s="1">
        <v>0</v>
      </c>
      <c r="G25" s="129">
        <v>1</v>
      </c>
      <c r="H25" s="2">
        <f>COUNTIF(Table7[[#This Row],[Digimind]:[TripSense]],1)</f>
        <v>2</v>
      </c>
    </row>
    <row r="26" spans="2:9" x14ac:dyDescent="0.35">
      <c r="B26" s="130">
        <v>22</v>
      </c>
      <c r="C26" s="2" t="s">
        <v>83</v>
      </c>
      <c r="D26" s="1">
        <v>1</v>
      </c>
      <c r="E26" s="1">
        <v>0</v>
      </c>
      <c r="F26" s="1">
        <v>1</v>
      </c>
      <c r="G26" s="129">
        <v>0</v>
      </c>
      <c r="H26" s="2">
        <f>COUNTIF(Table7[[#This Row],[Digimind]:[TripSense]],1)</f>
        <v>2</v>
      </c>
    </row>
    <row r="27" spans="2:9" x14ac:dyDescent="0.35">
      <c r="B27" s="130">
        <v>23</v>
      </c>
      <c r="C27" s="2" t="s">
        <v>82</v>
      </c>
      <c r="D27" s="1">
        <v>1</v>
      </c>
      <c r="E27" s="1">
        <v>1</v>
      </c>
      <c r="F27" s="1">
        <v>1</v>
      </c>
      <c r="G27" s="129">
        <v>0</v>
      </c>
      <c r="H27" s="2">
        <f>COUNTIF(Table7[[#This Row],[Digimind]:[TripSense]],1)</f>
        <v>3</v>
      </c>
    </row>
    <row r="28" spans="2:9" x14ac:dyDescent="0.35">
      <c r="B28" s="130">
        <v>24</v>
      </c>
      <c r="C28" s="2" t="s">
        <v>81</v>
      </c>
      <c r="D28" s="1">
        <v>0</v>
      </c>
      <c r="E28" s="1">
        <v>0</v>
      </c>
      <c r="F28" s="1">
        <v>0</v>
      </c>
      <c r="G28" s="129">
        <v>1</v>
      </c>
      <c r="H28" s="2">
        <f>COUNTIF(Table7[[#This Row],[Digimind]:[TripSense]],1)</f>
        <v>1</v>
      </c>
      <c r="I28" s="131"/>
    </row>
    <row r="29" spans="2:9" x14ac:dyDescent="0.35">
      <c r="B29" s="130">
        <v>25</v>
      </c>
      <c r="C29" s="2" t="s">
        <v>80</v>
      </c>
      <c r="D29" s="1">
        <v>0</v>
      </c>
      <c r="E29" s="1">
        <v>1</v>
      </c>
      <c r="F29" s="1">
        <v>1</v>
      </c>
      <c r="G29" s="129">
        <v>0</v>
      </c>
      <c r="H29" s="2">
        <f>COUNTIF(Table7[[#This Row],[Digimind]:[TripSense]],1)</f>
        <v>2</v>
      </c>
    </row>
    <row r="30" spans="2:9" x14ac:dyDescent="0.35">
      <c r="B30" s="130">
        <v>27</v>
      </c>
      <c r="C30" s="2" t="s">
        <v>79</v>
      </c>
      <c r="D30" s="1">
        <v>0</v>
      </c>
      <c r="E30" s="1">
        <v>0</v>
      </c>
      <c r="F30" s="1">
        <v>0</v>
      </c>
      <c r="G30" s="129">
        <v>1</v>
      </c>
      <c r="H30" s="2">
        <f>COUNTIF(Table7[[#This Row],[Digimind]:[TripSense]],1)</f>
        <v>1</v>
      </c>
    </row>
    <row r="31" spans="2:9" x14ac:dyDescent="0.35">
      <c r="B31" s="130">
        <v>28</v>
      </c>
      <c r="C31" s="2" t="s">
        <v>78</v>
      </c>
      <c r="D31" s="1">
        <v>1</v>
      </c>
      <c r="E31" s="1">
        <v>1</v>
      </c>
      <c r="F31" s="1">
        <v>1</v>
      </c>
      <c r="G31" s="129">
        <v>1</v>
      </c>
      <c r="H31" s="2">
        <f>COUNTIF(Table7[[#This Row],[Digimind]:[TripSense]],1)</f>
        <v>4</v>
      </c>
    </row>
    <row r="32" spans="2:9" x14ac:dyDescent="0.35">
      <c r="B32" s="130">
        <v>29</v>
      </c>
      <c r="C32" s="2" t="s">
        <v>77</v>
      </c>
      <c r="D32" s="1">
        <v>1</v>
      </c>
      <c r="E32" s="1">
        <v>1</v>
      </c>
      <c r="F32" s="1">
        <v>1</v>
      </c>
      <c r="G32" s="129">
        <v>1</v>
      </c>
      <c r="H32" s="2">
        <f>COUNTIF(Table7[[#This Row],[Digimind]:[TripSense]],1)</f>
        <v>4</v>
      </c>
    </row>
    <row r="33" spans="2:9" x14ac:dyDescent="0.35">
      <c r="B33" s="130">
        <v>30</v>
      </c>
      <c r="C33" s="2" t="s">
        <v>76</v>
      </c>
      <c r="D33" s="1">
        <v>1</v>
      </c>
      <c r="E33" s="1">
        <v>0</v>
      </c>
      <c r="F33" s="1">
        <v>0</v>
      </c>
      <c r="G33" s="129">
        <v>1</v>
      </c>
      <c r="H33" s="2">
        <f>COUNTIF(Table7[[#This Row],[Digimind]:[TripSense]],1)</f>
        <v>2</v>
      </c>
    </row>
    <row r="34" spans="2:9" x14ac:dyDescent="0.35">
      <c r="B34" s="130">
        <v>31</v>
      </c>
      <c r="C34" s="2" t="s">
        <v>75</v>
      </c>
      <c r="D34" s="1">
        <v>1</v>
      </c>
      <c r="E34" s="1">
        <v>1</v>
      </c>
      <c r="F34" s="1">
        <v>1</v>
      </c>
      <c r="G34" s="129">
        <v>1</v>
      </c>
      <c r="H34" s="2">
        <f>COUNTIF(Table7[[#This Row],[Digimind]:[TripSense]],1)</f>
        <v>4</v>
      </c>
    </row>
    <row r="35" spans="2:9" x14ac:dyDescent="0.35">
      <c r="B35" s="130">
        <v>32</v>
      </c>
      <c r="C35" s="2" t="s">
        <v>74</v>
      </c>
      <c r="D35" s="1">
        <v>1</v>
      </c>
      <c r="E35" s="1">
        <v>1</v>
      </c>
      <c r="F35" s="1">
        <v>1</v>
      </c>
      <c r="G35" s="129">
        <v>1</v>
      </c>
      <c r="H35" s="2">
        <f>COUNTIF(Table7[[#This Row],[Digimind]:[TripSense]],1)</f>
        <v>4</v>
      </c>
    </row>
    <row r="36" spans="2:9" x14ac:dyDescent="0.35">
      <c r="B36" s="130">
        <v>33</v>
      </c>
      <c r="C36" s="2" t="s">
        <v>73</v>
      </c>
      <c r="D36" s="1">
        <v>1</v>
      </c>
      <c r="E36" s="1">
        <v>1</v>
      </c>
      <c r="F36" s="1">
        <v>1</v>
      </c>
      <c r="G36" s="129">
        <v>1</v>
      </c>
      <c r="H36" s="2">
        <f>COUNTIF(Table7[[#This Row],[Digimind]:[TripSense]],1)</f>
        <v>4</v>
      </c>
    </row>
    <row r="37" spans="2:9" x14ac:dyDescent="0.35">
      <c r="B37" s="130">
        <v>34</v>
      </c>
      <c r="C37" s="2" t="s">
        <v>72</v>
      </c>
      <c r="D37" s="1">
        <v>1</v>
      </c>
      <c r="E37" s="1">
        <v>1</v>
      </c>
      <c r="F37" s="1">
        <v>1</v>
      </c>
      <c r="G37" s="129">
        <v>1</v>
      </c>
      <c r="H37" s="2">
        <f>COUNTIF(Table7[[#This Row],[Digimind]:[TripSense]],1)</f>
        <v>4</v>
      </c>
    </row>
    <row r="38" spans="2:9" x14ac:dyDescent="0.35">
      <c r="B38" s="130">
        <v>35</v>
      </c>
      <c r="C38" s="2" t="s">
        <v>71</v>
      </c>
      <c r="D38" s="1">
        <v>1</v>
      </c>
      <c r="E38" s="1">
        <v>0</v>
      </c>
      <c r="F38" s="1">
        <v>0</v>
      </c>
      <c r="G38" s="129">
        <v>0</v>
      </c>
      <c r="H38" s="2">
        <f>COUNTIF(Table7[[#This Row],[Digimind]:[TripSense]],1)</f>
        <v>1</v>
      </c>
    </row>
    <row r="39" spans="2:9" x14ac:dyDescent="0.35">
      <c r="B39" s="130">
        <v>36</v>
      </c>
      <c r="C39" s="2" t="s">
        <v>70</v>
      </c>
      <c r="D39" s="1">
        <v>0</v>
      </c>
      <c r="E39" s="1">
        <v>0</v>
      </c>
      <c r="F39" s="1">
        <v>0</v>
      </c>
      <c r="G39" s="129">
        <v>1</v>
      </c>
      <c r="H39" s="2">
        <f>COUNTIF(Table7[[#This Row],[Digimind]:[TripSense]],1)</f>
        <v>1</v>
      </c>
      <c r="I39" s="131"/>
    </row>
    <row r="40" spans="2:9" x14ac:dyDescent="0.35">
      <c r="B40" s="130">
        <v>37</v>
      </c>
      <c r="C40" s="2" t="s">
        <v>69</v>
      </c>
      <c r="D40" s="1">
        <v>1</v>
      </c>
      <c r="E40" s="1">
        <v>1</v>
      </c>
      <c r="F40" s="1">
        <v>0</v>
      </c>
      <c r="G40" s="129">
        <v>1</v>
      </c>
      <c r="H40" s="2">
        <f>COUNTIF(Table7[[#This Row],[Digimind]:[TripSense]],1)</f>
        <v>3</v>
      </c>
    </row>
    <row r="41" spans="2:9" x14ac:dyDescent="0.35">
      <c r="B41" s="130">
        <v>38</v>
      </c>
      <c r="C41" s="2" t="s">
        <v>68</v>
      </c>
      <c r="D41" s="1">
        <v>0</v>
      </c>
      <c r="E41" s="1">
        <v>1</v>
      </c>
      <c r="F41" s="1">
        <v>0</v>
      </c>
      <c r="G41" s="129">
        <v>0</v>
      </c>
      <c r="H41" s="2">
        <f>COUNTIF(Table7[[#This Row],[Digimind]:[TripSense]],1)</f>
        <v>1</v>
      </c>
    </row>
    <row r="42" spans="2:9" x14ac:dyDescent="0.35">
      <c r="B42" s="130">
        <v>39</v>
      </c>
      <c r="C42" s="2" t="s">
        <v>67</v>
      </c>
      <c r="D42" s="1">
        <v>1</v>
      </c>
      <c r="E42" s="1">
        <v>0</v>
      </c>
      <c r="F42" s="1">
        <v>0</v>
      </c>
      <c r="G42" s="129">
        <v>1</v>
      </c>
      <c r="H42" s="2">
        <f>COUNTIF(Table7[[#This Row],[Digimind]:[TripSense]],1)</f>
        <v>2</v>
      </c>
      <c r="I42" s="131"/>
    </row>
    <row r="43" spans="2:9" x14ac:dyDescent="0.35">
      <c r="B43" s="130">
        <v>40</v>
      </c>
      <c r="C43" s="2" t="s">
        <v>66</v>
      </c>
      <c r="D43" s="1">
        <v>0</v>
      </c>
      <c r="E43" s="1">
        <v>1</v>
      </c>
      <c r="F43" s="1">
        <v>0</v>
      </c>
      <c r="G43" s="129">
        <v>1</v>
      </c>
      <c r="H43" s="2">
        <f>COUNTIF(Table7[[#This Row],[Digimind]:[TripSense]],1)</f>
        <v>2</v>
      </c>
    </row>
    <row r="44" spans="2:9" x14ac:dyDescent="0.35">
      <c r="B44" s="130">
        <v>41</v>
      </c>
      <c r="C44" s="2" t="s">
        <v>65</v>
      </c>
      <c r="D44" s="1">
        <v>0</v>
      </c>
      <c r="E44" s="1">
        <v>0</v>
      </c>
      <c r="F44" s="1">
        <v>0</v>
      </c>
      <c r="G44" s="129">
        <v>1</v>
      </c>
      <c r="H44" s="2">
        <f>COUNTIF(Table7[[#This Row],[Digimind]:[TripSense]],1)</f>
        <v>1</v>
      </c>
      <c r="I44" s="131"/>
    </row>
    <row r="45" spans="2:9" x14ac:dyDescent="0.35">
      <c r="B45" s="130">
        <v>42</v>
      </c>
      <c r="C45" s="2" t="s">
        <v>64</v>
      </c>
      <c r="D45" s="1">
        <v>1</v>
      </c>
      <c r="E45" s="1">
        <v>1</v>
      </c>
      <c r="F45" s="1">
        <v>1</v>
      </c>
      <c r="G45" s="129">
        <v>1</v>
      </c>
      <c r="H45" s="2">
        <f>COUNTIF(Table7[[#This Row],[Digimind]:[TripSense]],1)</f>
        <v>4</v>
      </c>
    </row>
    <row r="46" spans="2:9" x14ac:dyDescent="0.35">
      <c r="B46" s="130">
        <v>43</v>
      </c>
      <c r="C46" s="2" t="s">
        <v>63</v>
      </c>
      <c r="D46" s="1">
        <v>0</v>
      </c>
      <c r="E46" s="1">
        <v>0</v>
      </c>
      <c r="F46" s="1">
        <v>0</v>
      </c>
      <c r="G46" s="129">
        <v>1</v>
      </c>
      <c r="H46" s="2">
        <f>COUNTIF(Table7[[#This Row],[Digimind]:[TripSense]],1)</f>
        <v>1</v>
      </c>
    </row>
    <row r="47" spans="2:9" x14ac:dyDescent="0.35">
      <c r="B47" s="128">
        <v>44</v>
      </c>
      <c r="C47" s="125" t="s">
        <v>62</v>
      </c>
      <c r="D47" s="127">
        <v>0</v>
      </c>
      <c r="E47" s="127">
        <v>1</v>
      </c>
      <c r="F47" s="127">
        <v>0</v>
      </c>
      <c r="G47" s="126">
        <v>1</v>
      </c>
      <c r="H47" s="125">
        <f>COUNTIF(Table7[[#This Row],[Digimind]:[TripSense]],1)</f>
        <v>2</v>
      </c>
    </row>
    <row r="48" spans="2:9" x14ac:dyDescent="0.35">
      <c r="D48" s="124">
        <f>COUNTIF(Table7[Digimind],1)</f>
        <v>31</v>
      </c>
      <c r="E48" s="124">
        <f>COUNTIF(Table7[NetBased Quid],1)</f>
        <v>28</v>
      </c>
      <c r="F48" s="124">
        <f>COUNTIF(Table7[BrandWatch],1)</f>
        <v>25</v>
      </c>
      <c r="G48" s="124">
        <f>COUNTIF(Table7[TripSense],1)</f>
        <v>31</v>
      </c>
      <c r="H48" s="123">
        <f>AVERAGE(Table7[Total])</f>
        <v>2.6744186046511627</v>
      </c>
    </row>
  </sheetData>
  <conditionalFormatting sqref="D5:G47">
    <cfRule type="cellIs" dxfId="11" priority="9" operator="equal">
      <formula>0</formula>
    </cfRule>
    <cfRule type="cellIs" dxfId="10" priority="10" operator="equal">
      <formula>1</formula>
    </cfRule>
  </conditionalFormatting>
  <conditionalFormatting sqref="H5:H47">
    <cfRule type="iconSet" priority="11">
      <iconSet iconSet="3Symbols">
        <cfvo type="percent" val="0"/>
        <cfvo type="percent" val="33"/>
        <cfvo type="percent" val="67"/>
      </iconSet>
    </cfRule>
  </conditionalFormatting>
  <conditionalFormatting sqref="P5:S9">
    <cfRule type="cellIs" dxfId="9" priority="7" operator="equal">
      <formula>0</formula>
    </cfRule>
    <cfRule type="cellIs" dxfId="8" priority="8" operator="equal">
      <formula>1</formula>
    </cfRule>
  </conditionalFormatting>
  <conditionalFormatting sqref="T5">
    <cfRule type="iconSet" priority="1">
      <iconSet iconSet="3Symbols">
        <cfvo type="percent" val="0"/>
        <cfvo type="num" val="3"/>
        <cfvo type="num" val="3"/>
      </iconSet>
    </cfRule>
  </conditionalFormatting>
  <conditionalFormatting sqref="T5:T9">
    <cfRule type="iconSet" priority="3">
      <iconSet iconSet="3Symbols" reverse="1">
        <cfvo type="percent" val="0"/>
        <cfvo type="percent" val="33"/>
        <cfvo type="percent" val="67"/>
      </iconSet>
    </cfRule>
    <cfRule type="iconSet" priority="4">
      <iconSet iconSet="3Symbols" reverse="1">
        <cfvo type="percent" val="0"/>
        <cfvo type="percent" val="33"/>
        <cfvo type="percent" val="67"/>
      </iconSet>
    </cfRule>
    <cfRule type="iconSet" priority="5">
      <iconSet reverse="1">
        <cfvo type="percent" val="0"/>
        <cfvo type="percent" val="33"/>
        <cfvo type="percent" val="67"/>
      </iconSet>
    </cfRule>
    <cfRule type="iconSet" priority="6">
      <iconSet iconSet="3Symbols">
        <cfvo type="percent" val="0"/>
        <cfvo type="percent" val="33"/>
        <cfvo type="percent" val="67"/>
      </iconSet>
    </cfRule>
  </conditionalFormatting>
  <conditionalFormatting sqref="T6:T9">
    <cfRule type="iconSet" priority="2">
      <iconSet iconSet="3Symbols" reverse="1">
        <cfvo type="percent" val="0"/>
        <cfvo type="percent" val="50"/>
        <cfvo type="percent" val="50"/>
      </iconSet>
    </cfRule>
  </conditionalFormatting>
  <pageMargins left="0.7" right="0.7" top="0.75" bottom="0.75" header="0.3" footer="0.3"/>
  <pageSetup paperSize="9" orientation="portrait" r:id="rId1"/>
  <drawing r:id="rId2"/>
  <tableParts count="2"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8724F-5C0E-46B2-AEFD-0B7132257A7D}">
  <dimension ref="A1:AE22"/>
  <sheetViews>
    <sheetView topLeftCell="R1" workbookViewId="0">
      <selection activeCell="B23" sqref="B23:B24"/>
    </sheetView>
  </sheetViews>
  <sheetFormatPr defaultRowHeight="14.5" x14ac:dyDescent="0.35"/>
  <cols>
    <col min="2" max="2" width="11" customWidth="1"/>
    <col min="3" max="3" width="13.26953125" customWidth="1"/>
    <col min="4" max="4" width="12.54296875" bestFit="1" customWidth="1"/>
    <col min="5" max="5" width="10.453125" customWidth="1"/>
    <col min="6" max="6" width="15.26953125" customWidth="1"/>
    <col min="8" max="8" width="16.08984375" bestFit="1" customWidth="1"/>
    <col min="9" max="9" width="14.7265625" customWidth="1"/>
    <col min="10" max="10" width="17.81640625" bestFit="1" customWidth="1"/>
    <col min="13" max="13" width="16.08984375" customWidth="1"/>
    <col min="14" max="14" width="12.36328125" customWidth="1"/>
    <col min="16" max="16" width="19.90625" bestFit="1" customWidth="1"/>
    <col min="17" max="17" width="15.1796875" bestFit="1" customWidth="1"/>
    <col min="18" max="18" width="12.26953125" bestFit="1" customWidth="1"/>
    <col min="19" max="20" width="18.7265625" bestFit="1" customWidth="1"/>
    <col min="23" max="23" width="16.1796875" bestFit="1" customWidth="1"/>
    <col min="24" max="24" width="12.54296875" bestFit="1" customWidth="1"/>
    <col min="28" max="28" width="14.08984375" bestFit="1" customWidth="1"/>
    <col min="29" max="29" width="11.54296875" bestFit="1" customWidth="1"/>
    <col min="30" max="30" width="16.1796875" bestFit="1" customWidth="1"/>
    <col min="31" max="31" width="14.08984375" bestFit="1" customWidth="1"/>
  </cols>
  <sheetData>
    <row r="1" spans="1:31" ht="15" thickBot="1" x14ac:dyDescent="0.4">
      <c r="A1" s="77" t="s">
        <v>15</v>
      </c>
      <c r="B1" s="77" t="s">
        <v>16</v>
      </c>
      <c r="C1" s="77" t="s">
        <v>17</v>
      </c>
      <c r="D1" s="77" t="s">
        <v>18</v>
      </c>
      <c r="E1" s="77" t="s">
        <v>19</v>
      </c>
      <c r="F1" s="77" t="s">
        <v>20</v>
      </c>
      <c r="G1" s="77" t="s">
        <v>15</v>
      </c>
      <c r="H1" s="77" t="s">
        <v>21</v>
      </c>
      <c r="I1" s="78" t="s">
        <v>22</v>
      </c>
      <c r="J1" s="77" t="s">
        <v>23</v>
      </c>
      <c r="M1" s="121" t="s">
        <v>14</v>
      </c>
      <c r="N1" s="121"/>
      <c r="P1" s="121" t="s">
        <v>24</v>
      </c>
      <c r="Q1" s="121"/>
      <c r="R1" s="121"/>
      <c r="S1" s="121"/>
      <c r="T1" s="121"/>
      <c r="AD1" s="100" t="s">
        <v>60</v>
      </c>
      <c r="AE1" s="100"/>
    </row>
    <row r="2" spans="1:31" x14ac:dyDescent="0.35">
      <c r="A2" s="28">
        <v>800</v>
      </c>
      <c r="B2" s="29" t="s">
        <v>3</v>
      </c>
      <c r="C2" s="29">
        <v>6175</v>
      </c>
      <c r="D2" s="50">
        <f>4/14</f>
        <v>0.2857142857142857</v>
      </c>
      <c r="E2" s="29">
        <v>8</v>
      </c>
      <c r="F2" s="51">
        <f>C2*D2*E2</f>
        <v>14114.285714285714</v>
      </c>
      <c r="G2" s="52">
        <f>A2/(1.23)</f>
        <v>650.40650406504062</v>
      </c>
      <c r="H2" s="30">
        <f>F2*G2</f>
        <v>9180023.2288037166</v>
      </c>
      <c r="I2" s="101">
        <v>4</v>
      </c>
      <c r="J2" s="104">
        <f>SUM(H2:H4)</f>
        <v>37480313.58885017</v>
      </c>
      <c r="M2" s="82" t="s">
        <v>41</v>
      </c>
      <c r="N2" s="79">
        <v>6175</v>
      </c>
      <c r="P2" s="87" t="s">
        <v>25</v>
      </c>
      <c r="Q2" s="87" t="s">
        <v>26</v>
      </c>
      <c r="R2" s="87" t="s">
        <v>53</v>
      </c>
      <c r="S2" s="87" t="s">
        <v>37</v>
      </c>
      <c r="T2" s="87" t="s">
        <v>38</v>
      </c>
      <c r="W2" s="95" t="s">
        <v>49</v>
      </c>
      <c r="X2" s="89">
        <v>4500</v>
      </c>
      <c r="Y2" t="s">
        <v>58</v>
      </c>
      <c r="AD2" s="87" t="s">
        <v>49</v>
      </c>
      <c r="AE2" s="90">
        <v>4500</v>
      </c>
    </row>
    <row r="3" spans="1:31" x14ac:dyDescent="0.35">
      <c r="A3" s="31">
        <v>950</v>
      </c>
      <c r="B3" s="9" t="s">
        <v>3</v>
      </c>
      <c r="C3" s="9">
        <v>6175</v>
      </c>
      <c r="D3" s="53">
        <f>4/14</f>
        <v>0.2857142857142857</v>
      </c>
      <c r="E3" s="9">
        <v>10</v>
      </c>
      <c r="F3" s="54">
        <f t="shared" ref="F3:F4" si="0">C3*D3*E3</f>
        <v>17642.857142857141</v>
      </c>
      <c r="G3" s="55">
        <f t="shared" ref="G3:G4" si="1">A3/(1.23)</f>
        <v>772.35772357723579</v>
      </c>
      <c r="H3" s="14">
        <f t="shared" ref="H3:H4" si="2">F3*G3</f>
        <v>13626596.980255516</v>
      </c>
      <c r="I3" s="102"/>
      <c r="J3" s="105"/>
      <c r="K3">
        <v>16055</v>
      </c>
      <c r="M3" s="82" t="s">
        <v>42</v>
      </c>
      <c r="N3" s="79">
        <v>10</v>
      </c>
      <c r="P3" s="88" t="s">
        <v>29</v>
      </c>
      <c r="Q3" s="88">
        <v>30</v>
      </c>
      <c r="R3" s="80">
        <v>2200</v>
      </c>
      <c r="S3" s="80">
        <f>R3*Q3</f>
        <v>66000</v>
      </c>
      <c r="T3" s="90">
        <f>S3*12</f>
        <v>792000</v>
      </c>
      <c r="U3" t="s">
        <v>61</v>
      </c>
      <c r="W3" t="s">
        <v>50</v>
      </c>
      <c r="X3" s="96">
        <f>((Q12-Q10)*1200)+((Q12-Q10)*900)+150000</f>
        <v>687941.86046511633</v>
      </c>
      <c r="Y3" t="s">
        <v>57</v>
      </c>
      <c r="AA3" t="s">
        <v>50</v>
      </c>
      <c r="AB3" s="96">
        <f>X3/12</f>
        <v>57328.48837209303</v>
      </c>
      <c r="AC3" s="89" t="s">
        <v>58</v>
      </c>
      <c r="AD3" s="97" t="s">
        <v>50</v>
      </c>
      <c r="AE3" s="90">
        <v>11493.693798449613</v>
      </c>
    </row>
    <row r="4" spans="1:31" ht="15" thickBot="1" x14ac:dyDescent="0.4">
      <c r="A4" s="32">
        <v>1100</v>
      </c>
      <c r="B4" s="33" t="s">
        <v>3</v>
      </c>
      <c r="C4" s="33">
        <v>6175</v>
      </c>
      <c r="D4" s="56">
        <f>4/14</f>
        <v>0.2857142857142857</v>
      </c>
      <c r="E4" s="33">
        <v>9.3000000000000007</v>
      </c>
      <c r="F4" s="57">
        <f t="shared" si="0"/>
        <v>16407.857142857145</v>
      </c>
      <c r="G4" s="58">
        <f t="shared" si="1"/>
        <v>894.30894308943095</v>
      </c>
      <c r="H4" s="34">
        <f t="shared" si="2"/>
        <v>14673693.379790943</v>
      </c>
      <c r="I4" s="103"/>
      <c r="J4" s="106"/>
      <c r="M4" s="82" t="s">
        <v>43</v>
      </c>
      <c r="N4" s="79">
        <v>1.1499999999999999</v>
      </c>
      <c r="P4" s="88" t="s">
        <v>28</v>
      </c>
      <c r="Q4" s="91">
        <f>Q22</f>
        <v>86.162790697674424</v>
      </c>
      <c r="R4" s="80">
        <v>1300</v>
      </c>
      <c r="S4" s="80">
        <f>R4*Q4</f>
        <v>112011.62790697675</v>
      </c>
      <c r="T4" s="90">
        <f>S4*12</f>
        <v>1344139.534883721</v>
      </c>
      <c r="U4" t="s">
        <v>61</v>
      </c>
      <c r="W4" t="s">
        <v>51</v>
      </c>
      <c r="X4" s="89">
        <f>Q12-Q10*11.7+Q3*18.7+Q5*64+(299/12)</f>
        <v>2377.8794573643409</v>
      </c>
      <c r="Y4" t="s">
        <v>58</v>
      </c>
      <c r="AB4" s="89">
        <f>X4*12</f>
        <v>28534.55348837209</v>
      </c>
      <c r="AD4" s="97" t="s">
        <v>51</v>
      </c>
      <c r="AE4" s="90">
        <v>2377.8794573643409</v>
      </c>
    </row>
    <row r="5" spans="1:31" x14ac:dyDescent="0.35">
      <c r="A5" s="35">
        <v>1800</v>
      </c>
      <c r="B5" s="36" t="s">
        <v>11</v>
      </c>
      <c r="C5" s="36">
        <v>6175</v>
      </c>
      <c r="D5" s="59">
        <f>8/14</f>
        <v>0.5714285714285714</v>
      </c>
      <c r="E5" s="36">
        <v>8</v>
      </c>
      <c r="F5" s="60">
        <f>C5*D5*E5</f>
        <v>28228.571428571428</v>
      </c>
      <c r="G5" s="61">
        <f>A5/(1.23)</f>
        <v>1463.4146341463415</v>
      </c>
      <c r="H5" s="37">
        <f>F5*G5</f>
        <v>41310104.529616728</v>
      </c>
      <c r="I5" s="107">
        <v>8</v>
      </c>
      <c r="J5" s="110">
        <f>SUM(H5:H7)</f>
        <v>121290554.87804878</v>
      </c>
      <c r="M5" s="82" t="s">
        <v>44</v>
      </c>
      <c r="N5" s="79">
        <v>0.3</v>
      </c>
      <c r="P5" s="88" t="s">
        <v>14</v>
      </c>
      <c r="Q5" s="88">
        <v>25</v>
      </c>
      <c r="R5" s="80">
        <v>1350</v>
      </c>
      <c r="S5" s="80">
        <f t="shared" ref="S5:S11" si="3">R5*Q5</f>
        <v>33750</v>
      </c>
      <c r="T5" s="90">
        <f t="shared" ref="T5:T11" si="4">S5*12</f>
        <v>405000</v>
      </c>
      <c r="U5" t="s">
        <v>61</v>
      </c>
      <c r="W5" t="s">
        <v>59</v>
      </c>
      <c r="X5" s="89">
        <f>50+10*(Q12-Q10)</f>
        <v>2611.6279069767443</v>
      </c>
      <c r="Y5" t="s">
        <v>58</v>
      </c>
      <c r="AD5" s="97" t="s">
        <v>59</v>
      </c>
      <c r="AE5" s="90">
        <v>2611.6279069767443</v>
      </c>
    </row>
    <row r="6" spans="1:31" x14ac:dyDescent="0.35">
      <c r="A6" s="38">
        <v>1950</v>
      </c>
      <c r="B6" s="15" t="s">
        <v>11</v>
      </c>
      <c r="C6" s="15">
        <v>6175</v>
      </c>
      <c r="D6" s="62">
        <f>8/14</f>
        <v>0.5714285714285714</v>
      </c>
      <c r="E6" s="15">
        <v>7.1</v>
      </c>
      <c r="F6" s="63">
        <f t="shared" ref="F6:F7" si="5">C6*D6*E6</f>
        <v>25052.857142857141</v>
      </c>
      <c r="G6" s="64">
        <f t="shared" ref="G6:G7" si="6">A6/(1.23)</f>
        <v>1585.3658536585367</v>
      </c>
      <c r="H6" s="20">
        <f t="shared" ref="H6:H7" si="7">F6*G6</f>
        <v>39717944.250871077</v>
      </c>
      <c r="I6" s="108"/>
      <c r="J6" s="111"/>
      <c r="K6" s="99">
        <f>AVERAGE(F5:F7)</f>
        <v>25621.251190476189</v>
      </c>
      <c r="M6" s="82" t="s">
        <v>45</v>
      </c>
      <c r="N6" s="79">
        <f>N2*N3</f>
        <v>61750</v>
      </c>
      <c r="P6" s="88" t="s">
        <v>13</v>
      </c>
      <c r="Q6" s="88">
        <v>35</v>
      </c>
      <c r="R6" s="80">
        <v>1400</v>
      </c>
      <c r="S6" s="80">
        <f t="shared" si="3"/>
        <v>49000</v>
      </c>
      <c r="T6" s="90">
        <f t="shared" si="4"/>
        <v>588000</v>
      </c>
      <c r="AD6" s="98" t="s">
        <v>48</v>
      </c>
      <c r="AE6" s="89">
        <f>SUM(AE2:AE5)</f>
        <v>20983.201162790698</v>
      </c>
    </row>
    <row r="7" spans="1:31" ht="15" thickBot="1" x14ac:dyDescent="0.4">
      <c r="A7" s="39">
        <v>2100</v>
      </c>
      <c r="B7" s="40" t="s">
        <v>11</v>
      </c>
      <c r="C7" s="40">
        <v>6175</v>
      </c>
      <c r="D7" s="65">
        <v>0.56999999999999995</v>
      </c>
      <c r="E7" s="40">
        <v>6.7</v>
      </c>
      <c r="F7" s="66">
        <f t="shared" si="5"/>
        <v>23582.324999999997</v>
      </c>
      <c r="G7" s="67">
        <f t="shared" si="6"/>
        <v>1707.3170731707316</v>
      </c>
      <c r="H7" s="41">
        <f t="shared" si="7"/>
        <v>40262506.097560972</v>
      </c>
      <c r="I7" s="109"/>
      <c r="J7" s="112"/>
      <c r="P7" s="88" t="s">
        <v>27</v>
      </c>
      <c r="Q7" s="88">
        <v>20</v>
      </c>
      <c r="R7" s="80">
        <v>2500</v>
      </c>
      <c r="S7" s="80">
        <f t="shared" si="3"/>
        <v>50000</v>
      </c>
      <c r="T7" s="90">
        <f t="shared" si="4"/>
        <v>600000</v>
      </c>
    </row>
    <row r="8" spans="1:31" x14ac:dyDescent="0.35">
      <c r="A8" s="43">
        <v>3600</v>
      </c>
      <c r="B8" s="44" t="s">
        <v>12</v>
      </c>
      <c r="C8" s="44">
        <v>6175</v>
      </c>
      <c r="D8" s="68">
        <f>2/14</f>
        <v>0.14285714285714285</v>
      </c>
      <c r="E8" s="44">
        <v>8</v>
      </c>
      <c r="F8" s="69">
        <f>C8*D8*E8</f>
        <v>7057.1428571428569</v>
      </c>
      <c r="G8" s="70">
        <f>A8/(1.23)</f>
        <v>2926.8292682926831</v>
      </c>
      <c r="H8" s="45">
        <f>F8*G8</f>
        <v>20655052.264808364</v>
      </c>
      <c r="I8" s="113">
        <v>2</v>
      </c>
      <c r="J8" s="116">
        <f>SUM(H8:H10)</f>
        <v>64260162.601626024</v>
      </c>
      <c r="M8" s="82" t="s">
        <v>46</v>
      </c>
      <c r="N8" s="81">
        <f>N6*N4+N6*N5</f>
        <v>89537.5</v>
      </c>
      <c r="P8" s="88" t="s">
        <v>39</v>
      </c>
      <c r="Q8" s="88">
        <v>10</v>
      </c>
      <c r="R8" s="80">
        <v>5000</v>
      </c>
      <c r="S8" s="80">
        <f t="shared" si="3"/>
        <v>50000</v>
      </c>
      <c r="T8" s="90">
        <f t="shared" si="4"/>
        <v>600000</v>
      </c>
      <c r="U8" t="s">
        <v>61</v>
      </c>
    </row>
    <row r="9" spans="1:31" x14ac:dyDescent="0.35">
      <c r="A9" s="46">
        <v>3750</v>
      </c>
      <c r="B9" s="21" t="s">
        <v>12</v>
      </c>
      <c r="C9" s="21">
        <v>6175</v>
      </c>
      <c r="D9" s="71">
        <f>2/14</f>
        <v>0.14285714285714285</v>
      </c>
      <c r="E9" s="21">
        <v>8</v>
      </c>
      <c r="F9" s="72">
        <f t="shared" ref="F9:F10" si="8">C9*D9*E9</f>
        <v>7057.1428571428569</v>
      </c>
      <c r="G9" s="73">
        <f t="shared" ref="G9:G10" si="9">A9/(1.23)</f>
        <v>3048.7804878048782</v>
      </c>
      <c r="H9" s="26">
        <f t="shared" ref="H9:H10" si="10">F9*G9</f>
        <v>21515679.442508712</v>
      </c>
      <c r="I9" s="114"/>
      <c r="J9" s="117"/>
      <c r="K9" s="99">
        <f>AVERAGE(F8:F10)</f>
        <v>7057.1428571428578</v>
      </c>
      <c r="P9" s="88" t="s">
        <v>40</v>
      </c>
      <c r="Q9" s="88">
        <v>40</v>
      </c>
      <c r="R9" s="90">
        <v>1650</v>
      </c>
      <c r="S9" s="80">
        <f t="shared" si="3"/>
        <v>66000</v>
      </c>
      <c r="T9" s="90">
        <f t="shared" si="4"/>
        <v>792000</v>
      </c>
      <c r="U9" t="s">
        <v>61</v>
      </c>
    </row>
    <row r="10" spans="1:31" ht="15" thickBot="1" x14ac:dyDescent="0.4">
      <c r="A10" s="47">
        <v>3850</v>
      </c>
      <c r="B10" s="48" t="s">
        <v>12</v>
      </c>
      <c r="C10" s="48">
        <v>6175</v>
      </c>
      <c r="D10" s="74">
        <f>2/14</f>
        <v>0.14285714285714285</v>
      </c>
      <c r="E10" s="48">
        <v>8</v>
      </c>
      <c r="F10" s="75">
        <f t="shared" si="8"/>
        <v>7057.1428571428569</v>
      </c>
      <c r="G10" s="76">
        <f t="shared" si="9"/>
        <v>3130.0813008130081</v>
      </c>
      <c r="H10" s="49">
        <f t="shared" si="10"/>
        <v>22089430.894308943</v>
      </c>
      <c r="I10" s="115"/>
      <c r="J10" s="118"/>
      <c r="P10" s="88" t="s">
        <v>54</v>
      </c>
      <c r="Q10" s="88">
        <v>6</v>
      </c>
      <c r="R10" s="80">
        <v>950</v>
      </c>
      <c r="S10" s="80">
        <f>R10*Q10</f>
        <v>5700</v>
      </c>
      <c r="T10" s="80">
        <f t="shared" si="4"/>
        <v>68400</v>
      </c>
    </row>
    <row r="11" spans="1:31" x14ac:dyDescent="0.35">
      <c r="A11" s="7"/>
      <c r="J11" s="42">
        <f>SUM(J2:J10)</f>
        <v>223031031.06852496</v>
      </c>
      <c r="P11" s="92" t="s">
        <v>55</v>
      </c>
      <c r="Q11" s="88">
        <v>10</v>
      </c>
      <c r="R11" s="80">
        <v>2000</v>
      </c>
      <c r="S11" s="80">
        <f t="shared" si="3"/>
        <v>20000</v>
      </c>
      <c r="T11" s="80">
        <f t="shared" si="4"/>
        <v>240000</v>
      </c>
      <c r="U11" t="s">
        <v>61</v>
      </c>
    </row>
    <row r="12" spans="1:31" x14ac:dyDescent="0.35">
      <c r="A12" s="7"/>
      <c r="P12" s="87" t="s">
        <v>48</v>
      </c>
      <c r="Q12" s="94">
        <f>SUM(Q3:Q11)</f>
        <v>262.16279069767444</v>
      </c>
      <c r="R12" s="81">
        <f>SUM(R3:R11)</f>
        <v>18350</v>
      </c>
      <c r="S12" s="81">
        <f>SUM(S3:S11)</f>
        <v>452461.62790697673</v>
      </c>
      <c r="T12" s="81">
        <f>SUM(T3:T11)</f>
        <v>5429539.5348837208</v>
      </c>
    </row>
    <row r="13" spans="1:31" x14ac:dyDescent="0.35">
      <c r="B13" s="77" t="s">
        <v>15</v>
      </c>
      <c r="C13" s="77" t="s">
        <v>16</v>
      </c>
      <c r="D13" s="77" t="s">
        <v>17</v>
      </c>
      <c r="E13" s="77" t="s">
        <v>18</v>
      </c>
      <c r="F13" s="77" t="s">
        <v>19</v>
      </c>
      <c r="G13" s="77" t="s">
        <v>20</v>
      </c>
      <c r="H13" s="77" t="s">
        <v>15</v>
      </c>
      <c r="I13" s="83" t="s">
        <v>22</v>
      </c>
      <c r="J13" s="77" t="s">
        <v>23</v>
      </c>
    </row>
    <row r="14" spans="1:31" x14ac:dyDescent="0.35">
      <c r="B14" s="1">
        <v>1200</v>
      </c>
      <c r="C14" s="1" t="s">
        <v>8</v>
      </c>
      <c r="D14" s="1">
        <v>6175</v>
      </c>
      <c r="E14" s="84">
        <f>6/11</f>
        <v>0.54545454545454541</v>
      </c>
      <c r="F14" s="1">
        <v>2.4</v>
      </c>
      <c r="G14" s="85">
        <f>D14*E14*F14</f>
        <v>8083.6363636363631</v>
      </c>
      <c r="H14" s="86">
        <f>B14/(1.23)</f>
        <v>975.60975609756099</v>
      </c>
      <c r="I14" s="1">
        <v>6</v>
      </c>
      <c r="J14" s="6">
        <f>G14*H14</f>
        <v>7886474.5011086473</v>
      </c>
    </row>
    <row r="15" spans="1:31" x14ac:dyDescent="0.35">
      <c r="B15" s="1">
        <v>2400</v>
      </c>
      <c r="C15" s="1" t="s">
        <v>9</v>
      </c>
      <c r="D15" s="1">
        <v>6175</v>
      </c>
      <c r="E15" s="84">
        <f>4/11</f>
        <v>0.36363636363636365</v>
      </c>
      <c r="F15" s="1">
        <v>3.3</v>
      </c>
      <c r="G15" s="85">
        <f>D15*E15*F15</f>
        <v>7410</v>
      </c>
      <c r="H15" s="86">
        <f t="shared" ref="H15" si="11">B15/(1.23)</f>
        <v>1951.219512195122</v>
      </c>
      <c r="I15" s="1">
        <v>4</v>
      </c>
      <c r="J15" s="6">
        <f>G15*H15</f>
        <v>14458536.585365854</v>
      </c>
    </row>
    <row r="16" spans="1:31" x14ac:dyDescent="0.35">
      <c r="B16" s="1">
        <v>15000</v>
      </c>
      <c r="C16" s="1" t="s">
        <v>10</v>
      </c>
      <c r="D16" s="1">
        <v>6175</v>
      </c>
      <c r="E16" s="84">
        <f>4/11</f>
        <v>0.36363636363636365</v>
      </c>
      <c r="F16" s="1">
        <v>3.3</v>
      </c>
      <c r="G16" s="85">
        <f>D16*E16*F16</f>
        <v>7410</v>
      </c>
      <c r="H16" s="86">
        <f>B16/1.23</f>
        <v>12195.121951219513</v>
      </c>
      <c r="I16" s="1">
        <v>4</v>
      </c>
      <c r="J16" s="6">
        <f>G16*H16</f>
        <v>90365853.658536598</v>
      </c>
      <c r="P16" s="119" t="s">
        <v>30</v>
      </c>
      <c r="Q16" s="119"/>
      <c r="S16" s="89" cm="1">
        <f t="array" ref="S16">AVERAGE(R3:R9+R11)</f>
        <v>4200</v>
      </c>
    </row>
    <row r="17" spans="8:23" x14ac:dyDescent="0.35">
      <c r="J17" s="27">
        <f>SUM(J14:J16)</f>
        <v>112710864.74501109</v>
      </c>
      <c r="P17" s="82" t="s">
        <v>31</v>
      </c>
      <c r="Q17" s="79">
        <v>6175</v>
      </c>
      <c r="S17">
        <f>256*42/12</f>
        <v>896</v>
      </c>
      <c r="W17" t="s">
        <v>52</v>
      </c>
    </row>
    <row r="18" spans="8:23" x14ac:dyDescent="0.35">
      <c r="P18" s="82" t="s">
        <v>32</v>
      </c>
      <c r="Q18" s="79">
        <v>1</v>
      </c>
      <c r="W18" t="s">
        <v>56</v>
      </c>
    </row>
    <row r="19" spans="8:23" x14ac:dyDescent="0.35">
      <c r="H19" s="120" t="s">
        <v>47</v>
      </c>
      <c r="I19" s="120"/>
      <c r="J19" s="81">
        <f>J11+J17</f>
        <v>335741895.81353605</v>
      </c>
      <c r="P19" s="82" t="s">
        <v>33</v>
      </c>
      <c r="Q19" s="79">
        <v>2</v>
      </c>
    </row>
    <row r="20" spans="8:23" x14ac:dyDescent="0.35">
      <c r="P20" s="82" t="s">
        <v>34</v>
      </c>
      <c r="Q20" s="79">
        <f>Q17*Q18*12*Q19</f>
        <v>148200</v>
      </c>
      <c r="S20" s="89">
        <f>(Q3*R3+Q4*R4+Q5*R5+Q6*R6+Q7*R7+Q8*R8+Q9*R9+Q11*R11)/256</f>
        <v>1745.1626090116279</v>
      </c>
    </row>
    <row r="21" spans="8:23" x14ac:dyDescent="0.35">
      <c r="P21" s="82" t="s">
        <v>35</v>
      </c>
      <c r="Q21" s="79">
        <f>215*8</f>
        <v>1720</v>
      </c>
      <c r="S21">
        <f>17*256</f>
        <v>4352</v>
      </c>
    </row>
    <row r="22" spans="8:23" x14ac:dyDescent="0.35">
      <c r="P22" s="82" t="s">
        <v>36</v>
      </c>
      <c r="Q22" s="93">
        <f>Q20/Q21</f>
        <v>86.162790697674424</v>
      </c>
    </row>
  </sheetData>
  <mergeCells count="11">
    <mergeCell ref="I8:I10"/>
    <mergeCell ref="J8:J10"/>
    <mergeCell ref="P16:Q16"/>
    <mergeCell ref="H19:I19"/>
    <mergeCell ref="M1:N1"/>
    <mergeCell ref="P1:T1"/>
    <mergeCell ref="AD1:AE1"/>
    <mergeCell ref="I2:I4"/>
    <mergeCell ref="J2:J4"/>
    <mergeCell ref="I5:I7"/>
    <mergeCell ref="J5:J7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8C701-0696-4EAF-BC8A-ECF6D4F57EBD}">
  <dimension ref="A1:AE28"/>
  <sheetViews>
    <sheetView workbookViewId="0">
      <selection activeCell="B23" sqref="B23:B24"/>
    </sheetView>
  </sheetViews>
  <sheetFormatPr defaultRowHeight="14.5" x14ac:dyDescent="0.35"/>
  <cols>
    <col min="2" max="2" width="11" customWidth="1"/>
    <col min="3" max="3" width="13.26953125" customWidth="1"/>
    <col min="4" max="4" width="12.54296875" bestFit="1" customWidth="1"/>
    <col min="5" max="5" width="10.453125" customWidth="1"/>
    <col min="6" max="6" width="15.26953125" customWidth="1"/>
    <col min="8" max="8" width="16.08984375" bestFit="1" customWidth="1"/>
    <col min="9" max="9" width="14.7265625" customWidth="1"/>
    <col min="10" max="10" width="17.81640625" bestFit="1" customWidth="1"/>
    <col min="13" max="13" width="16.08984375" customWidth="1"/>
    <col min="14" max="14" width="12.36328125" customWidth="1"/>
    <col min="16" max="16" width="19.90625" bestFit="1" customWidth="1"/>
    <col min="17" max="17" width="15.1796875" bestFit="1" customWidth="1"/>
    <col min="18" max="18" width="12.26953125" bestFit="1" customWidth="1"/>
    <col min="19" max="20" width="18.7265625" bestFit="1" customWidth="1"/>
    <col min="23" max="23" width="16.1796875" bestFit="1" customWidth="1"/>
    <col min="24" max="24" width="12.54296875" bestFit="1" customWidth="1"/>
    <col min="28" max="28" width="14.08984375" bestFit="1" customWidth="1"/>
    <col min="29" max="29" width="11.54296875" bestFit="1" customWidth="1"/>
    <col min="30" max="30" width="16.1796875" bestFit="1" customWidth="1"/>
    <col min="31" max="31" width="14.08984375" bestFit="1" customWidth="1"/>
  </cols>
  <sheetData>
    <row r="1" spans="1:31" ht="15" thickBot="1" x14ac:dyDescent="0.4">
      <c r="A1" s="77" t="s">
        <v>15</v>
      </c>
      <c r="B1" s="77" t="s">
        <v>16</v>
      </c>
      <c r="C1" s="77" t="s">
        <v>17</v>
      </c>
      <c r="D1" s="77" t="s">
        <v>18</v>
      </c>
      <c r="E1" s="77" t="s">
        <v>19</v>
      </c>
      <c r="F1" s="77" t="s">
        <v>20</v>
      </c>
      <c r="G1" s="77" t="s">
        <v>15</v>
      </c>
      <c r="H1" s="77" t="s">
        <v>21</v>
      </c>
      <c r="I1" s="78" t="s">
        <v>22</v>
      </c>
      <c r="J1" s="77" t="s">
        <v>23</v>
      </c>
      <c r="M1" s="121" t="s">
        <v>14</v>
      </c>
      <c r="N1" s="121"/>
      <c r="P1" s="121" t="s">
        <v>24</v>
      </c>
      <c r="Q1" s="121"/>
      <c r="R1" s="121"/>
      <c r="S1" s="121"/>
      <c r="T1" s="121"/>
      <c r="AD1" s="100" t="s">
        <v>60</v>
      </c>
      <c r="AE1" s="100"/>
    </row>
    <row r="2" spans="1:31" ht="15" thickBot="1" x14ac:dyDescent="0.4">
      <c r="A2" s="28">
        <v>800</v>
      </c>
      <c r="B2" s="29" t="s">
        <v>3</v>
      </c>
      <c r="C2" s="29">
        <v>6175</v>
      </c>
      <c r="D2" s="50">
        <v>0.31</v>
      </c>
      <c r="E2" s="29">
        <v>8</v>
      </c>
      <c r="F2" s="51">
        <f>C2*D2*E2</f>
        <v>15314</v>
      </c>
      <c r="G2" s="52">
        <f>A2/(1.23)</f>
        <v>650.40650406504062</v>
      </c>
      <c r="H2" s="30">
        <f>F2*G2</f>
        <v>9960325.2032520324</v>
      </c>
      <c r="I2" s="101">
        <v>4</v>
      </c>
      <c r="J2" s="104">
        <f>SUM(H2:H4)</f>
        <v>40666140.243902445</v>
      </c>
      <c r="M2" s="82" t="s">
        <v>41</v>
      </c>
      <c r="N2" s="79">
        <v>6175</v>
      </c>
      <c r="P2" s="87" t="s">
        <v>25</v>
      </c>
      <c r="Q2" s="87" t="s">
        <v>26</v>
      </c>
      <c r="R2" s="87" t="s">
        <v>53</v>
      </c>
      <c r="S2" s="87" t="s">
        <v>37</v>
      </c>
      <c r="T2" s="87" t="s">
        <v>38</v>
      </c>
      <c r="W2" s="95" t="s">
        <v>49</v>
      </c>
      <c r="X2" s="89">
        <v>4500</v>
      </c>
      <c r="Y2" t="s">
        <v>58</v>
      </c>
      <c r="AD2" s="87" t="s">
        <v>49</v>
      </c>
      <c r="AE2" s="90">
        <v>4500</v>
      </c>
    </row>
    <row r="3" spans="1:31" ht="15" thickBot="1" x14ac:dyDescent="0.4">
      <c r="A3" s="31">
        <v>950</v>
      </c>
      <c r="B3" s="9" t="s">
        <v>3</v>
      </c>
      <c r="C3" s="9">
        <v>6175</v>
      </c>
      <c r="D3" s="50">
        <v>0.31</v>
      </c>
      <c r="E3" s="9">
        <v>10</v>
      </c>
      <c r="F3" s="54">
        <f t="shared" ref="F3:F4" si="0">C3*D3*E3</f>
        <v>19142.5</v>
      </c>
      <c r="G3" s="55">
        <f t="shared" ref="G3:G4" si="1">A3/(1.23)</f>
        <v>772.35772357723579</v>
      </c>
      <c r="H3" s="14">
        <f t="shared" ref="H3:H4" si="2">F3*G3</f>
        <v>14784857.723577237</v>
      </c>
      <c r="I3" s="102"/>
      <c r="J3" s="105"/>
      <c r="K3">
        <v>16055</v>
      </c>
      <c r="M3" s="82" t="s">
        <v>42</v>
      </c>
      <c r="N3" s="79">
        <v>10</v>
      </c>
      <c r="P3" s="88" t="s">
        <v>29</v>
      </c>
      <c r="Q3" s="88">
        <v>30</v>
      </c>
      <c r="R3" s="80">
        <v>2200</v>
      </c>
      <c r="S3" s="80">
        <f>R3*Q3</f>
        <v>66000</v>
      </c>
      <c r="T3" s="90">
        <f>S3*12</f>
        <v>792000</v>
      </c>
      <c r="U3" t="s">
        <v>61</v>
      </c>
      <c r="W3" t="s">
        <v>50</v>
      </c>
      <c r="X3" s="96">
        <f>((Q12-Q10)*1200)+((Q12-Q10)*900)+150000</f>
        <v>687941.86046511633</v>
      </c>
      <c r="Y3" t="s">
        <v>57</v>
      </c>
      <c r="AA3" t="s">
        <v>50</v>
      </c>
      <c r="AB3" s="96">
        <f>X3/12</f>
        <v>57328.48837209303</v>
      </c>
      <c r="AC3" s="89" t="s">
        <v>58</v>
      </c>
      <c r="AD3" s="97" t="s">
        <v>50</v>
      </c>
      <c r="AE3" s="90">
        <v>11493.693798449613</v>
      </c>
    </row>
    <row r="4" spans="1:31" ht="15" thickBot="1" x14ac:dyDescent="0.4">
      <c r="A4" s="32">
        <v>1100</v>
      </c>
      <c r="B4" s="33" t="s">
        <v>3</v>
      </c>
      <c r="C4" s="33">
        <v>6175</v>
      </c>
      <c r="D4" s="50">
        <v>0.31</v>
      </c>
      <c r="E4" s="33">
        <v>9.3000000000000007</v>
      </c>
      <c r="F4" s="57">
        <f t="shared" si="0"/>
        <v>17802.525000000001</v>
      </c>
      <c r="G4" s="58">
        <f t="shared" si="1"/>
        <v>894.30894308943095</v>
      </c>
      <c r="H4" s="34">
        <f t="shared" si="2"/>
        <v>15920957.317073174</v>
      </c>
      <c r="I4" s="103"/>
      <c r="J4" s="106"/>
      <c r="M4" s="82" t="s">
        <v>43</v>
      </c>
      <c r="N4" s="79">
        <v>1.1499999999999999</v>
      </c>
      <c r="P4" s="88" t="s">
        <v>28</v>
      </c>
      <c r="Q4" s="91">
        <f>Q22</f>
        <v>86.162790697674424</v>
      </c>
      <c r="R4" s="80">
        <v>1300</v>
      </c>
      <c r="S4" s="80">
        <f>R4*Q4</f>
        <v>112011.62790697675</v>
      </c>
      <c r="T4" s="90">
        <f>S4*12</f>
        <v>1344139.534883721</v>
      </c>
      <c r="U4" t="s">
        <v>61</v>
      </c>
      <c r="W4" t="s">
        <v>51</v>
      </c>
      <c r="X4" s="89">
        <f>Q12-Q10*11.7+Q3*18.7+Q5*64+(299/12)</f>
        <v>2377.8794573643409</v>
      </c>
      <c r="Y4" t="s">
        <v>58</v>
      </c>
      <c r="AB4" s="89">
        <f>X4*12</f>
        <v>28534.55348837209</v>
      </c>
      <c r="AD4" s="97" t="s">
        <v>51</v>
      </c>
      <c r="AE4" s="90">
        <v>2377.8794573643409</v>
      </c>
    </row>
    <row r="5" spans="1:31" x14ac:dyDescent="0.35">
      <c r="A5" s="35">
        <v>1800</v>
      </c>
      <c r="B5" s="36" t="s">
        <v>11</v>
      </c>
      <c r="C5" s="36">
        <v>6175</v>
      </c>
      <c r="D5" s="59">
        <f>8/14</f>
        <v>0.5714285714285714</v>
      </c>
      <c r="E5" s="36">
        <v>8</v>
      </c>
      <c r="F5" s="60">
        <f>C5*D5*E5</f>
        <v>28228.571428571428</v>
      </c>
      <c r="G5" s="61">
        <f>A5/(1.23)</f>
        <v>1463.4146341463415</v>
      </c>
      <c r="H5" s="37">
        <f>F5*G5</f>
        <v>41310104.529616728</v>
      </c>
      <c r="I5" s="107">
        <v>8</v>
      </c>
      <c r="J5" s="110">
        <f>SUM(H5:H7)</f>
        <v>121290554.87804878</v>
      </c>
      <c r="M5" s="82" t="s">
        <v>44</v>
      </c>
      <c r="N5" s="79">
        <v>0.3</v>
      </c>
      <c r="P5" s="88" t="s">
        <v>14</v>
      </c>
      <c r="Q5" s="88">
        <v>25</v>
      </c>
      <c r="R5" s="80">
        <v>1350</v>
      </c>
      <c r="S5" s="80">
        <f t="shared" ref="S5:S11" si="3">R5*Q5</f>
        <v>33750</v>
      </c>
      <c r="T5" s="90">
        <f t="shared" ref="T5:T11" si="4">S5*12</f>
        <v>405000</v>
      </c>
      <c r="U5" t="s">
        <v>61</v>
      </c>
      <c r="W5" t="s">
        <v>59</v>
      </c>
      <c r="X5" s="89">
        <f>50+10*(Q12-Q10)</f>
        <v>2611.6279069767443</v>
      </c>
      <c r="Y5" t="s">
        <v>58</v>
      </c>
      <c r="AD5" s="97" t="s">
        <v>59</v>
      </c>
      <c r="AE5" s="90">
        <v>2611.6279069767443</v>
      </c>
    </row>
    <row r="6" spans="1:31" x14ac:dyDescent="0.35">
      <c r="A6" s="38">
        <v>1950</v>
      </c>
      <c r="B6" s="15" t="s">
        <v>11</v>
      </c>
      <c r="C6" s="15">
        <v>6175</v>
      </c>
      <c r="D6" s="62">
        <f>8/14</f>
        <v>0.5714285714285714</v>
      </c>
      <c r="E6" s="15">
        <v>7.1</v>
      </c>
      <c r="F6" s="63">
        <f t="shared" ref="F6:F7" si="5">C6*D6*E6</f>
        <v>25052.857142857141</v>
      </c>
      <c r="G6" s="64">
        <f t="shared" ref="G6:G7" si="6">A6/(1.23)</f>
        <v>1585.3658536585367</v>
      </c>
      <c r="H6" s="20">
        <f t="shared" ref="H6:H7" si="7">F6*G6</f>
        <v>39717944.250871077</v>
      </c>
      <c r="I6" s="108"/>
      <c r="J6" s="111"/>
      <c r="K6" s="99">
        <f>AVERAGE(F5:F7)</f>
        <v>25621.251190476189</v>
      </c>
      <c r="M6" s="82" t="s">
        <v>45</v>
      </c>
      <c r="N6" s="79">
        <f>N2*N3</f>
        <v>61750</v>
      </c>
      <c r="P6" s="88" t="s">
        <v>13</v>
      </c>
      <c r="Q6" s="88">
        <v>35</v>
      </c>
      <c r="R6" s="80">
        <v>1400</v>
      </c>
      <c r="S6" s="80">
        <f t="shared" si="3"/>
        <v>49000</v>
      </c>
      <c r="T6" s="90">
        <f t="shared" si="4"/>
        <v>588000</v>
      </c>
      <c r="AD6" s="98" t="s">
        <v>48</v>
      </c>
      <c r="AE6" s="89">
        <f>SUM(AE2:AE5)</f>
        <v>20983.201162790698</v>
      </c>
    </row>
    <row r="7" spans="1:31" ht="15" thickBot="1" x14ac:dyDescent="0.4">
      <c r="A7" s="39">
        <v>2100</v>
      </c>
      <c r="B7" s="40" t="s">
        <v>11</v>
      </c>
      <c r="C7" s="40">
        <v>6175</v>
      </c>
      <c r="D7" s="65">
        <v>0.56999999999999995</v>
      </c>
      <c r="E7" s="40">
        <v>6.7</v>
      </c>
      <c r="F7" s="66">
        <f t="shared" si="5"/>
        <v>23582.324999999997</v>
      </c>
      <c r="G7" s="67">
        <f t="shared" si="6"/>
        <v>1707.3170731707316</v>
      </c>
      <c r="H7" s="41">
        <f t="shared" si="7"/>
        <v>40262506.097560972</v>
      </c>
      <c r="I7" s="109"/>
      <c r="J7" s="112"/>
      <c r="P7" s="88" t="s">
        <v>27</v>
      </c>
      <c r="Q7" s="88">
        <v>20</v>
      </c>
      <c r="R7" s="80">
        <v>2500</v>
      </c>
      <c r="S7" s="80">
        <f t="shared" si="3"/>
        <v>50000</v>
      </c>
      <c r="T7" s="90">
        <f t="shared" si="4"/>
        <v>600000</v>
      </c>
    </row>
    <row r="8" spans="1:31" x14ac:dyDescent="0.35">
      <c r="A8" s="43">
        <v>3600</v>
      </c>
      <c r="B8" s="44" t="s">
        <v>12</v>
      </c>
      <c r="C8" s="44">
        <v>6175</v>
      </c>
      <c r="D8" s="68">
        <f>2/14</f>
        <v>0.14285714285714285</v>
      </c>
      <c r="E8" s="44">
        <v>8</v>
      </c>
      <c r="F8" s="69">
        <f>C8*D8*E8</f>
        <v>7057.1428571428569</v>
      </c>
      <c r="G8" s="70">
        <f>A8/(1.23)</f>
        <v>2926.8292682926831</v>
      </c>
      <c r="H8" s="45">
        <f>F8*G8</f>
        <v>20655052.264808364</v>
      </c>
      <c r="I8" s="113">
        <v>2</v>
      </c>
      <c r="J8" s="116">
        <f>SUM(H8:H10)</f>
        <v>64260162.601626024</v>
      </c>
      <c r="M8" s="82" t="s">
        <v>46</v>
      </c>
      <c r="N8" s="81">
        <f>N6*N4+N6*N5</f>
        <v>89537.5</v>
      </c>
      <c r="P8" s="88" t="s">
        <v>39</v>
      </c>
      <c r="Q8" s="88">
        <v>10</v>
      </c>
      <c r="R8" s="80">
        <v>5000</v>
      </c>
      <c r="S8" s="80">
        <f t="shared" si="3"/>
        <v>50000</v>
      </c>
      <c r="T8" s="90">
        <f t="shared" si="4"/>
        <v>600000</v>
      </c>
      <c r="U8" t="s">
        <v>61</v>
      </c>
    </row>
    <row r="9" spans="1:31" x14ac:dyDescent="0.35">
      <c r="A9" s="46">
        <v>3750</v>
      </c>
      <c r="B9" s="21" t="s">
        <v>12</v>
      </c>
      <c r="C9" s="21">
        <v>6175</v>
      </c>
      <c r="D9" s="71">
        <f>2/14</f>
        <v>0.14285714285714285</v>
      </c>
      <c r="E9" s="21">
        <v>8</v>
      </c>
      <c r="F9" s="72">
        <f t="shared" ref="F9:F10" si="8">C9*D9*E9</f>
        <v>7057.1428571428569</v>
      </c>
      <c r="G9" s="73">
        <f t="shared" ref="G9:G10" si="9">A9/(1.23)</f>
        <v>3048.7804878048782</v>
      </c>
      <c r="H9" s="26">
        <f t="shared" ref="H9:H10" si="10">F9*G9</f>
        <v>21515679.442508712</v>
      </c>
      <c r="I9" s="114"/>
      <c r="J9" s="117"/>
      <c r="K9" s="99">
        <f>AVERAGE(F8:F10)</f>
        <v>7057.1428571428578</v>
      </c>
      <c r="P9" s="88" t="s">
        <v>40</v>
      </c>
      <c r="Q9" s="88">
        <v>40</v>
      </c>
      <c r="R9" s="90">
        <v>1650</v>
      </c>
      <c r="S9" s="80">
        <f t="shared" si="3"/>
        <v>66000</v>
      </c>
      <c r="T9" s="90">
        <f t="shared" si="4"/>
        <v>792000</v>
      </c>
      <c r="U9" t="s">
        <v>61</v>
      </c>
    </row>
    <row r="10" spans="1:31" ht="15" thickBot="1" x14ac:dyDescent="0.4">
      <c r="A10" s="47">
        <v>3850</v>
      </c>
      <c r="B10" s="48" t="s">
        <v>12</v>
      </c>
      <c r="C10" s="48">
        <v>6175</v>
      </c>
      <c r="D10" s="74">
        <f>2/14</f>
        <v>0.14285714285714285</v>
      </c>
      <c r="E10" s="48">
        <v>8</v>
      </c>
      <c r="F10" s="75">
        <f t="shared" si="8"/>
        <v>7057.1428571428569</v>
      </c>
      <c r="G10" s="76">
        <f t="shared" si="9"/>
        <v>3130.0813008130081</v>
      </c>
      <c r="H10" s="49">
        <f t="shared" si="10"/>
        <v>22089430.894308943</v>
      </c>
      <c r="I10" s="115"/>
      <c r="J10" s="118"/>
      <c r="P10" s="88" t="s">
        <v>54</v>
      </c>
      <c r="Q10" s="88">
        <v>6</v>
      </c>
      <c r="R10" s="80">
        <v>950</v>
      </c>
      <c r="S10" s="80">
        <f>R10*Q10</f>
        <v>5700</v>
      </c>
      <c r="T10" s="80">
        <f t="shared" si="4"/>
        <v>68400</v>
      </c>
    </row>
    <row r="11" spans="1:31" x14ac:dyDescent="0.35">
      <c r="A11" s="7"/>
      <c r="J11" s="42">
        <f>SUM(J2:J10)</f>
        <v>226216857.72357726</v>
      </c>
      <c r="P11" s="92" t="s">
        <v>55</v>
      </c>
      <c r="Q11" s="88">
        <v>10</v>
      </c>
      <c r="R11" s="80">
        <v>2000</v>
      </c>
      <c r="S11" s="80">
        <f t="shared" si="3"/>
        <v>20000</v>
      </c>
      <c r="T11" s="80">
        <f t="shared" si="4"/>
        <v>240000</v>
      </c>
      <c r="U11" t="s">
        <v>61</v>
      </c>
    </row>
    <row r="12" spans="1:31" x14ac:dyDescent="0.35">
      <c r="A12" s="7"/>
      <c r="P12" s="87" t="s">
        <v>48</v>
      </c>
      <c r="Q12" s="94">
        <f>SUM(Q3:Q11)</f>
        <v>262.16279069767444</v>
      </c>
      <c r="R12" s="81">
        <f>SUM(R3:R11)</f>
        <v>18350</v>
      </c>
      <c r="S12" s="81">
        <f>SUM(S3:S11)</f>
        <v>452461.62790697673</v>
      </c>
      <c r="T12" s="81">
        <f>SUM(T3:T11)</f>
        <v>5429539.5348837208</v>
      </c>
    </row>
    <row r="13" spans="1:31" x14ac:dyDescent="0.35">
      <c r="B13" s="77" t="s">
        <v>15</v>
      </c>
      <c r="C13" s="77" t="s">
        <v>16</v>
      </c>
      <c r="D13" s="77" t="s">
        <v>17</v>
      </c>
      <c r="E13" s="77" t="s">
        <v>18</v>
      </c>
      <c r="F13" s="77" t="s">
        <v>19</v>
      </c>
      <c r="G13" s="77" t="s">
        <v>20</v>
      </c>
      <c r="H13" s="77" t="s">
        <v>15</v>
      </c>
      <c r="I13" s="83" t="s">
        <v>22</v>
      </c>
      <c r="J13" s="77" t="s">
        <v>23</v>
      </c>
    </row>
    <row r="14" spans="1:31" x14ac:dyDescent="0.35">
      <c r="B14" s="1">
        <v>1200</v>
      </c>
      <c r="C14" s="1" t="s">
        <v>8</v>
      </c>
      <c r="D14" s="1">
        <v>6175</v>
      </c>
      <c r="E14" s="84">
        <f>6/11</f>
        <v>0.54545454545454541</v>
      </c>
      <c r="F14" s="1">
        <v>2.4</v>
      </c>
      <c r="G14" s="85">
        <f>D14*E14*F14</f>
        <v>8083.6363636363631</v>
      </c>
      <c r="H14" s="86">
        <f>B14/(1.23)</f>
        <v>975.60975609756099</v>
      </c>
      <c r="I14" s="1">
        <v>6</v>
      </c>
      <c r="J14" s="6">
        <f>G14*H14</f>
        <v>7886474.5011086473</v>
      </c>
    </row>
    <row r="15" spans="1:31" x14ac:dyDescent="0.35">
      <c r="B15" s="1">
        <v>2400</v>
      </c>
      <c r="C15" s="1" t="s">
        <v>9</v>
      </c>
      <c r="D15" s="1">
        <v>6175</v>
      </c>
      <c r="E15" s="84">
        <f>4/11</f>
        <v>0.36363636363636365</v>
      </c>
      <c r="F15" s="1">
        <v>3.3</v>
      </c>
      <c r="G15" s="85">
        <f>D15*E15*F15</f>
        <v>7410</v>
      </c>
      <c r="H15" s="86">
        <f t="shared" ref="H15" si="11">B15/(1.23)</f>
        <v>1951.219512195122</v>
      </c>
      <c r="I15" s="1">
        <v>4</v>
      </c>
      <c r="J15" s="6">
        <f>G15*H15</f>
        <v>14458536.585365854</v>
      </c>
    </row>
    <row r="16" spans="1:31" x14ac:dyDescent="0.35">
      <c r="B16" s="1">
        <v>15000</v>
      </c>
      <c r="C16" s="1" t="s">
        <v>10</v>
      </c>
      <c r="D16" s="1">
        <v>6175</v>
      </c>
      <c r="E16" s="84">
        <f>4/11</f>
        <v>0.36363636363636365</v>
      </c>
      <c r="F16" s="1">
        <v>3.3</v>
      </c>
      <c r="G16" s="85">
        <f>D16*E16*F16</f>
        <v>7410</v>
      </c>
      <c r="H16" s="86">
        <f>B16/1.23</f>
        <v>12195.121951219513</v>
      </c>
      <c r="I16" s="1">
        <v>4</v>
      </c>
      <c r="J16" s="6">
        <f>G16*H16</f>
        <v>90365853.658536598</v>
      </c>
      <c r="P16" s="119" t="s">
        <v>30</v>
      </c>
      <c r="Q16" s="119"/>
      <c r="S16" s="89" cm="1">
        <f t="array" ref="S16">AVERAGE(R3:R9+R11)</f>
        <v>4200</v>
      </c>
    </row>
    <row r="17" spans="5:23" x14ac:dyDescent="0.35">
      <c r="J17" s="27">
        <f>SUM(J14:J16)</f>
        <v>112710864.74501109</v>
      </c>
      <c r="P17" s="82" t="s">
        <v>31</v>
      </c>
      <c r="Q17" s="79">
        <v>6175</v>
      </c>
      <c r="S17">
        <f>256*42/12</f>
        <v>896</v>
      </c>
      <c r="W17" t="s">
        <v>52</v>
      </c>
    </row>
    <row r="18" spans="5:23" x14ac:dyDescent="0.35">
      <c r="P18" s="82" t="s">
        <v>32</v>
      </c>
      <c r="Q18" s="79">
        <v>1</v>
      </c>
      <c r="W18" t="s">
        <v>56</v>
      </c>
    </row>
    <row r="19" spans="5:23" x14ac:dyDescent="0.35">
      <c r="H19" s="120" t="s">
        <v>47</v>
      </c>
      <c r="I19" s="120"/>
      <c r="J19" s="81">
        <f>J11+J17</f>
        <v>338927722.46858835</v>
      </c>
      <c r="P19" s="82" t="s">
        <v>33</v>
      </c>
      <c r="Q19" s="79">
        <v>2</v>
      </c>
    </row>
    <row r="20" spans="5:23" x14ac:dyDescent="0.35">
      <c r="P20" s="82" t="s">
        <v>34</v>
      </c>
      <c r="Q20" s="79">
        <f>Q17*Q18*12*Q19</f>
        <v>148200</v>
      </c>
      <c r="S20" s="89">
        <f>(Q3*R3+Q4*R4+Q5*R5+Q6*R6+Q7*R7+Q8*R8+Q9*R9+Q11*R11)/256</f>
        <v>1745.1626090116279</v>
      </c>
    </row>
    <row r="21" spans="5:23" x14ac:dyDescent="0.35">
      <c r="P21" s="82" t="s">
        <v>35</v>
      </c>
      <c r="Q21" s="79">
        <f>215*8</f>
        <v>1720</v>
      </c>
      <c r="S21">
        <f>17*256</f>
        <v>4352</v>
      </c>
    </row>
    <row r="22" spans="5:23" x14ac:dyDescent="0.35">
      <c r="P22" s="82" t="s">
        <v>36</v>
      </c>
      <c r="Q22" s="93">
        <f>Q20/Q21</f>
        <v>86.162790697674424</v>
      </c>
    </row>
    <row r="25" spans="5:23" x14ac:dyDescent="0.35">
      <c r="E25">
        <v>6175</v>
      </c>
      <c r="F25">
        <v>100</v>
      </c>
    </row>
    <row r="26" spans="5:23" x14ac:dyDescent="0.35">
      <c r="F26">
        <v>29</v>
      </c>
    </row>
    <row r="27" spans="5:23" x14ac:dyDescent="0.35">
      <c r="H27">
        <f>19143/17643</f>
        <v>1.0850195544975345</v>
      </c>
    </row>
    <row r="28" spans="5:23" x14ac:dyDescent="0.35">
      <c r="E28">
        <f>E25*F26/F25</f>
        <v>1790.75</v>
      </c>
    </row>
  </sheetData>
  <mergeCells count="11">
    <mergeCell ref="AD1:AE1"/>
    <mergeCell ref="M1:N1"/>
    <mergeCell ref="H19:I19"/>
    <mergeCell ref="P16:Q16"/>
    <mergeCell ref="P1:T1"/>
    <mergeCell ref="I2:I4"/>
    <mergeCell ref="I5:I7"/>
    <mergeCell ref="I8:I10"/>
    <mergeCell ref="J2:J4"/>
    <mergeCell ref="J5:J7"/>
    <mergeCell ref="J8:J10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249C6-CA9D-4AAA-BA1F-04D40E0943EC}">
  <dimension ref="A1:AE28"/>
  <sheetViews>
    <sheetView workbookViewId="0">
      <selection activeCell="B23" sqref="B23:B24"/>
    </sheetView>
  </sheetViews>
  <sheetFormatPr defaultRowHeight="14.5" x14ac:dyDescent="0.35"/>
  <cols>
    <col min="2" max="2" width="11" customWidth="1"/>
    <col min="3" max="3" width="13.26953125" customWidth="1"/>
    <col min="4" max="4" width="12.54296875" bestFit="1" customWidth="1"/>
    <col min="5" max="5" width="10.453125" customWidth="1"/>
    <col min="6" max="6" width="15.26953125" customWidth="1"/>
    <col min="8" max="8" width="16.08984375" bestFit="1" customWidth="1"/>
    <col min="9" max="9" width="14.7265625" customWidth="1"/>
    <col min="10" max="10" width="17.81640625" bestFit="1" customWidth="1"/>
    <col min="13" max="13" width="16.08984375" customWidth="1"/>
    <col min="14" max="14" width="12.36328125" customWidth="1"/>
    <col min="16" max="16" width="19.90625" bestFit="1" customWidth="1"/>
    <col min="17" max="17" width="15.1796875" bestFit="1" customWidth="1"/>
    <col min="18" max="18" width="12.26953125" bestFit="1" customWidth="1"/>
    <col min="19" max="20" width="18.7265625" bestFit="1" customWidth="1"/>
    <col min="23" max="23" width="16.1796875" bestFit="1" customWidth="1"/>
    <col min="24" max="24" width="12.54296875" bestFit="1" customWidth="1"/>
    <col min="28" max="28" width="14.08984375" bestFit="1" customWidth="1"/>
    <col min="29" max="29" width="11.54296875" bestFit="1" customWidth="1"/>
    <col min="30" max="30" width="16.1796875" bestFit="1" customWidth="1"/>
    <col min="31" max="31" width="14.08984375" bestFit="1" customWidth="1"/>
  </cols>
  <sheetData>
    <row r="1" spans="1:31" ht="15" thickBot="1" x14ac:dyDescent="0.4">
      <c r="A1" s="77" t="s">
        <v>15</v>
      </c>
      <c r="B1" s="77" t="s">
        <v>16</v>
      </c>
      <c r="C1" s="77" t="s">
        <v>17</v>
      </c>
      <c r="D1" s="77" t="s">
        <v>18</v>
      </c>
      <c r="E1" s="77" t="s">
        <v>19</v>
      </c>
      <c r="F1" s="77" t="s">
        <v>20</v>
      </c>
      <c r="G1" s="77" t="s">
        <v>15</v>
      </c>
      <c r="H1" s="77" t="s">
        <v>21</v>
      </c>
      <c r="I1" s="78" t="s">
        <v>22</v>
      </c>
      <c r="J1" s="77" t="s">
        <v>23</v>
      </c>
      <c r="M1" s="121" t="s">
        <v>14</v>
      </c>
      <c r="N1" s="121"/>
      <c r="P1" s="121" t="s">
        <v>24</v>
      </c>
      <c r="Q1" s="121"/>
      <c r="R1" s="121"/>
      <c r="S1" s="121"/>
      <c r="T1" s="121"/>
      <c r="AD1" s="100" t="s">
        <v>60</v>
      </c>
      <c r="AE1" s="100"/>
    </row>
    <row r="2" spans="1:31" ht="15" thickBot="1" x14ac:dyDescent="0.4">
      <c r="A2" s="28">
        <v>800</v>
      </c>
      <c r="B2" s="29" t="s">
        <v>3</v>
      </c>
      <c r="C2" s="29">
        <v>6175</v>
      </c>
      <c r="D2" s="50">
        <v>0.31</v>
      </c>
      <c r="E2" s="29">
        <v>8</v>
      </c>
      <c r="F2" s="51">
        <f>C2*D2*E2</f>
        <v>15314</v>
      </c>
      <c r="G2" s="52">
        <f>A2/(1.23)</f>
        <v>650.40650406504062</v>
      </c>
      <c r="H2" s="30">
        <f>F2*G2</f>
        <v>9960325.2032520324</v>
      </c>
      <c r="I2" s="101">
        <v>4</v>
      </c>
      <c r="J2" s="104">
        <f>SUM(H2:H4)</f>
        <v>40666140.243902445</v>
      </c>
      <c r="M2" s="82" t="s">
        <v>41</v>
      </c>
      <c r="N2" s="79">
        <v>6175</v>
      </c>
      <c r="P2" s="87" t="s">
        <v>25</v>
      </c>
      <c r="Q2" s="87" t="s">
        <v>26</v>
      </c>
      <c r="R2" s="87" t="s">
        <v>53</v>
      </c>
      <c r="S2" s="87" t="s">
        <v>37</v>
      </c>
      <c r="T2" s="87" t="s">
        <v>38</v>
      </c>
      <c r="W2" s="95" t="s">
        <v>49</v>
      </c>
      <c r="X2" s="89">
        <v>4500</v>
      </c>
      <c r="Y2" t="s">
        <v>58</v>
      </c>
      <c r="AD2" s="87" t="s">
        <v>49</v>
      </c>
      <c r="AE2" s="90">
        <v>4500</v>
      </c>
    </row>
    <row r="3" spans="1:31" ht="15" thickBot="1" x14ac:dyDescent="0.4">
      <c r="A3" s="31">
        <v>950</v>
      </c>
      <c r="B3" s="9" t="s">
        <v>3</v>
      </c>
      <c r="C3" s="9">
        <v>6175</v>
      </c>
      <c r="D3" s="50">
        <v>0.31</v>
      </c>
      <c r="E3" s="9">
        <v>10</v>
      </c>
      <c r="F3" s="54">
        <f t="shared" ref="F3:F4" si="0">C3*D3*E3</f>
        <v>19142.5</v>
      </c>
      <c r="G3" s="55">
        <f t="shared" ref="G3:G4" si="1">A3/(1.23)</f>
        <v>772.35772357723579</v>
      </c>
      <c r="H3" s="14">
        <f t="shared" ref="H3:H4" si="2">F3*G3</f>
        <v>14784857.723577237</v>
      </c>
      <c r="I3" s="102"/>
      <c r="J3" s="105"/>
      <c r="K3">
        <v>16055</v>
      </c>
      <c r="M3" s="82" t="s">
        <v>42</v>
      </c>
      <c r="N3" s="79">
        <v>10</v>
      </c>
      <c r="P3" s="88" t="s">
        <v>29</v>
      </c>
      <c r="Q3" s="88">
        <v>30</v>
      </c>
      <c r="R3" s="80">
        <v>2200</v>
      </c>
      <c r="S3" s="80">
        <f>R3*Q3</f>
        <v>66000</v>
      </c>
      <c r="T3" s="90">
        <f>S3*12</f>
        <v>792000</v>
      </c>
      <c r="U3" t="s">
        <v>61</v>
      </c>
      <c r="W3" t="s">
        <v>50</v>
      </c>
      <c r="X3" s="96">
        <f>((Q12-Q10)*1200)+((Q12-Q10)*900)+150000</f>
        <v>687941.86046511633</v>
      </c>
      <c r="Y3" t="s">
        <v>57</v>
      </c>
      <c r="AA3" t="s">
        <v>50</v>
      </c>
      <c r="AB3" s="96">
        <f>X3/12</f>
        <v>57328.48837209303</v>
      </c>
      <c r="AC3" s="89" t="s">
        <v>58</v>
      </c>
      <c r="AD3" s="97" t="s">
        <v>50</v>
      </c>
      <c r="AE3" s="90">
        <v>11493.693798449613</v>
      </c>
    </row>
    <row r="4" spans="1:31" ht="15" thickBot="1" x14ac:dyDescent="0.4">
      <c r="A4" s="32">
        <v>1100</v>
      </c>
      <c r="B4" s="33" t="s">
        <v>3</v>
      </c>
      <c r="C4" s="33">
        <v>6175</v>
      </c>
      <c r="D4" s="50">
        <v>0.31</v>
      </c>
      <c r="E4" s="33">
        <v>9.3000000000000007</v>
      </c>
      <c r="F4" s="57">
        <f t="shared" si="0"/>
        <v>17802.525000000001</v>
      </c>
      <c r="G4" s="58">
        <f t="shared" si="1"/>
        <v>894.30894308943095</v>
      </c>
      <c r="H4" s="34">
        <f t="shared" si="2"/>
        <v>15920957.317073174</v>
      </c>
      <c r="I4" s="103"/>
      <c r="J4" s="106"/>
      <c r="M4" s="82" t="s">
        <v>43</v>
      </c>
      <c r="N4" s="79">
        <v>1.1499999999999999</v>
      </c>
      <c r="P4" s="88" t="s">
        <v>28</v>
      </c>
      <c r="Q4" s="91">
        <f>Q22</f>
        <v>86.162790697674424</v>
      </c>
      <c r="R4" s="80">
        <v>1300</v>
      </c>
      <c r="S4" s="80">
        <f>R4*Q4</f>
        <v>112011.62790697675</v>
      </c>
      <c r="T4" s="90">
        <f>S4*12</f>
        <v>1344139.534883721</v>
      </c>
      <c r="U4" t="s">
        <v>61</v>
      </c>
      <c r="W4" t="s">
        <v>51</v>
      </c>
      <c r="X4" s="89">
        <f>Q12-Q10*11.7+Q3*18.7+Q5*64+(299/12)</f>
        <v>2377.8794573643409</v>
      </c>
      <c r="Y4" t="s">
        <v>58</v>
      </c>
      <c r="AB4" s="89">
        <f>X4*12</f>
        <v>28534.55348837209</v>
      </c>
      <c r="AD4" s="97" t="s">
        <v>51</v>
      </c>
      <c r="AE4" s="90">
        <v>2377.8794573643409</v>
      </c>
    </row>
    <row r="5" spans="1:31" x14ac:dyDescent="0.35">
      <c r="A5" s="35">
        <v>1800</v>
      </c>
      <c r="B5" s="36" t="s">
        <v>11</v>
      </c>
      <c r="C5" s="36">
        <v>6175</v>
      </c>
      <c r="D5" s="59">
        <f>8/14</f>
        <v>0.5714285714285714</v>
      </c>
      <c r="E5" s="36">
        <v>8</v>
      </c>
      <c r="F5" s="60">
        <f>C5*D5*E5</f>
        <v>28228.571428571428</v>
      </c>
      <c r="G5" s="61">
        <f>A5/(1.23)</f>
        <v>1463.4146341463415</v>
      </c>
      <c r="H5" s="37">
        <f>F5*G5</f>
        <v>41310104.529616728</v>
      </c>
      <c r="I5" s="107">
        <v>8</v>
      </c>
      <c r="J5" s="110">
        <f>SUM(H5:H7)</f>
        <v>121290554.87804878</v>
      </c>
      <c r="M5" s="82" t="s">
        <v>44</v>
      </c>
      <c r="N5" s="79">
        <v>0.3</v>
      </c>
      <c r="P5" s="88" t="s">
        <v>14</v>
      </c>
      <c r="Q5" s="88">
        <v>25</v>
      </c>
      <c r="R5" s="80">
        <v>1350</v>
      </c>
      <c r="S5" s="80">
        <f t="shared" ref="S5:S11" si="3">R5*Q5</f>
        <v>33750</v>
      </c>
      <c r="T5" s="90">
        <f t="shared" ref="T5:T11" si="4">S5*12</f>
        <v>405000</v>
      </c>
      <c r="U5" t="s">
        <v>61</v>
      </c>
      <c r="W5" t="s">
        <v>59</v>
      </c>
      <c r="X5" s="89">
        <f>50+10*(Q12-Q10)</f>
        <v>2611.6279069767443</v>
      </c>
      <c r="Y5" t="s">
        <v>58</v>
      </c>
      <c r="AD5" s="97" t="s">
        <v>59</v>
      </c>
      <c r="AE5" s="90">
        <v>2611.6279069767443</v>
      </c>
    </row>
    <row r="6" spans="1:31" x14ac:dyDescent="0.35">
      <c r="A6" s="38">
        <v>1950</v>
      </c>
      <c r="B6" s="15" t="s">
        <v>11</v>
      </c>
      <c r="C6" s="15">
        <v>6175</v>
      </c>
      <c r="D6" s="62">
        <f>8/14</f>
        <v>0.5714285714285714</v>
      </c>
      <c r="E6" s="15">
        <v>7.1</v>
      </c>
      <c r="F6" s="63">
        <f t="shared" ref="F6:F7" si="5">C6*D6*E6</f>
        <v>25052.857142857141</v>
      </c>
      <c r="G6" s="64">
        <f t="shared" ref="G6:G7" si="6">A6/(1.23)</f>
        <v>1585.3658536585367</v>
      </c>
      <c r="H6" s="20">
        <f t="shared" ref="H6:H7" si="7">F6*G6</f>
        <v>39717944.250871077</v>
      </c>
      <c r="I6" s="108"/>
      <c r="J6" s="111"/>
      <c r="K6" s="99">
        <f>AVERAGE(F5:F7)</f>
        <v>25621.251190476189</v>
      </c>
      <c r="M6" s="82" t="s">
        <v>45</v>
      </c>
      <c r="N6" s="79">
        <f>N2*N3</f>
        <v>61750</v>
      </c>
      <c r="P6" s="88" t="s">
        <v>13</v>
      </c>
      <c r="Q6" s="88">
        <v>35</v>
      </c>
      <c r="R6" s="80">
        <v>1400</v>
      </c>
      <c r="S6" s="80">
        <f t="shared" si="3"/>
        <v>49000</v>
      </c>
      <c r="T6" s="90">
        <f t="shared" si="4"/>
        <v>588000</v>
      </c>
      <c r="AD6" s="98" t="s">
        <v>48</v>
      </c>
      <c r="AE6" s="89">
        <f>SUM(AE2:AE5)</f>
        <v>20983.201162790698</v>
      </c>
    </row>
    <row r="7" spans="1:31" ht="15" thickBot="1" x14ac:dyDescent="0.4">
      <c r="A7" s="39">
        <v>2100</v>
      </c>
      <c r="B7" s="40" t="s">
        <v>11</v>
      </c>
      <c r="C7" s="40">
        <v>6175</v>
      </c>
      <c r="D7" s="65">
        <v>0.56999999999999995</v>
      </c>
      <c r="E7" s="40">
        <v>6.7</v>
      </c>
      <c r="F7" s="66">
        <f t="shared" si="5"/>
        <v>23582.324999999997</v>
      </c>
      <c r="G7" s="67">
        <f t="shared" si="6"/>
        <v>1707.3170731707316</v>
      </c>
      <c r="H7" s="41">
        <f t="shared" si="7"/>
        <v>40262506.097560972</v>
      </c>
      <c r="I7" s="109"/>
      <c r="J7" s="112"/>
      <c r="P7" s="88" t="s">
        <v>27</v>
      </c>
      <c r="Q7" s="88">
        <v>20</v>
      </c>
      <c r="R7" s="80">
        <v>2500</v>
      </c>
      <c r="S7" s="80">
        <f t="shared" si="3"/>
        <v>50000</v>
      </c>
      <c r="T7" s="90">
        <f t="shared" si="4"/>
        <v>600000</v>
      </c>
    </row>
    <row r="8" spans="1:31" x14ac:dyDescent="0.35">
      <c r="A8" s="43">
        <v>3600</v>
      </c>
      <c r="B8" s="44" t="s">
        <v>12</v>
      </c>
      <c r="C8" s="44">
        <v>6175</v>
      </c>
      <c r="D8" s="68">
        <v>0.17</v>
      </c>
      <c r="E8" s="44">
        <v>8</v>
      </c>
      <c r="F8" s="69">
        <f>C8*D8*E8</f>
        <v>8398</v>
      </c>
      <c r="G8" s="70">
        <f>A8/(1.23)</f>
        <v>2926.8292682926831</v>
      </c>
      <c r="H8" s="45">
        <f>F8*G8</f>
        <v>24579512.195121951</v>
      </c>
      <c r="I8" s="113">
        <v>2</v>
      </c>
      <c r="J8" s="116">
        <f>SUM(H8:H10)</f>
        <v>68184622.531939611</v>
      </c>
      <c r="M8" s="82" t="s">
        <v>46</v>
      </c>
      <c r="N8" s="81">
        <f>N6*N4+N6*N5</f>
        <v>89537.5</v>
      </c>
      <c r="P8" s="88" t="s">
        <v>39</v>
      </c>
      <c r="Q8" s="88">
        <v>10</v>
      </c>
      <c r="R8" s="80">
        <v>5000</v>
      </c>
      <c r="S8" s="80">
        <f t="shared" si="3"/>
        <v>50000</v>
      </c>
      <c r="T8" s="90">
        <f t="shared" si="4"/>
        <v>600000</v>
      </c>
      <c r="U8" t="s">
        <v>61</v>
      </c>
    </row>
    <row r="9" spans="1:31" x14ac:dyDescent="0.35">
      <c r="A9" s="46">
        <v>3750</v>
      </c>
      <c r="B9" s="21" t="s">
        <v>12</v>
      </c>
      <c r="C9" s="21">
        <v>6175</v>
      </c>
      <c r="D9" s="71">
        <f>2/14</f>
        <v>0.14285714285714285</v>
      </c>
      <c r="E9" s="21">
        <v>8</v>
      </c>
      <c r="F9" s="72">
        <f t="shared" ref="F9:F10" si="8">C9*D9*E9</f>
        <v>7057.1428571428569</v>
      </c>
      <c r="G9" s="73">
        <f t="shared" ref="G9:G10" si="9">A9/(1.23)</f>
        <v>3048.7804878048782</v>
      </c>
      <c r="H9" s="26">
        <f t="shared" ref="H9:H10" si="10">F9*G9</f>
        <v>21515679.442508712</v>
      </c>
      <c r="I9" s="114"/>
      <c r="J9" s="117"/>
      <c r="K9" s="99">
        <f>AVERAGE(F8:F10)</f>
        <v>7504.0952380952376</v>
      </c>
      <c r="P9" s="88" t="s">
        <v>40</v>
      </c>
      <c r="Q9" s="88">
        <v>40</v>
      </c>
      <c r="R9" s="90">
        <v>1650</v>
      </c>
      <c r="S9" s="80">
        <f t="shared" si="3"/>
        <v>66000</v>
      </c>
      <c r="T9" s="90">
        <f t="shared" si="4"/>
        <v>792000</v>
      </c>
      <c r="U9" t="s">
        <v>61</v>
      </c>
    </row>
    <row r="10" spans="1:31" ht="15" thickBot="1" x14ac:dyDescent="0.4">
      <c r="A10" s="47">
        <v>3850</v>
      </c>
      <c r="B10" s="48" t="s">
        <v>12</v>
      </c>
      <c r="C10" s="48">
        <v>6175</v>
      </c>
      <c r="D10" s="74">
        <f>2/14</f>
        <v>0.14285714285714285</v>
      </c>
      <c r="E10" s="48">
        <v>8</v>
      </c>
      <c r="F10" s="75">
        <f t="shared" si="8"/>
        <v>7057.1428571428569</v>
      </c>
      <c r="G10" s="76">
        <f t="shared" si="9"/>
        <v>3130.0813008130081</v>
      </c>
      <c r="H10" s="49">
        <f t="shared" si="10"/>
        <v>22089430.894308943</v>
      </c>
      <c r="I10" s="115"/>
      <c r="J10" s="118"/>
      <c r="P10" s="88" t="s">
        <v>54</v>
      </c>
      <c r="Q10" s="88">
        <v>6</v>
      </c>
      <c r="R10" s="80">
        <v>950</v>
      </c>
      <c r="S10" s="80">
        <f>R10*Q10</f>
        <v>5700</v>
      </c>
      <c r="T10" s="80">
        <f t="shared" si="4"/>
        <v>68400</v>
      </c>
    </row>
    <row r="11" spans="1:31" x14ac:dyDescent="0.35">
      <c r="A11" s="7"/>
      <c r="J11" s="42">
        <f>SUM(J2:J10)</f>
        <v>230141317.65389085</v>
      </c>
      <c r="P11" s="92" t="s">
        <v>55</v>
      </c>
      <c r="Q11" s="88">
        <v>10</v>
      </c>
      <c r="R11" s="80">
        <v>2000</v>
      </c>
      <c r="S11" s="80">
        <f t="shared" si="3"/>
        <v>20000</v>
      </c>
      <c r="T11" s="80">
        <f t="shared" si="4"/>
        <v>240000</v>
      </c>
      <c r="U11" t="s">
        <v>61</v>
      </c>
    </row>
    <row r="12" spans="1:31" x14ac:dyDescent="0.35">
      <c r="A12" s="7"/>
      <c r="P12" s="87" t="s">
        <v>48</v>
      </c>
      <c r="Q12" s="94">
        <f>SUM(Q3:Q11)</f>
        <v>262.16279069767444</v>
      </c>
      <c r="R12" s="81">
        <f>SUM(R3:R11)</f>
        <v>18350</v>
      </c>
      <c r="S12" s="81">
        <f>SUM(S3:S11)</f>
        <v>452461.62790697673</v>
      </c>
      <c r="T12" s="81">
        <f>SUM(T3:T11)</f>
        <v>5429539.5348837208</v>
      </c>
    </row>
    <row r="13" spans="1:31" x14ac:dyDescent="0.35">
      <c r="B13" s="77" t="s">
        <v>15</v>
      </c>
      <c r="C13" s="77" t="s">
        <v>16</v>
      </c>
      <c r="D13" s="77" t="s">
        <v>17</v>
      </c>
      <c r="E13" s="77" t="s">
        <v>18</v>
      </c>
      <c r="F13" s="77" t="s">
        <v>19</v>
      </c>
      <c r="G13" s="77" t="s">
        <v>20</v>
      </c>
      <c r="H13" s="77" t="s">
        <v>15</v>
      </c>
      <c r="I13" s="83" t="s">
        <v>22</v>
      </c>
      <c r="J13" s="77" t="s">
        <v>23</v>
      </c>
    </row>
    <row r="14" spans="1:31" x14ac:dyDescent="0.35">
      <c r="B14" s="1">
        <v>1200</v>
      </c>
      <c r="C14" s="1" t="s">
        <v>8</v>
      </c>
      <c r="D14" s="1">
        <v>6175</v>
      </c>
      <c r="E14" s="84">
        <f>6/11</f>
        <v>0.54545454545454541</v>
      </c>
      <c r="F14" s="1">
        <v>2.4</v>
      </c>
      <c r="G14" s="85">
        <f>D14*E14*F14</f>
        <v>8083.6363636363631</v>
      </c>
      <c r="H14" s="86">
        <f>B14/(1.23)</f>
        <v>975.60975609756099</v>
      </c>
      <c r="I14" s="1">
        <v>6</v>
      </c>
      <c r="J14" s="6">
        <f>G14*H14</f>
        <v>7886474.5011086473</v>
      </c>
    </row>
    <row r="15" spans="1:31" x14ac:dyDescent="0.35">
      <c r="B15" s="1">
        <v>2400</v>
      </c>
      <c r="C15" s="1" t="s">
        <v>9</v>
      </c>
      <c r="D15" s="1">
        <v>6175</v>
      </c>
      <c r="E15" s="84">
        <f>4/11</f>
        <v>0.36363636363636365</v>
      </c>
      <c r="F15" s="1">
        <v>3.3</v>
      </c>
      <c r="G15" s="85">
        <f>D15*E15*F15</f>
        <v>7410</v>
      </c>
      <c r="H15" s="86">
        <f t="shared" ref="H15" si="11">B15/(1.23)</f>
        <v>1951.219512195122</v>
      </c>
      <c r="I15" s="1">
        <v>4</v>
      </c>
      <c r="J15" s="6">
        <f>G15*H15</f>
        <v>14458536.585365854</v>
      </c>
    </row>
    <row r="16" spans="1:31" x14ac:dyDescent="0.35">
      <c r="B16" s="1">
        <v>15000</v>
      </c>
      <c r="C16" s="1" t="s">
        <v>10</v>
      </c>
      <c r="D16" s="1">
        <v>6175</v>
      </c>
      <c r="E16" s="84">
        <f>4/11</f>
        <v>0.36363636363636365</v>
      </c>
      <c r="F16" s="1">
        <v>3.3</v>
      </c>
      <c r="G16" s="85">
        <f>D16*E16*F16</f>
        <v>7410</v>
      </c>
      <c r="H16" s="86">
        <f>B16/1.23</f>
        <v>12195.121951219513</v>
      </c>
      <c r="I16" s="1">
        <v>4</v>
      </c>
      <c r="J16" s="6">
        <f>G16*H16</f>
        <v>90365853.658536598</v>
      </c>
      <c r="P16" s="119" t="s">
        <v>30</v>
      </c>
      <c r="Q16" s="119"/>
      <c r="S16" s="89" cm="1">
        <f t="array" ref="S16">AVERAGE(R3:R9+R11)</f>
        <v>4200</v>
      </c>
    </row>
    <row r="17" spans="5:23" x14ac:dyDescent="0.35">
      <c r="J17" s="27">
        <f>SUM(J14:J16)</f>
        <v>112710864.74501109</v>
      </c>
      <c r="P17" s="82" t="s">
        <v>31</v>
      </c>
      <c r="Q17" s="79">
        <v>6175</v>
      </c>
      <c r="S17">
        <f>256*42/12</f>
        <v>896</v>
      </c>
      <c r="W17" t="s">
        <v>52</v>
      </c>
    </row>
    <row r="18" spans="5:23" x14ac:dyDescent="0.35">
      <c r="P18" s="82" t="s">
        <v>32</v>
      </c>
      <c r="Q18" s="79">
        <v>1</v>
      </c>
      <c r="W18" t="s">
        <v>56</v>
      </c>
    </row>
    <row r="19" spans="5:23" x14ac:dyDescent="0.35">
      <c r="H19" s="120" t="s">
        <v>47</v>
      </c>
      <c r="I19" s="120"/>
      <c r="J19" s="81">
        <f>J11+J17</f>
        <v>342852182.39890194</v>
      </c>
      <c r="P19" s="82" t="s">
        <v>33</v>
      </c>
      <c r="Q19" s="79">
        <v>2</v>
      </c>
    </row>
    <row r="20" spans="5:23" x14ac:dyDescent="0.35">
      <c r="P20" s="82" t="s">
        <v>34</v>
      </c>
      <c r="Q20" s="79">
        <f>Q17*Q18*12*Q19</f>
        <v>148200</v>
      </c>
      <c r="S20" s="89">
        <f>(Q3*R3+Q4*R4+Q5*R5+Q6*R6+Q7*R7+Q8*R8+Q9*R9+Q11*R11)/256</f>
        <v>1745.1626090116279</v>
      </c>
    </row>
    <row r="21" spans="5:23" x14ac:dyDescent="0.35">
      <c r="P21" s="82" t="s">
        <v>35</v>
      </c>
      <c r="Q21" s="79">
        <f>215*8</f>
        <v>1720</v>
      </c>
      <c r="S21">
        <f>17*256</f>
        <v>4352</v>
      </c>
    </row>
    <row r="22" spans="5:23" x14ac:dyDescent="0.35">
      <c r="P22" s="82" t="s">
        <v>36</v>
      </c>
      <c r="Q22" s="93">
        <f>Q20/Q21</f>
        <v>86.162790697674424</v>
      </c>
    </row>
    <row r="25" spans="5:23" x14ac:dyDescent="0.35">
      <c r="E25">
        <v>6175</v>
      </c>
      <c r="F25">
        <v>100</v>
      </c>
    </row>
    <row r="26" spans="5:23" x14ac:dyDescent="0.35">
      <c r="F26">
        <v>29</v>
      </c>
    </row>
    <row r="27" spans="5:23" x14ac:dyDescent="0.35">
      <c r="H27">
        <f>8398/7057</f>
        <v>1.1900240895564687</v>
      </c>
    </row>
    <row r="28" spans="5:23" x14ac:dyDescent="0.35">
      <c r="E28">
        <f>E25*F26/F25</f>
        <v>1790.75</v>
      </c>
    </row>
  </sheetData>
  <mergeCells count="11">
    <mergeCell ref="I8:I10"/>
    <mergeCell ref="J8:J10"/>
    <mergeCell ref="P16:Q16"/>
    <mergeCell ref="H19:I19"/>
    <mergeCell ref="M1:N1"/>
    <mergeCell ref="P1:T1"/>
    <mergeCell ref="AD1:AE1"/>
    <mergeCell ref="I2:I4"/>
    <mergeCell ref="J2:J4"/>
    <mergeCell ref="I5:I7"/>
    <mergeCell ref="J5:J7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8067A-198B-420F-AAF2-0683D4C80952}">
  <dimension ref="A1:AE28"/>
  <sheetViews>
    <sheetView workbookViewId="0">
      <selection activeCell="B23" sqref="B23:B24"/>
    </sheetView>
  </sheetViews>
  <sheetFormatPr defaultRowHeight="14.5" x14ac:dyDescent="0.35"/>
  <cols>
    <col min="2" max="2" width="11" customWidth="1"/>
    <col min="3" max="3" width="13.26953125" customWidth="1"/>
    <col min="4" max="4" width="12.54296875" bestFit="1" customWidth="1"/>
    <col min="5" max="5" width="10.453125" customWidth="1"/>
    <col min="6" max="6" width="15.26953125" customWidth="1"/>
    <col min="8" max="8" width="16.08984375" bestFit="1" customWidth="1"/>
    <col min="9" max="9" width="14.7265625" customWidth="1"/>
    <col min="10" max="10" width="17.81640625" bestFit="1" customWidth="1"/>
    <col min="13" max="13" width="16.08984375" customWidth="1"/>
    <col min="14" max="14" width="12.36328125" customWidth="1"/>
    <col min="16" max="16" width="19.90625" bestFit="1" customWidth="1"/>
    <col min="17" max="17" width="15.1796875" bestFit="1" customWidth="1"/>
    <col min="18" max="18" width="12.26953125" bestFit="1" customWidth="1"/>
    <col min="19" max="20" width="18.7265625" bestFit="1" customWidth="1"/>
    <col min="23" max="23" width="16.1796875" bestFit="1" customWidth="1"/>
    <col min="24" max="24" width="12.54296875" bestFit="1" customWidth="1"/>
    <col min="28" max="28" width="14.08984375" bestFit="1" customWidth="1"/>
    <col min="29" max="29" width="11.54296875" bestFit="1" customWidth="1"/>
    <col min="30" max="30" width="16.1796875" bestFit="1" customWidth="1"/>
    <col min="31" max="31" width="14.08984375" bestFit="1" customWidth="1"/>
  </cols>
  <sheetData>
    <row r="1" spans="1:31" ht="15" thickBot="1" x14ac:dyDescent="0.4">
      <c r="A1" s="77" t="s">
        <v>15</v>
      </c>
      <c r="B1" s="77" t="s">
        <v>16</v>
      </c>
      <c r="C1" s="77" t="s">
        <v>17</v>
      </c>
      <c r="D1" s="77" t="s">
        <v>18</v>
      </c>
      <c r="E1" s="77" t="s">
        <v>19</v>
      </c>
      <c r="F1" s="77" t="s">
        <v>20</v>
      </c>
      <c r="G1" s="77" t="s">
        <v>15</v>
      </c>
      <c r="H1" s="77" t="s">
        <v>21</v>
      </c>
      <c r="I1" s="78" t="s">
        <v>22</v>
      </c>
      <c r="J1" s="77" t="s">
        <v>23</v>
      </c>
      <c r="M1" s="121" t="s">
        <v>14</v>
      </c>
      <c r="N1" s="121"/>
      <c r="P1" s="121" t="s">
        <v>24</v>
      </c>
      <c r="Q1" s="121"/>
      <c r="R1" s="121"/>
      <c r="S1" s="121"/>
      <c r="T1" s="121"/>
      <c r="AD1" s="100" t="s">
        <v>60</v>
      </c>
      <c r="AE1" s="100"/>
    </row>
    <row r="2" spans="1:31" ht="15" thickBot="1" x14ac:dyDescent="0.4">
      <c r="A2" s="28">
        <v>800</v>
      </c>
      <c r="B2" s="29" t="s">
        <v>3</v>
      </c>
      <c r="C2" s="29">
        <v>6175</v>
      </c>
      <c r="D2" s="50">
        <v>0.31</v>
      </c>
      <c r="E2" s="29">
        <v>8</v>
      </c>
      <c r="F2" s="51">
        <f>C2*D2*E2</f>
        <v>15314</v>
      </c>
      <c r="G2" s="52">
        <f>A2/(1.23)</f>
        <v>650.40650406504062</v>
      </c>
      <c r="H2" s="30">
        <f>F2*G2</f>
        <v>9960325.2032520324</v>
      </c>
      <c r="I2" s="101">
        <v>4</v>
      </c>
      <c r="J2" s="104">
        <f>SUM(H2:H4)</f>
        <v>40666140.243902445</v>
      </c>
      <c r="M2" s="82" t="s">
        <v>41</v>
      </c>
      <c r="N2" s="79">
        <v>6175</v>
      </c>
      <c r="P2" s="87" t="s">
        <v>25</v>
      </c>
      <c r="Q2" s="87" t="s">
        <v>26</v>
      </c>
      <c r="R2" s="87" t="s">
        <v>53</v>
      </c>
      <c r="S2" s="87" t="s">
        <v>37</v>
      </c>
      <c r="T2" s="87" t="s">
        <v>38</v>
      </c>
      <c r="W2" s="95" t="s">
        <v>49</v>
      </c>
      <c r="X2" s="89">
        <v>4500</v>
      </c>
      <c r="Y2" t="s">
        <v>58</v>
      </c>
      <c r="AD2" s="87" t="s">
        <v>49</v>
      </c>
      <c r="AE2" s="90">
        <v>4500</v>
      </c>
    </row>
    <row r="3" spans="1:31" ht="15" thickBot="1" x14ac:dyDescent="0.4">
      <c r="A3" s="31">
        <v>950</v>
      </c>
      <c r="B3" s="9" t="s">
        <v>3</v>
      </c>
      <c r="C3" s="9">
        <v>6175</v>
      </c>
      <c r="D3" s="50">
        <v>0.31</v>
      </c>
      <c r="E3" s="9">
        <v>10</v>
      </c>
      <c r="F3" s="54">
        <f t="shared" ref="F3:F4" si="0">C3*D3*E3</f>
        <v>19142.5</v>
      </c>
      <c r="G3" s="55">
        <f t="shared" ref="G3:G4" si="1">A3/(1.23)</f>
        <v>772.35772357723579</v>
      </c>
      <c r="H3" s="14">
        <f t="shared" ref="H3:H4" si="2">F3*G3</f>
        <v>14784857.723577237</v>
      </c>
      <c r="I3" s="102"/>
      <c r="J3" s="105"/>
      <c r="K3">
        <v>16055</v>
      </c>
      <c r="M3" s="82" t="s">
        <v>42</v>
      </c>
      <c r="N3" s="79">
        <v>10</v>
      </c>
      <c r="P3" s="88" t="s">
        <v>29</v>
      </c>
      <c r="Q3" s="88">
        <v>30</v>
      </c>
      <c r="R3" s="80">
        <v>2200</v>
      </c>
      <c r="S3" s="80">
        <f>R3*Q3</f>
        <v>66000</v>
      </c>
      <c r="T3" s="90">
        <f>S3*12</f>
        <v>792000</v>
      </c>
      <c r="U3" t="s">
        <v>61</v>
      </c>
      <c r="W3" t="s">
        <v>50</v>
      </c>
      <c r="X3" s="96">
        <f>((Q12-Q10)*1200)+((Q12-Q10)*900)+150000</f>
        <v>687941.86046511633</v>
      </c>
      <c r="Y3" t="s">
        <v>57</v>
      </c>
      <c r="AA3" t="s">
        <v>50</v>
      </c>
      <c r="AB3" s="96">
        <f>X3/12</f>
        <v>57328.48837209303</v>
      </c>
      <c r="AC3" s="89" t="s">
        <v>58</v>
      </c>
      <c r="AD3" s="97" t="s">
        <v>50</v>
      </c>
      <c r="AE3" s="90">
        <v>11493.693798449613</v>
      </c>
    </row>
    <row r="4" spans="1:31" ht="15" thickBot="1" x14ac:dyDescent="0.4">
      <c r="A4" s="32">
        <v>1100</v>
      </c>
      <c r="B4" s="33" t="s">
        <v>3</v>
      </c>
      <c r="C4" s="33">
        <v>6175</v>
      </c>
      <c r="D4" s="50">
        <v>0.31</v>
      </c>
      <c r="E4" s="33">
        <v>9.3000000000000007</v>
      </c>
      <c r="F4" s="57">
        <f t="shared" si="0"/>
        <v>17802.525000000001</v>
      </c>
      <c r="G4" s="58">
        <f t="shared" si="1"/>
        <v>894.30894308943095</v>
      </c>
      <c r="H4" s="34">
        <f t="shared" si="2"/>
        <v>15920957.317073174</v>
      </c>
      <c r="I4" s="103"/>
      <c r="J4" s="106"/>
      <c r="M4" s="82" t="s">
        <v>43</v>
      </c>
      <c r="N4" s="79">
        <v>1.1499999999999999</v>
      </c>
      <c r="P4" s="88" t="s">
        <v>28</v>
      </c>
      <c r="Q4" s="91">
        <f>Q22</f>
        <v>86.162790697674424</v>
      </c>
      <c r="R4" s="80">
        <v>1300</v>
      </c>
      <c r="S4" s="80">
        <f>R4*Q4</f>
        <v>112011.62790697675</v>
      </c>
      <c r="T4" s="90">
        <f>S4*12</f>
        <v>1344139.534883721</v>
      </c>
      <c r="U4" t="s">
        <v>61</v>
      </c>
      <c r="W4" t="s">
        <v>51</v>
      </c>
      <c r="X4" s="89">
        <f>Q12-Q10*11.7+Q3*18.7+Q5*64+(299/12)</f>
        <v>2377.8794573643409</v>
      </c>
      <c r="Y4" t="s">
        <v>58</v>
      </c>
      <c r="AB4" s="89">
        <f>X4*12</f>
        <v>28534.55348837209</v>
      </c>
      <c r="AD4" s="97" t="s">
        <v>51</v>
      </c>
      <c r="AE4" s="90">
        <v>2377.8794573643409</v>
      </c>
    </row>
    <row r="5" spans="1:31" x14ac:dyDescent="0.35">
      <c r="A5" s="35">
        <v>1800</v>
      </c>
      <c r="B5" s="36" t="s">
        <v>11</v>
      </c>
      <c r="C5" s="36">
        <v>6175</v>
      </c>
      <c r="D5" s="59">
        <f>8/14</f>
        <v>0.5714285714285714</v>
      </c>
      <c r="E5" s="36">
        <v>10</v>
      </c>
      <c r="F5" s="60">
        <f>C5*D5*E5</f>
        <v>35285.714285714283</v>
      </c>
      <c r="G5" s="61">
        <f>A5/(1.23)</f>
        <v>1463.4146341463415</v>
      </c>
      <c r="H5" s="37">
        <f>F5*G5</f>
        <v>51637630.662020907</v>
      </c>
      <c r="I5" s="107">
        <v>8</v>
      </c>
      <c r="J5" s="110">
        <f>SUM(H5:H7)</f>
        <v>131618081.01045296</v>
      </c>
      <c r="M5" s="82" t="s">
        <v>44</v>
      </c>
      <c r="N5" s="79">
        <v>0.3</v>
      </c>
      <c r="P5" s="88" t="s">
        <v>14</v>
      </c>
      <c r="Q5" s="88">
        <v>25</v>
      </c>
      <c r="R5" s="80">
        <v>1350</v>
      </c>
      <c r="S5" s="80">
        <f t="shared" ref="S5:S11" si="3">R5*Q5</f>
        <v>33750</v>
      </c>
      <c r="T5" s="90">
        <f t="shared" ref="T5:T11" si="4">S5*12</f>
        <v>405000</v>
      </c>
      <c r="U5" t="s">
        <v>61</v>
      </c>
      <c r="W5" t="s">
        <v>59</v>
      </c>
      <c r="X5" s="89">
        <f>50+10*(Q12-Q10)</f>
        <v>2611.6279069767443</v>
      </c>
      <c r="Y5" t="s">
        <v>58</v>
      </c>
      <c r="AD5" s="97" t="s">
        <v>59</v>
      </c>
      <c r="AE5" s="90">
        <v>2611.6279069767443</v>
      </c>
    </row>
    <row r="6" spans="1:31" x14ac:dyDescent="0.35">
      <c r="A6" s="38">
        <v>1950</v>
      </c>
      <c r="B6" s="15" t="s">
        <v>11</v>
      </c>
      <c r="C6" s="15">
        <v>6175</v>
      </c>
      <c r="D6" s="62">
        <f>8/14</f>
        <v>0.5714285714285714</v>
      </c>
      <c r="E6" s="15">
        <v>7.1</v>
      </c>
      <c r="F6" s="63">
        <f t="shared" ref="F6:F7" si="5">C6*D6*E6</f>
        <v>25052.857142857141</v>
      </c>
      <c r="G6" s="64">
        <f t="shared" ref="G6:G7" si="6">A6/(1.23)</f>
        <v>1585.3658536585367</v>
      </c>
      <c r="H6" s="20">
        <f t="shared" ref="H6:H7" si="7">F6*G6</f>
        <v>39717944.250871077</v>
      </c>
      <c r="I6" s="108"/>
      <c r="J6" s="111"/>
      <c r="K6" s="99">
        <f>AVERAGE(F5:F7)</f>
        <v>27973.632142857139</v>
      </c>
      <c r="M6" s="82" t="s">
        <v>45</v>
      </c>
      <c r="N6" s="79">
        <f>N2*N3</f>
        <v>61750</v>
      </c>
      <c r="P6" s="88" t="s">
        <v>13</v>
      </c>
      <c r="Q6" s="88">
        <v>35</v>
      </c>
      <c r="R6" s="80">
        <v>1400</v>
      </c>
      <c r="S6" s="80">
        <f t="shared" si="3"/>
        <v>49000</v>
      </c>
      <c r="T6" s="90">
        <f t="shared" si="4"/>
        <v>588000</v>
      </c>
      <c r="AD6" s="98" t="s">
        <v>48</v>
      </c>
      <c r="AE6" s="89">
        <f>SUM(AE2:AE5)</f>
        <v>20983.201162790698</v>
      </c>
    </row>
    <row r="7" spans="1:31" ht="15" thickBot="1" x14ac:dyDescent="0.4">
      <c r="A7" s="39">
        <v>2100</v>
      </c>
      <c r="B7" s="40" t="s">
        <v>11</v>
      </c>
      <c r="C7" s="40">
        <v>6175</v>
      </c>
      <c r="D7" s="65">
        <v>0.56999999999999995</v>
      </c>
      <c r="E7" s="40">
        <v>6.7</v>
      </c>
      <c r="F7" s="66">
        <f t="shared" si="5"/>
        <v>23582.324999999997</v>
      </c>
      <c r="G7" s="67">
        <f t="shared" si="6"/>
        <v>1707.3170731707316</v>
      </c>
      <c r="H7" s="41">
        <f t="shared" si="7"/>
        <v>40262506.097560972</v>
      </c>
      <c r="I7" s="109"/>
      <c r="J7" s="112"/>
      <c r="P7" s="88" t="s">
        <v>27</v>
      </c>
      <c r="Q7" s="88">
        <v>20</v>
      </c>
      <c r="R7" s="80">
        <v>2500</v>
      </c>
      <c r="S7" s="80">
        <f t="shared" si="3"/>
        <v>50000</v>
      </c>
      <c r="T7" s="90">
        <f t="shared" si="4"/>
        <v>600000</v>
      </c>
    </row>
    <row r="8" spans="1:31" x14ac:dyDescent="0.35">
      <c r="A8" s="43">
        <v>3600</v>
      </c>
      <c r="B8" s="44" t="s">
        <v>12</v>
      </c>
      <c r="C8" s="44">
        <v>6175</v>
      </c>
      <c r="D8" s="68">
        <v>0.17</v>
      </c>
      <c r="E8" s="44">
        <v>8</v>
      </c>
      <c r="F8" s="69">
        <f>C8*D8*E8</f>
        <v>8398</v>
      </c>
      <c r="G8" s="70">
        <f>A8/(1.23)</f>
        <v>2926.8292682926831</v>
      </c>
      <c r="H8" s="45">
        <f>F8*G8</f>
        <v>24579512.195121951</v>
      </c>
      <c r="I8" s="113">
        <v>2</v>
      </c>
      <c r="J8" s="116">
        <f>SUM(H8:H10)</f>
        <v>68184622.531939611</v>
      </c>
      <c r="M8" s="82" t="s">
        <v>46</v>
      </c>
      <c r="N8" s="81">
        <f>N6*N4+N6*N5</f>
        <v>89537.5</v>
      </c>
      <c r="P8" s="88" t="s">
        <v>39</v>
      </c>
      <c r="Q8" s="88">
        <v>10</v>
      </c>
      <c r="R8" s="80">
        <v>5000</v>
      </c>
      <c r="S8" s="80">
        <f t="shared" si="3"/>
        <v>50000</v>
      </c>
      <c r="T8" s="90">
        <f t="shared" si="4"/>
        <v>600000</v>
      </c>
      <c r="U8" t="s">
        <v>61</v>
      </c>
    </row>
    <row r="9" spans="1:31" x14ac:dyDescent="0.35">
      <c r="A9" s="46">
        <v>3750</v>
      </c>
      <c r="B9" s="21" t="s">
        <v>12</v>
      </c>
      <c r="C9" s="21">
        <v>6175</v>
      </c>
      <c r="D9" s="71">
        <f>2/14</f>
        <v>0.14285714285714285</v>
      </c>
      <c r="E9" s="21">
        <v>8</v>
      </c>
      <c r="F9" s="72">
        <f t="shared" ref="F9:F10" si="8">C9*D9*E9</f>
        <v>7057.1428571428569</v>
      </c>
      <c r="G9" s="73">
        <f t="shared" ref="G9:G10" si="9">A9/(1.23)</f>
        <v>3048.7804878048782</v>
      </c>
      <c r="H9" s="26">
        <f t="shared" ref="H9:H10" si="10">F9*G9</f>
        <v>21515679.442508712</v>
      </c>
      <c r="I9" s="114"/>
      <c r="J9" s="117"/>
      <c r="K9" s="99">
        <f>AVERAGE(F8:F10)</f>
        <v>7504.0952380952376</v>
      </c>
      <c r="P9" s="88" t="s">
        <v>40</v>
      </c>
      <c r="Q9" s="88">
        <v>40</v>
      </c>
      <c r="R9" s="90">
        <v>1650</v>
      </c>
      <c r="S9" s="80">
        <f t="shared" si="3"/>
        <v>66000</v>
      </c>
      <c r="T9" s="90">
        <f t="shared" si="4"/>
        <v>792000</v>
      </c>
      <c r="U9" t="s">
        <v>61</v>
      </c>
    </row>
    <row r="10" spans="1:31" ht="15" thickBot="1" x14ac:dyDescent="0.4">
      <c r="A10" s="47">
        <v>3850</v>
      </c>
      <c r="B10" s="48" t="s">
        <v>12</v>
      </c>
      <c r="C10" s="48">
        <v>6175</v>
      </c>
      <c r="D10" s="74">
        <f>2/14</f>
        <v>0.14285714285714285</v>
      </c>
      <c r="E10" s="48">
        <v>8</v>
      </c>
      <c r="F10" s="75">
        <f t="shared" si="8"/>
        <v>7057.1428571428569</v>
      </c>
      <c r="G10" s="76">
        <f t="shared" si="9"/>
        <v>3130.0813008130081</v>
      </c>
      <c r="H10" s="49">
        <f t="shared" si="10"/>
        <v>22089430.894308943</v>
      </c>
      <c r="I10" s="115"/>
      <c r="J10" s="118"/>
      <c r="P10" s="88" t="s">
        <v>54</v>
      </c>
      <c r="Q10" s="88">
        <v>6</v>
      </c>
      <c r="R10" s="80">
        <v>950</v>
      </c>
      <c r="S10" s="80">
        <f>R10*Q10</f>
        <v>5700</v>
      </c>
      <c r="T10" s="80">
        <f t="shared" si="4"/>
        <v>68400</v>
      </c>
    </row>
    <row r="11" spans="1:31" x14ac:dyDescent="0.35">
      <c r="A11" s="7"/>
      <c r="J11" s="42">
        <f>SUM(J2:J10)</f>
        <v>240468843.786295</v>
      </c>
      <c r="P11" s="92" t="s">
        <v>55</v>
      </c>
      <c r="Q11" s="88">
        <v>10</v>
      </c>
      <c r="R11" s="80">
        <v>2000</v>
      </c>
      <c r="S11" s="80">
        <f t="shared" si="3"/>
        <v>20000</v>
      </c>
      <c r="T11" s="80">
        <f t="shared" si="4"/>
        <v>240000</v>
      </c>
      <c r="U11" t="s">
        <v>61</v>
      </c>
    </row>
    <row r="12" spans="1:31" x14ac:dyDescent="0.35">
      <c r="A12" s="7"/>
      <c r="P12" s="87" t="s">
        <v>48</v>
      </c>
      <c r="Q12" s="94">
        <f>SUM(Q3:Q11)</f>
        <v>262.16279069767444</v>
      </c>
      <c r="R12" s="81">
        <f>SUM(R3:R11)</f>
        <v>18350</v>
      </c>
      <c r="S12" s="81">
        <f>SUM(S3:S11)</f>
        <v>452461.62790697673</v>
      </c>
      <c r="T12" s="81">
        <f>SUM(T3:T11)</f>
        <v>5429539.5348837208</v>
      </c>
    </row>
    <row r="13" spans="1:31" x14ac:dyDescent="0.35">
      <c r="B13" s="77" t="s">
        <v>15</v>
      </c>
      <c r="C13" s="77" t="s">
        <v>16</v>
      </c>
      <c r="D13" s="77" t="s">
        <v>17</v>
      </c>
      <c r="E13" s="77" t="s">
        <v>18</v>
      </c>
      <c r="F13" s="77" t="s">
        <v>19</v>
      </c>
      <c r="G13" s="77" t="s">
        <v>20</v>
      </c>
      <c r="H13" s="77" t="s">
        <v>15</v>
      </c>
      <c r="I13" s="83" t="s">
        <v>22</v>
      </c>
      <c r="J13" s="77" t="s">
        <v>23</v>
      </c>
    </row>
    <row r="14" spans="1:31" x14ac:dyDescent="0.35">
      <c r="B14" s="1">
        <v>1200</v>
      </c>
      <c r="C14" s="1" t="s">
        <v>8</v>
      </c>
      <c r="D14" s="1">
        <v>6175</v>
      </c>
      <c r="E14" s="84">
        <f>6/11</f>
        <v>0.54545454545454541</v>
      </c>
      <c r="F14" s="1">
        <v>3</v>
      </c>
      <c r="G14" s="85">
        <f>D14*E14*F14</f>
        <v>10104.545454545454</v>
      </c>
      <c r="H14" s="86">
        <f>B14/(1.23)</f>
        <v>975.60975609756099</v>
      </c>
      <c r="I14" s="1">
        <v>6</v>
      </c>
      <c r="J14" s="6">
        <f>G14*H14</f>
        <v>9858093.1263858099</v>
      </c>
    </row>
    <row r="15" spans="1:31" x14ac:dyDescent="0.35">
      <c r="B15" s="1">
        <v>2400</v>
      </c>
      <c r="C15" s="1" t="s">
        <v>9</v>
      </c>
      <c r="D15" s="1">
        <v>6175</v>
      </c>
      <c r="E15" s="84">
        <f>4/11</f>
        <v>0.36363636363636365</v>
      </c>
      <c r="F15" s="1">
        <v>3.3</v>
      </c>
      <c r="G15" s="85">
        <f>D15*E15*F15</f>
        <v>7410</v>
      </c>
      <c r="H15" s="86">
        <f t="shared" ref="H15" si="11">B15/(1.23)</f>
        <v>1951.219512195122</v>
      </c>
      <c r="I15" s="1">
        <v>4</v>
      </c>
      <c r="J15" s="6">
        <f>G15*H15</f>
        <v>14458536.585365854</v>
      </c>
    </row>
    <row r="16" spans="1:31" x14ac:dyDescent="0.35">
      <c r="B16" s="1">
        <v>15000</v>
      </c>
      <c r="C16" s="1" t="s">
        <v>10</v>
      </c>
      <c r="D16" s="1">
        <v>6175</v>
      </c>
      <c r="E16" s="84">
        <f>4/11</f>
        <v>0.36363636363636365</v>
      </c>
      <c r="F16" s="1">
        <v>3.3</v>
      </c>
      <c r="G16" s="85">
        <f>D16*E16*F16</f>
        <v>7410</v>
      </c>
      <c r="H16" s="86">
        <f>B16/1.23</f>
        <v>12195.121951219513</v>
      </c>
      <c r="I16" s="1">
        <v>4</v>
      </c>
      <c r="J16" s="6">
        <f>G16*H16</f>
        <v>90365853.658536598</v>
      </c>
      <c r="P16" s="119" t="s">
        <v>30</v>
      </c>
      <c r="Q16" s="119"/>
      <c r="S16" s="89" cm="1">
        <f t="array" ref="S16">AVERAGE(R3:R9+R11)</f>
        <v>4200</v>
      </c>
    </row>
    <row r="17" spans="5:23" x14ac:dyDescent="0.35">
      <c r="J17" s="27">
        <f>SUM(J14:J16)</f>
        <v>114682483.37028825</v>
      </c>
      <c r="P17" s="82" t="s">
        <v>31</v>
      </c>
      <c r="Q17" s="79">
        <v>6175</v>
      </c>
      <c r="S17">
        <f>256*42/12</f>
        <v>896</v>
      </c>
      <c r="W17" t="s">
        <v>52</v>
      </c>
    </row>
    <row r="18" spans="5:23" x14ac:dyDescent="0.35">
      <c r="P18" s="82" t="s">
        <v>32</v>
      </c>
      <c r="Q18" s="79">
        <v>1</v>
      </c>
      <c r="W18" t="s">
        <v>56</v>
      </c>
    </row>
    <row r="19" spans="5:23" x14ac:dyDescent="0.35">
      <c r="H19" s="120" t="s">
        <v>47</v>
      </c>
      <c r="I19" s="120"/>
      <c r="J19" s="81">
        <f>J11+J17</f>
        <v>355151327.15658325</v>
      </c>
      <c r="P19" s="82" t="s">
        <v>33</v>
      </c>
      <c r="Q19" s="79">
        <v>2</v>
      </c>
    </row>
    <row r="20" spans="5:23" x14ac:dyDescent="0.35">
      <c r="P20" s="82" t="s">
        <v>34</v>
      </c>
      <c r="Q20" s="79">
        <f>Q17*Q18*12*Q19</f>
        <v>148200</v>
      </c>
      <c r="S20" s="89">
        <f>(Q3*R3+Q4*R4+Q5*R5+Q6*R6+Q7*R7+Q8*R8+Q9*R9+Q11*R11)/256</f>
        <v>1745.1626090116279</v>
      </c>
    </row>
    <row r="21" spans="5:23" x14ac:dyDescent="0.35">
      <c r="P21" s="82" t="s">
        <v>35</v>
      </c>
      <c r="Q21" s="79">
        <f>215*8</f>
        <v>1720</v>
      </c>
      <c r="S21">
        <f>17*256</f>
        <v>4352</v>
      </c>
    </row>
    <row r="22" spans="5:23" x14ac:dyDescent="0.35">
      <c r="P22" s="82" t="s">
        <v>36</v>
      </c>
      <c r="Q22" s="93">
        <f>Q20/Q21</f>
        <v>86.162790697674424</v>
      </c>
    </row>
    <row r="25" spans="5:23" x14ac:dyDescent="0.35">
      <c r="E25">
        <v>6175</v>
      </c>
      <c r="F25">
        <v>100</v>
      </c>
    </row>
    <row r="26" spans="5:23" x14ac:dyDescent="0.35">
      <c r="F26">
        <v>29</v>
      </c>
    </row>
    <row r="27" spans="5:23" x14ac:dyDescent="0.35">
      <c r="H27">
        <f>35286/28229</f>
        <v>1.249991143859152</v>
      </c>
    </row>
    <row r="28" spans="5:23" x14ac:dyDescent="0.35">
      <c r="E28">
        <f>E25*F26/F25</f>
        <v>1790.75</v>
      </c>
      <c r="H28">
        <f>10105/8084</f>
        <v>1.25</v>
      </c>
    </row>
  </sheetData>
  <mergeCells count="11">
    <mergeCell ref="I8:I10"/>
    <mergeCell ref="J8:J10"/>
    <mergeCell ref="P16:Q16"/>
    <mergeCell ref="H19:I19"/>
    <mergeCell ref="M1:N1"/>
    <mergeCell ref="P1:T1"/>
    <mergeCell ref="AD1:AE1"/>
    <mergeCell ref="I2:I4"/>
    <mergeCell ref="J2:J4"/>
    <mergeCell ref="I5:I7"/>
    <mergeCell ref="J5:J7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213BD-665C-4133-861D-07C1EA92567F}">
  <dimension ref="A1:AE29"/>
  <sheetViews>
    <sheetView workbookViewId="0">
      <selection activeCell="B23" sqref="B23:B24"/>
    </sheetView>
  </sheetViews>
  <sheetFormatPr defaultRowHeight="14.5" x14ac:dyDescent="0.35"/>
  <cols>
    <col min="2" max="2" width="11" customWidth="1"/>
    <col min="3" max="3" width="13.26953125" customWidth="1"/>
    <col min="4" max="4" width="12.54296875" bestFit="1" customWidth="1"/>
    <col min="5" max="5" width="10.453125" customWidth="1"/>
    <col min="6" max="6" width="15.26953125" customWidth="1"/>
    <col min="8" max="8" width="16.08984375" bestFit="1" customWidth="1"/>
    <col min="9" max="9" width="14.7265625" customWidth="1"/>
    <col min="10" max="10" width="17.81640625" bestFit="1" customWidth="1"/>
    <col min="13" max="13" width="16.08984375" customWidth="1"/>
    <col min="14" max="14" width="12.36328125" customWidth="1"/>
    <col min="16" max="16" width="19.90625" bestFit="1" customWidth="1"/>
    <col min="17" max="17" width="15.1796875" bestFit="1" customWidth="1"/>
    <col min="18" max="18" width="12.26953125" bestFit="1" customWidth="1"/>
    <col min="19" max="20" width="18.7265625" bestFit="1" customWidth="1"/>
    <col min="23" max="23" width="16.1796875" bestFit="1" customWidth="1"/>
    <col min="24" max="24" width="12.54296875" bestFit="1" customWidth="1"/>
    <col min="28" max="28" width="14.08984375" bestFit="1" customWidth="1"/>
    <col min="29" max="29" width="11.54296875" bestFit="1" customWidth="1"/>
    <col min="30" max="30" width="16.1796875" bestFit="1" customWidth="1"/>
    <col min="31" max="31" width="14.08984375" bestFit="1" customWidth="1"/>
  </cols>
  <sheetData>
    <row r="1" spans="1:31" ht="15" thickBot="1" x14ac:dyDescent="0.4">
      <c r="A1" s="77" t="s">
        <v>15</v>
      </c>
      <c r="B1" s="77" t="s">
        <v>16</v>
      </c>
      <c r="C1" s="77" t="s">
        <v>17</v>
      </c>
      <c r="D1" s="77" t="s">
        <v>18</v>
      </c>
      <c r="E1" s="77" t="s">
        <v>19</v>
      </c>
      <c r="F1" s="77" t="s">
        <v>20</v>
      </c>
      <c r="G1" s="77" t="s">
        <v>15</v>
      </c>
      <c r="H1" s="77" t="s">
        <v>21</v>
      </c>
      <c r="I1" s="78" t="s">
        <v>22</v>
      </c>
      <c r="J1" s="77" t="s">
        <v>23</v>
      </c>
      <c r="M1" s="121" t="s">
        <v>14</v>
      </c>
      <c r="N1" s="121"/>
      <c r="P1" s="121" t="s">
        <v>24</v>
      </c>
      <c r="Q1" s="121"/>
      <c r="R1" s="121"/>
      <c r="S1" s="121"/>
      <c r="T1" s="121"/>
      <c r="AD1" s="100" t="s">
        <v>60</v>
      </c>
      <c r="AE1" s="100"/>
    </row>
    <row r="2" spans="1:31" ht="15" thickBot="1" x14ac:dyDescent="0.4">
      <c r="A2" s="28">
        <v>800</v>
      </c>
      <c r="B2" s="29" t="s">
        <v>3</v>
      </c>
      <c r="C2" s="29">
        <v>6175</v>
      </c>
      <c r="D2" s="50">
        <v>0.31</v>
      </c>
      <c r="E2" s="29">
        <v>8</v>
      </c>
      <c r="F2" s="51">
        <f>C2*D2*E2</f>
        <v>15314</v>
      </c>
      <c r="G2" s="52">
        <f>A2/(1.23)</f>
        <v>650.40650406504062</v>
      </c>
      <c r="H2" s="30">
        <f>F2*G2</f>
        <v>9960325.2032520324</v>
      </c>
      <c r="I2" s="101">
        <v>4</v>
      </c>
      <c r="J2" s="104">
        <f>SUM(H2:H4)</f>
        <v>40666140.243902445</v>
      </c>
      <c r="M2" s="82" t="s">
        <v>41</v>
      </c>
      <c r="N2" s="79">
        <v>6175</v>
      </c>
      <c r="P2" s="87" t="s">
        <v>25</v>
      </c>
      <c r="Q2" s="87" t="s">
        <v>26</v>
      </c>
      <c r="R2" s="87" t="s">
        <v>53</v>
      </c>
      <c r="S2" s="87" t="s">
        <v>37</v>
      </c>
      <c r="T2" s="87" t="s">
        <v>38</v>
      </c>
      <c r="W2" s="95" t="s">
        <v>49</v>
      </c>
      <c r="X2" s="89">
        <v>4500</v>
      </c>
      <c r="Y2" t="s">
        <v>58</v>
      </c>
      <c r="AD2" s="87" t="s">
        <v>49</v>
      </c>
      <c r="AE2" s="90">
        <v>4500</v>
      </c>
    </row>
    <row r="3" spans="1:31" ht="15" thickBot="1" x14ac:dyDescent="0.4">
      <c r="A3" s="31">
        <v>950</v>
      </c>
      <c r="B3" s="9" t="s">
        <v>3</v>
      </c>
      <c r="C3" s="9">
        <v>6175</v>
      </c>
      <c r="D3" s="50">
        <v>0.31</v>
      </c>
      <c r="E3" s="9">
        <v>10</v>
      </c>
      <c r="F3" s="54">
        <f t="shared" ref="F3:F4" si="0">C3*D3*E3</f>
        <v>19142.5</v>
      </c>
      <c r="G3" s="55">
        <f t="shared" ref="G3:G4" si="1">A3/(1.23)</f>
        <v>772.35772357723579</v>
      </c>
      <c r="H3" s="14">
        <f t="shared" ref="H3:H4" si="2">F3*G3</f>
        <v>14784857.723577237</v>
      </c>
      <c r="I3" s="102"/>
      <c r="J3" s="105"/>
      <c r="K3">
        <v>16055</v>
      </c>
      <c r="M3" s="82" t="s">
        <v>42</v>
      </c>
      <c r="N3" s="79">
        <v>10</v>
      </c>
      <c r="P3" s="88" t="s">
        <v>29</v>
      </c>
      <c r="Q3" s="88">
        <v>30</v>
      </c>
      <c r="R3" s="80">
        <v>2200</v>
      </c>
      <c r="S3" s="80">
        <f>R3*Q3</f>
        <v>66000</v>
      </c>
      <c r="T3" s="90">
        <f>S3*12</f>
        <v>792000</v>
      </c>
      <c r="U3" t="s">
        <v>61</v>
      </c>
      <c r="W3" t="s">
        <v>50</v>
      </c>
      <c r="X3" s="96">
        <f>((Q12-Q10)*1200)+((Q12-Q10)*900)+150000</f>
        <v>687941.86046511633</v>
      </c>
      <c r="Y3" t="s">
        <v>57</v>
      </c>
      <c r="AA3" t="s">
        <v>50</v>
      </c>
      <c r="AB3" s="96">
        <f>X3/12</f>
        <v>57328.48837209303</v>
      </c>
      <c r="AC3" s="89" t="s">
        <v>58</v>
      </c>
      <c r="AD3" s="97" t="s">
        <v>50</v>
      </c>
      <c r="AE3" s="90">
        <v>11493.693798449613</v>
      </c>
    </row>
    <row r="4" spans="1:31" ht="15" thickBot="1" x14ac:dyDescent="0.4">
      <c r="A4" s="32">
        <v>1100</v>
      </c>
      <c r="B4" s="33" t="s">
        <v>3</v>
      </c>
      <c r="C4" s="33">
        <v>6175</v>
      </c>
      <c r="D4" s="50">
        <v>0.31</v>
      </c>
      <c r="E4" s="33">
        <v>9.3000000000000007</v>
      </c>
      <c r="F4" s="57">
        <f t="shared" si="0"/>
        <v>17802.525000000001</v>
      </c>
      <c r="G4" s="58">
        <f t="shared" si="1"/>
        <v>894.30894308943095</v>
      </c>
      <c r="H4" s="34">
        <f t="shared" si="2"/>
        <v>15920957.317073174</v>
      </c>
      <c r="I4" s="103"/>
      <c r="J4" s="106"/>
      <c r="M4" s="82" t="s">
        <v>43</v>
      </c>
      <c r="N4" s="79">
        <v>1.1499999999999999</v>
      </c>
      <c r="P4" s="88" t="s">
        <v>28</v>
      </c>
      <c r="Q4" s="91">
        <f>Q22</f>
        <v>86.162790697674424</v>
      </c>
      <c r="R4" s="80">
        <v>1300</v>
      </c>
      <c r="S4" s="80">
        <f>R4*Q4</f>
        <v>112011.62790697675</v>
      </c>
      <c r="T4" s="90">
        <f>S4*12</f>
        <v>1344139.534883721</v>
      </c>
      <c r="U4" t="s">
        <v>61</v>
      </c>
      <c r="W4" t="s">
        <v>51</v>
      </c>
      <c r="X4" s="89">
        <f>Q12-Q10*11.7+Q3*18.7+Q5*64+(299/12)</f>
        <v>2377.8794573643409</v>
      </c>
      <c r="Y4" t="s">
        <v>58</v>
      </c>
      <c r="AB4" s="89">
        <f>X4*12</f>
        <v>28534.55348837209</v>
      </c>
      <c r="AD4" s="97" t="s">
        <v>51</v>
      </c>
      <c r="AE4" s="90">
        <v>2377.8794573643409</v>
      </c>
    </row>
    <row r="5" spans="1:31" x14ac:dyDescent="0.35">
      <c r="A5" s="35">
        <v>1800</v>
      </c>
      <c r="B5" s="36" t="s">
        <v>11</v>
      </c>
      <c r="C5" s="36">
        <v>6175</v>
      </c>
      <c r="D5" s="59">
        <f>8/14</f>
        <v>0.5714285714285714</v>
      </c>
      <c r="E5" s="36">
        <v>10</v>
      </c>
      <c r="F5" s="60">
        <f>C5*D5*E5</f>
        <v>35285.714285714283</v>
      </c>
      <c r="G5" s="61">
        <f>A5/(1.23)</f>
        <v>1463.4146341463415</v>
      </c>
      <c r="H5" s="37">
        <f>F5*G5</f>
        <v>51637630.662020907</v>
      </c>
      <c r="I5" s="107">
        <v>8</v>
      </c>
      <c r="J5" s="110">
        <f>SUM(H5:H7)</f>
        <v>131618081.01045296</v>
      </c>
      <c r="M5" s="82" t="s">
        <v>44</v>
      </c>
      <c r="N5" s="79">
        <v>0.3</v>
      </c>
      <c r="P5" s="88" t="s">
        <v>14</v>
      </c>
      <c r="Q5" s="88">
        <v>25</v>
      </c>
      <c r="R5" s="80">
        <v>1350</v>
      </c>
      <c r="S5" s="80">
        <f t="shared" ref="S5:S11" si="3">R5*Q5</f>
        <v>33750</v>
      </c>
      <c r="T5" s="90">
        <f t="shared" ref="T5:T11" si="4">S5*12</f>
        <v>405000</v>
      </c>
      <c r="U5" t="s">
        <v>61</v>
      </c>
      <c r="W5" t="s">
        <v>59</v>
      </c>
      <c r="X5" s="89">
        <f>50+10*(Q12-Q10)</f>
        <v>2611.6279069767443</v>
      </c>
      <c r="Y5" t="s">
        <v>58</v>
      </c>
      <c r="AD5" s="97" t="s">
        <v>59</v>
      </c>
      <c r="AE5" s="90">
        <v>2611.6279069767443</v>
      </c>
    </row>
    <row r="6" spans="1:31" x14ac:dyDescent="0.35">
      <c r="A6" s="38">
        <v>1950</v>
      </c>
      <c r="B6" s="15" t="s">
        <v>11</v>
      </c>
      <c r="C6" s="15">
        <v>6175</v>
      </c>
      <c r="D6" s="62">
        <f>8/14</f>
        <v>0.5714285714285714</v>
      </c>
      <c r="E6" s="15">
        <v>7.1</v>
      </c>
      <c r="F6" s="63">
        <f t="shared" ref="F6:F7" si="5">C6*D6*E6</f>
        <v>25052.857142857141</v>
      </c>
      <c r="G6" s="64">
        <f t="shared" ref="G6:G7" si="6">A6/(1.23)</f>
        <v>1585.3658536585367</v>
      </c>
      <c r="H6" s="20">
        <f t="shared" ref="H6:H7" si="7">F6*G6</f>
        <v>39717944.250871077</v>
      </c>
      <c r="I6" s="108"/>
      <c r="J6" s="111"/>
      <c r="K6" s="99">
        <f>AVERAGE(F5:F7)</f>
        <v>27973.632142857139</v>
      </c>
      <c r="M6" s="82" t="s">
        <v>45</v>
      </c>
      <c r="N6" s="79">
        <f>N2*N3</f>
        <v>61750</v>
      </c>
      <c r="P6" s="88" t="s">
        <v>13</v>
      </c>
      <c r="Q6" s="88">
        <v>35</v>
      </c>
      <c r="R6" s="80">
        <v>1400</v>
      </c>
      <c r="S6" s="80">
        <f t="shared" si="3"/>
        <v>49000</v>
      </c>
      <c r="T6" s="90">
        <f t="shared" si="4"/>
        <v>588000</v>
      </c>
      <c r="AD6" s="98" t="s">
        <v>48</v>
      </c>
      <c r="AE6" s="89">
        <f>SUM(AE2:AE5)</f>
        <v>20983.201162790698</v>
      </c>
    </row>
    <row r="7" spans="1:31" ht="15" thickBot="1" x14ac:dyDescent="0.4">
      <c r="A7" s="39">
        <v>2100</v>
      </c>
      <c r="B7" s="40" t="s">
        <v>11</v>
      </c>
      <c r="C7" s="40">
        <v>6175</v>
      </c>
      <c r="D7" s="65">
        <v>0.56999999999999995</v>
      </c>
      <c r="E7" s="40">
        <v>6.7</v>
      </c>
      <c r="F7" s="66">
        <f t="shared" si="5"/>
        <v>23582.324999999997</v>
      </c>
      <c r="G7" s="67">
        <f t="shared" si="6"/>
        <v>1707.3170731707316</v>
      </c>
      <c r="H7" s="41">
        <f t="shared" si="7"/>
        <v>40262506.097560972</v>
      </c>
      <c r="I7" s="109"/>
      <c r="J7" s="112"/>
      <c r="P7" s="88" t="s">
        <v>27</v>
      </c>
      <c r="Q7" s="88">
        <v>20</v>
      </c>
      <c r="R7" s="80">
        <v>2500</v>
      </c>
      <c r="S7" s="80">
        <f t="shared" si="3"/>
        <v>50000</v>
      </c>
      <c r="T7" s="90">
        <f t="shared" si="4"/>
        <v>600000</v>
      </c>
    </row>
    <row r="8" spans="1:31" x14ac:dyDescent="0.35">
      <c r="A8" s="43">
        <v>3600</v>
      </c>
      <c r="B8" s="44" t="s">
        <v>12</v>
      </c>
      <c r="C8" s="44">
        <v>6175</v>
      </c>
      <c r="D8" s="68">
        <v>0.17</v>
      </c>
      <c r="E8" s="44">
        <v>8</v>
      </c>
      <c r="F8" s="69">
        <f>C8*D8*E8</f>
        <v>8398</v>
      </c>
      <c r="G8" s="70">
        <f>A8/(1.23)</f>
        <v>2926.8292682926831</v>
      </c>
      <c r="H8" s="45">
        <f>F8*G8</f>
        <v>24579512.195121951</v>
      </c>
      <c r="I8" s="113">
        <v>2</v>
      </c>
      <c r="J8" s="116">
        <f>SUM(H8:H10)</f>
        <v>68184622.531939611</v>
      </c>
      <c r="M8" s="82" t="s">
        <v>46</v>
      </c>
      <c r="N8" s="81">
        <f>N6*N4+N6*N5</f>
        <v>89537.5</v>
      </c>
      <c r="P8" s="88" t="s">
        <v>39</v>
      </c>
      <c r="Q8" s="88">
        <v>10</v>
      </c>
      <c r="R8" s="80">
        <v>5000</v>
      </c>
      <c r="S8" s="80">
        <f t="shared" si="3"/>
        <v>50000</v>
      </c>
      <c r="T8" s="90">
        <f t="shared" si="4"/>
        <v>600000</v>
      </c>
      <c r="U8" t="s">
        <v>61</v>
      </c>
    </row>
    <row r="9" spans="1:31" x14ac:dyDescent="0.35">
      <c r="A9" s="46">
        <v>3750</v>
      </c>
      <c r="B9" s="21" t="s">
        <v>12</v>
      </c>
      <c r="C9" s="21">
        <v>6175</v>
      </c>
      <c r="D9" s="71">
        <f>2/14</f>
        <v>0.14285714285714285</v>
      </c>
      <c r="E9" s="21">
        <v>8</v>
      </c>
      <c r="F9" s="72">
        <f t="shared" ref="F9:F10" si="8">C9*D9*E9</f>
        <v>7057.1428571428569</v>
      </c>
      <c r="G9" s="73">
        <f t="shared" ref="G9:G10" si="9">A9/(1.23)</f>
        <v>3048.7804878048782</v>
      </c>
      <c r="H9" s="26">
        <f t="shared" ref="H9:H10" si="10">F9*G9</f>
        <v>21515679.442508712</v>
      </c>
      <c r="I9" s="114"/>
      <c r="J9" s="117"/>
      <c r="K9" s="99">
        <f>AVERAGE(F8:F10)</f>
        <v>7504.0952380952376</v>
      </c>
      <c r="P9" s="88" t="s">
        <v>40</v>
      </c>
      <c r="Q9" s="88">
        <v>40</v>
      </c>
      <c r="R9" s="90">
        <v>1650</v>
      </c>
      <c r="S9" s="80">
        <f t="shared" si="3"/>
        <v>66000</v>
      </c>
      <c r="T9" s="90">
        <f t="shared" si="4"/>
        <v>792000</v>
      </c>
      <c r="U9" t="s">
        <v>61</v>
      </c>
    </row>
    <row r="10" spans="1:31" ht="15" thickBot="1" x14ac:dyDescent="0.4">
      <c r="A10" s="47">
        <v>3850</v>
      </c>
      <c r="B10" s="48" t="s">
        <v>12</v>
      </c>
      <c r="C10" s="48">
        <v>6175</v>
      </c>
      <c r="D10" s="74">
        <f>2/14</f>
        <v>0.14285714285714285</v>
      </c>
      <c r="E10" s="48">
        <v>8</v>
      </c>
      <c r="F10" s="75">
        <f t="shared" si="8"/>
        <v>7057.1428571428569</v>
      </c>
      <c r="G10" s="76">
        <f t="shared" si="9"/>
        <v>3130.0813008130081</v>
      </c>
      <c r="H10" s="49">
        <f t="shared" si="10"/>
        <v>22089430.894308943</v>
      </c>
      <c r="I10" s="115"/>
      <c r="J10" s="118"/>
      <c r="P10" s="88" t="s">
        <v>54</v>
      </c>
      <c r="Q10" s="88">
        <v>6</v>
      </c>
      <c r="R10" s="80">
        <v>950</v>
      </c>
      <c r="S10" s="80">
        <f>R10*Q10</f>
        <v>5700</v>
      </c>
      <c r="T10" s="80">
        <f t="shared" si="4"/>
        <v>68400</v>
      </c>
    </row>
    <row r="11" spans="1:31" x14ac:dyDescent="0.35">
      <c r="A11" s="7"/>
      <c r="J11" s="42">
        <f>SUM(J2:J10)</f>
        <v>240468843.786295</v>
      </c>
      <c r="P11" s="92" t="s">
        <v>55</v>
      </c>
      <c r="Q11" s="88">
        <v>10</v>
      </c>
      <c r="R11" s="80">
        <v>2000</v>
      </c>
      <c r="S11" s="80">
        <f t="shared" si="3"/>
        <v>20000</v>
      </c>
      <c r="T11" s="80">
        <f t="shared" si="4"/>
        <v>240000</v>
      </c>
      <c r="U11" t="s">
        <v>61</v>
      </c>
    </row>
    <row r="12" spans="1:31" x14ac:dyDescent="0.35">
      <c r="A12" s="7"/>
      <c r="P12" s="87" t="s">
        <v>48</v>
      </c>
      <c r="Q12" s="94">
        <f>SUM(Q3:Q11)</f>
        <v>262.16279069767444</v>
      </c>
      <c r="R12" s="81">
        <f>SUM(R3:R11)</f>
        <v>18350</v>
      </c>
      <c r="S12" s="81">
        <f>SUM(S3:S11)</f>
        <v>452461.62790697673</v>
      </c>
      <c r="T12" s="81">
        <f>SUM(T3:T11)</f>
        <v>5429539.5348837208</v>
      </c>
    </row>
    <row r="13" spans="1:31" x14ac:dyDescent="0.35">
      <c r="B13" s="77" t="s">
        <v>15</v>
      </c>
      <c r="C13" s="77" t="s">
        <v>16</v>
      </c>
      <c r="D13" s="77" t="s">
        <v>17</v>
      </c>
      <c r="E13" s="77" t="s">
        <v>18</v>
      </c>
      <c r="F13" s="77" t="s">
        <v>19</v>
      </c>
      <c r="G13" s="77" t="s">
        <v>20</v>
      </c>
      <c r="H13" s="77" t="s">
        <v>15</v>
      </c>
      <c r="I13" s="83" t="s">
        <v>22</v>
      </c>
      <c r="J13" s="77" t="s">
        <v>23</v>
      </c>
    </row>
    <row r="14" spans="1:31" x14ac:dyDescent="0.35">
      <c r="B14" s="1">
        <v>1200</v>
      </c>
      <c r="C14" s="1" t="s">
        <v>8</v>
      </c>
      <c r="D14" s="1">
        <v>6175</v>
      </c>
      <c r="E14" s="84">
        <f>6/11</f>
        <v>0.54545454545454541</v>
      </c>
      <c r="F14" s="1">
        <v>3</v>
      </c>
      <c r="G14" s="85">
        <f>D14*E14*F14</f>
        <v>10104.545454545454</v>
      </c>
      <c r="H14" s="86">
        <f>B14/(1.23)</f>
        <v>975.60975609756099</v>
      </c>
      <c r="I14" s="1">
        <v>6</v>
      </c>
      <c r="J14" s="6">
        <f>G14*H14</f>
        <v>9858093.1263858099</v>
      </c>
    </row>
    <row r="15" spans="1:31" x14ac:dyDescent="0.35">
      <c r="B15" s="1">
        <v>2400</v>
      </c>
      <c r="C15" s="1" t="s">
        <v>9</v>
      </c>
      <c r="D15" s="1">
        <v>6175</v>
      </c>
      <c r="E15" s="84">
        <f>4/11</f>
        <v>0.36363636363636365</v>
      </c>
      <c r="F15" s="1">
        <v>3.3</v>
      </c>
      <c r="G15" s="85">
        <f>D15*E15*F15</f>
        <v>7410</v>
      </c>
      <c r="H15" s="86">
        <f t="shared" ref="H15" si="11">B15/(1.23)</f>
        <v>1951.219512195122</v>
      </c>
      <c r="I15" s="1">
        <v>4</v>
      </c>
      <c r="J15" s="6">
        <f>G15*H15</f>
        <v>14458536.585365854</v>
      </c>
    </row>
    <row r="16" spans="1:31" x14ac:dyDescent="0.35">
      <c r="B16" s="1">
        <v>15000</v>
      </c>
      <c r="C16" s="1" t="s">
        <v>10</v>
      </c>
      <c r="D16" s="1">
        <v>6175</v>
      </c>
      <c r="E16" s="84">
        <v>0.37</v>
      </c>
      <c r="F16" s="1">
        <v>3.3</v>
      </c>
      <c r="G16" s="85">
        <f>D16*E16*F16</f>
        <v>7539.6749999999993</v>
      </c>
      <c r="H16" s="86">
        <f>B16/1.23</f>
        <v>12195.121951219513</v>
      </c>
      <c r="I16" s="1">
        <v>4</v>
      </c>
      <c r="J16" s="6">
        <f>G16*H16</f>
        <v>91947256.097560972</v>
      </c>
      <c r="P16" s="119" t="s">
        <v>30</v>
      </c>
      <c r="Q16" s="119"/>
      <c r="S16" s="89" cm="1">
        <f t="array" ref="S16">AVERAGE(R3:R9+R11)</f>
        <v>4200</v>
      </c>
    </row>
    <row r="17" spans="5:23" x14ac:dyDescent="0.35">
      <c r="J17" s="27">
        <f>SUM(J14:J16)</f>
        <v>116263885.80931264</v>
      </c>
      <c r="P17" s="82" t="s">
        <v>31</v>
      </c>
      <c r="Q17" s="79">
        <v>6175</v>
      </c>
      <c r="S17">
        <f>256*42/12</f>
        <v>896</v>
      </c>
      <c r="W17" t="s">
        <v>52</v>
      </c>
    </row>
    <row r="18" spans="5:23" x14ac:dyDescent="0.35">
      <c r="P18" s="82" t="s">
        <v>32</v>
      </c>
      <c r="Q18" s="79">
        <v>1</v>
      </c>
      <c r="W18" t="s">
        <v>56</v>
      </c>
    </row>
    <row r="19" spans="5:23" x14ac:dyDescent="0.35">
      <c r="H19" s="120" t="s">
        <v>47</v>
      </c>
      <c r="I19" s="120"/>
      <c r="J19" s="81">
        <f>J11+J17</f>
        <v>356732729.59560764</v>
      </c>
      <c r="P19" s="82" t="s">
        <v>33</v>
      </c>
      <c r="Q19" s="79">
        <v>2</v>
      </c>
    </row>
    <row r="20" spans="5:23" x14ac:dyDescent="0.35">
      <c r="P20" s="82" t="s">
        <v>34</v>
      </c>
      <c r="Q20" s="79">
        <f>Q17*Q18*12*Q19</f>
        <v>148200</v>
      </c>
      <c r="S20" s="89">
        <f>(Q3*R3+Q4*R4+Q5*R5+Q6*R6+Q7*R7+Q8*R8+Q9*R9+Q11*R11)/256</f>
        <v>1745.1626090116279</v>
      </c>
    </row>
    <row r="21" spans="5:23" x14ac:dyDescent="0.35">
      <c r="P21" s="82" t="s">
        <v>35</v>
      </c>
      <c r="Q21" s="79">
        <f>215*8</f>
        <v>1720</v>
      </c>
      <c r="S21">
        <f>17*256</f>
        <v>4352</v>
      </c>
    </row>
    <row r="22" spans="5:23" x14ac:dyDescent="0.35">
      <c r="P22" s="82" t="s">
        <v>36</v>
      </c>
      <c r="Q22" s="93">
        <f>Q20/Q21</f>
        <v>86.162790697674424</v>
      </c>
    </row>
    <row r="25" spans="5:23" x14ac:dyDescent="0.35">
      <c r="E25">
        <v>6175</v>
      </c>
      <c r="F25">
        <v>100</v>
      </c>
    </row>
    <row r="26" spans="5:23" x14ac:dyDescent="0.35">
      <c r="F26">
        <v>29</v>
      </c>
    </row>
    <row r="27" spans="5:23" x14ac:dyDescent="0.35">
      <c r="H27">
        <f>35286/28229</f>
        <v>1.249991143859152</v>
      </c>
    </row>
    <row r="28" spans="5:23" x14ac:dyDescent="0.35">
      <c r="E28">
        <f>E25*F26/F25</f>
        <v>1790.75</v>
      </c>
      <c r="H28">
        <f>10105/8084</f>
        <v>1.25</v>
      </c>
    </row>
    <row r="29" spans="5:23" x14ac:dyDescent="0.35">
      <c r="H29">
        <f>7540/7410</f>
        <v>1.0175438596491229</v>
      </c>
    </row>
  </sheetData>
  <mergeCells count="11">
    <mergeCell ref="I8:I10"/>
    <mergeCell ref="J8:J10"/>
    <mergeCell ref="P16:Q16"/>
    <mergeCell ref="H19:I19"/>
    <mergeCell ref="M1:N1"/>
    <mergeCell ref="P1:T1"/>
    <mergeCell ref="AD1:AE1"/>
    <mergeCell ref="I2:I4"/>
    <mergeCell ref="J2:J4"/>
    <mergeCell ref="I5:I7"/>
    <mergeCell ref="J5:J7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63DD9-B29A-4350-8071-F09394AB209E}">
  <dimension ref="A1:AE30"/>
  <sheetViews>
    <sheetView workbookViewId="0">
      <selection activeCell="B23" sqref="B23:B24"/>
    </sheetView>
  </sheetViews>
  <sheetFormatPr defaultRowHeight="14.5" x14ac:dyDescent="0.35"/>
  <cols>
    <col min="2" max="2" width="11" customWidth="1"/>
    <col min="3" max="3" width="13.26953125" customWidth="1"/>
    <col min="4" max="4" width="12.54296875" bestFit="1" customWidth="1"/>
    <col min="5" max="5" width="10.453125" customWidth="1"/>
    <col min="6" max="6" width="15.26953125" customWidth="1"/>
    <col min="8" max="8" width="16.08984375" bestFit="1" customWidth="1"/>
    <col min="9" max="9" width="14.7265625" customWidth="1"/>
    <col min="10" max="10" width="17.81640625" bestFit="1" customWidth="1"/>
    <col min="13" max="13" width="16.08984375" customWidth="1"/>
    <col min="14" max="14" width="12.36328125" customWidth="1"/>
    <col min="16" max="16" width="19.90625" bestFit="1" customWidth="1"/>
    <col min="17" max="17" width="15.1796875" bestFit="1" customWidth="1"/>
    <col min="18" max="18" width="12.26953125" bestFit="1" customWidth="1"/>
    <col min="19" max="20" width="18.7265625" bestFit="1" customWidth="1"/>
    <col min="23" max="23" width="16.1796875" bestFit="1" customWidth="1"/>
    <col min="24" max="24" width="12.54296875" bestFit="1" customWidth="1"/>
    <col min="28" max="28" width="14.08984375" bestFit="1" customWidth="1"/>
    <col min="29" max="29" width="11.54296875" bestFit="1" customWidth="1"/>
    <col min="30" max="30" width="16.1796875" bestFit="1" customWidth="1"/>
    <col min="31" max="31" width="14.08984375" bestFit="1" customWidth="1"/>
  </cols>
  <sheetData>
    <row r="1" spans="1:31" ht="15" thickBot="1" x14ac:dyDescent="0.4">
      <c r="A1" s="77" t="s">
        <v>15</v>
      </c>
      <c r="B1" s="77" t="s">
        <v>16</v>
      </c>
      <c r="C1" s="77" t="s">
        <v>17</v>
      </c>
      <c r="D1" s="77" t="s">
        <v>18</v>
      </c>
      <c r="E1" s="77" t="s">
        <v>19</v>
      </c>
      <c r="F1" s="77" t="s">
        <v>20</v>
      </c>
      <c r="G1" s="77" t="s">
        <v>15</v>
      </c>
      <c r="H1" s="77" t="s">
        <v>21</v>
      </c>
      <c r="I1" s="78" t="s">
        <v>22</v>
      </c>
      <c r="J1" s="77" t="s">
        <v>23</v>
      </c>
      <c r="M1" s="121" t="s">
        <v>14</v>
      </c>
      <c r="N1" s="121"/>
      <c r="P1" s="121" t="s">
        <v>24</v>
      </c>
      <c r="Q1" s="121"/>
      <c r="R1" s="121"/>
      <c r="S1" s="121"/>
      <c r="T1" s="121"/>
      <c r="AD1" s="100" t="s">
        <v>60</v>
      </c>
      <c r="AE1" s="100"/>
    </row>
    <row r="2" spans="1:31" ht="15" thickBot="1" x14ac:dyDescent="0.4">
      <c r="A2" s="28">
        <v>800</v>
      </c>
      <c r="B2" s="29" t="s">
        <v>3</v>
      </c>
      <c r="C2" s="29">
        <v>6175</v>
      </c>
      <c r="D2" s="50">
        <v>0.31</v>
      </c>
      <c r="E2" s="29">
        <v>8</v>
      </c>
      <c r="F2" s="51">
        <f>C2*D2*E2</f>
        <v>15314</v>
      </c>
      <c r="G2" s="52">
        <f>A2/(1.23)</f>
        <v>650.40650406504062</v>
      </c>
      <c r="H2" s="30">
        <f>F2*G2</f>
        <v>9960325.2032520324</v>
      </c>
      <c r="I2" s="101">
        <v>4</v>
      </c>
      <c r="J2" s="104">
        <f>SUM(H2:H4)</f>
        <v>40666140.243902445</v>
      </c>
      <c r="M2" s="82" t="s">
        <v>41</v>
      </c>
      <c r="N2" s="79">
        <v>6175</v>
      </c>
      <c r="P2" s="87" t="s">
        <v>25</v>
      </c>
      <c r="Q2" s="87" t="s">
        <v>26</v>
      </c>
      <c r="R2" s="87" t="s">
        <v>53</v>
      </c>
      <c r="S2" s="87" t="s">
        <v>37</v>
      </c>
      <c r="T2" s="87" t="s">
        <v>38</v>
      </c>
      <c r="W2" s="95" t="s">
        <v>49</v>
      </c>
      <c r="X2" s="89">
        <v>4500</v>
      </c>
      <c r="Y2" t="s">
        <v>58</v>
      </c>
      <c r="AD2" s="87" t="s">
        <v>49</v>
      </c>
      <c r="AE2" s="90">
        <v>4500</v>
      </c>
    </row>
    <row r="3" spans="1:31" ht="15" thickBot="1" x14ac:dyDescent="0.4">
      <c r="A3" s="31">
        <v>950</v>
      </c>
      <c r="B3" s="9" t="s">
        <v>3</v>
      </c>
      <c r="C3" s="9">
        <v>6175</v>
      </c>
      <c r="D3" s="50">
        <v>0.31</v>
      </c>
      <c r="E3" s="9">
        <v>10</v>
      </c>
      <c r="F3" s="54">
        <f t="shared" ref="F3:F4" si="0">C3*D3*E3</f>
        <v>19142.5</v>
      </c>
      <c r="G3" s="55">
        <f t="shared" ref="G3:G4" si="1">A3/(1.23)</f>
        <v>772.35772357723579</v>
      </c>
      <c r="H3" s="14">
        <f t="shared" ref="H3:H4" si="2">F3*G3</f>
        <v>14784857.723577237</v>
      </c>
      <c r="I3" s="102"/>
      <c r="J3" s="105"/>
      <c r="K3">
        <v>16055</v>
      </c>
      <c r="M3" s="82" t="s">
        <v>42</v>
      </c>
      <c r="N3" s="79">
        <v>10</v>
      </c>
      <c r="P3" s="88" t="s">
        <v>29</v>
      </c>
      <c r="Q3" s="88">
        <v>30</v>
      </c>
      <c r="R3" s="80">
        <v>2200</v>
      </c>
      <c r="S3" s="80">
        <f>R3*Q3</f>
        <v>66000</v>
      </c>
      <c r="T3" s="90">
        <f>S3*12</f>
        <v>792000</v>
      </c>
      <c r="U3" t="s">
        <v>61</v>
      </c>
      <c r="W3" t="s">
        <v>50</v>
      </c>
      <c r="X3" s="96">
        <f>((Q12-Q10)*1200)+((Q12-Q10)*900)+150000</f>
        <v>1049825.5813953488</v>
      </c>
      <c r="Y3" t="s">
        <v>57</v>
      </c>
      <c r="AA3" t="s">
        <v>50</v>
      </c>
      <c r="AB3" s="96">
        <f>X3/12</f>
        <v>87485.465116279069</v>
      </c>
      <c r="AC3" s="89" t="s">
        <v>58</v>
      </c>
      <c r="AD3" s="97" t="s">
        <v>50</v>
      </c>
      <c r="AE3" s="90">
        <v>11493.693798449613</v>
      </c>
    </row>
    <row r="4" spans="1:31" ht="15" thickBot="1" x14ac:dyDescent="0.4">
      <c r="A4" s="32">
        <v>1100</v>
      </c>
      <c r="B4" s="33" t="s">
        <v>3</v>
      </c>
      <c r="C4" s="33">
        <v>6175</v>
      </c>
      <c r="D4" s="50">
        <v>0.31</v>
      </c>
      <c r="E4" s="33">
        <v>9.3000000000000007</v>
      </c>
      <c r="F4" s="57">
        <f t="shared" si="0"/>
        <v>17802.525000000001</v>
      </c>
      <c r="G4" s="58">
        <f t="shared" si="1"/>
        <v>894.30894308943095</v>
      </c>
      <c r="H4" s="34">
        <f t="shared" si="2"/>
        <v>15920957.317073174</v>
      </c>
      <c r="I4" s="103"/>
      <c r="J4" s="106"/>
      <c r="M4" s="82" t="s">
        <v>43</v>
      </c>
      <c r="N4" s="79">
        <v>1.1499999999999999</v>
      </c>
      <c r="P4" s="88" t="s">
        <v>28</v>
      </c>
      <c r="Q4" s="91">
        <f>Q22</f>
        <v>258.48837209302326</v>
      </c>
      <c r="R4" s="80">
        <v>1300</v>
      </c>
      <c r="S4" s="80">
        <f>R4*Q4</f>
        <v>336034.88372093026</v>
      </c>
      <c r="T4" s="90">
        <f>S4*12</f>
        <v>4032418.6046511633</v>
      </c>
      <c r="U4" t="s">
        <v>61</v>
      </c>
      <c r="W4" t="s">
        <v>51</v>
      </c>
      <c r="X4" s="89">
        <f>Q12-Q10*11.7+Q3*18.7+Q5*64+(299/12)</f>
        <v>2550.2050387596896</v>
      </c>
      <c r="Y4" t="s">
        <v>58</v>
      </c>
      <c r="AB4" s="89">
        <f>X4*12</f>
        <v>30602.460465116274</v>
      </c>
      <c r="AD4" s="97" t="s">
        <v>51</v>
      </c>
      <c r="AE4" s="90">
        <v>2377.8794573643409</v>
      </c>
    </row>
    <row r="5" spans="1:31" x14ac:dyDescent="0.35">
      <c r="A5" s="35">
        <v>1800</v>
      </c>
      <c r="B5" s="36" t="s">
        <v>11</v>
      </c>
      <c r="C5" s="36">
        <v>6175</v>
      </c>
      <c r="D5" s="59">
        <f>8/14</f>
        <v>0.5714285714285714</v>
      </c>
      <c r="E5" s="36">
        <v>10</v>
      </c>
      <c r="F5" s="60">
        <f>C5*D5*E5</f>
        <v>35285.714285714283</v>
      </c>
      <c r="G5" s="61">
        <f>A5/(1.23)</f>
        <v>1463.4146341463415</v>
      </c>
      <c r="H5" s="37">
        <f>F5*G5</f>
        <v>51637630.662020907</v>
      </c>
      <c r="I5" s="107">
        <v>8</v>
      </c>
      <c r="J5" s="110">
        <f>SUM(H5:H7)</f>
        <v>131618081.01045296</v>
      </c>
      <c r="M5" s="82" t="s">
        <v>44</v>
      </c>
      <c r="N5" s="79">
        <v>0.3</v>
      </c>
      <c r="P5" s="88" t="s">
        <v>14</v>
      </c>
      <c r="Q5" s="88">
        <v>25</v>
      </c>
      <c r="R5" s="80">
        <v>1350</v>
      </c>
      <c r="S5" s="80">
        <f t="shared" ref="S5:S11" si="3">R5*Q5</f>
        <v>33750</v>
      </c>
      <c r="T5" s="90">
        <f t="shared" ref="T5:T11" si="4">S5*12</f>
        <v>405000</v>
      </c>
      <c r="U5" t="s">
        <v>61</v>
      </c>
      <c r="W5" t="s">
        <v>59</v>
      </c>
      <c r="X5" s="89">
        <f>50+10*(Q12-Q10)</f>
        <v>4334.8837209302328</v>
      </c>
      <c r="Y5" t="s">
        <v>58</v>
      </c>
      <c r="AD5" s="97" t="s">
        <v>59</v>
      </c>
      <c r="AE5" s="90">
        <v>2611.6279069767443</v>
      </c>
    </row>
    <row r="6" spans="1:31" x14ac:dyDescent="0.35">
      <c r="A6" s="38">
        <v>1950</v>
      </c>
      <c r="B6" s="15" t="s">
        <v>11</v>
      </c>
      <c r="C6" s="15">
        <v>6175</v>
      </c>
      <c r="D6" s="62">
        <f>8/14</f>
        <v>0.5714285714285714</v>
      </c>
      <c r="E6" s="15">
        <v>7.1</v>
      </c>
      <c r="F6" s="63">
        <f t="shared" ref="F6:F7" si="5">C6*D6*E6</f>
        <v>25052.857142857141</v>
      </c>
      <c r="G6" s="64">
        <f t="shared" ref="G6:G7" si="6">A6/(1.23)</f>
        <v>1585.3658536585367</v>
      </c>
      <c r="H6" s="20">
        <f t="shared" ref="H6:H7" si="7">F6*G6</f>
        <v>39717944.250871077</v>
      </c>
      <c r="I6" s="108"/>
      <c r="J6" s="111"/>
      <c r="K6" s="99">
        <f>AVERAGE(F5:F7)</f>
        <v>27973.632142857139</v>
      </c>
      <c r="M6" s="82" t="s">
        <v>45</v>
      </c>
      <c r="N6" s="79">
        <f>N2*N3</f>
        <v>61750</v>
      </c>
      <c r="P6" s="88" t="s">
        <v>13</v>
      </c>
      <c r="Q6" s="88">
        <v>35</v>
      </c>
      <c r="R6" s="80">
        <v>1400</v>
      </c>
      <c r="S6" s="80">
        <f t="shared" si="3"/>
        <v>49000</v>
      </c>
      <c r="T6" s="90">
        <f t="shared" si="4"/>
        <v>588000</v>
      </c>
      <c r="AD6" s="98" t="s">
        <v>48</v>
      </c>
      <c r="AE6" s="89">
        <f>SUM(AE2:AE5)</f>
        <v>20983.201162790698</v>
      </c>
    </row>
    <row r="7" spans="1:31" ht="15" thickBot="1" x14ac:dyDescent="0.4">
      <c r="A7" s="39">
        <v>2100</v>
      </c>
      <c r="B7" s="40" t="s">
        <v>11</v>
      </c>
      <c r="C7" s="40">
        <v>6175</v>
      </c>
      <c r="D7" s="65">
        <v>0.56999999999999995</v>
      </c>
      <c r="E7" s="40">
        <v>6.7</v>
      </c>
      <c r="F7" s="66">
        <f t="shared" si="5"/>
        <v>23582.324999999997</v>
      </c>
      <c r="G7" s="67">
        <f t="shared" si="6"/>
        <v>1707.3170731707316</v>
      </c>
      <c r="H7" s="41">
        <f t="shared" si="7"/>
        <v>40262506.097560972</v>
      </c>
      <c r="I7" s="109"/>
      <c r="J7" s="112"/>
      <c r="P7" s="88" t="s">
        <v>27</v>
      </c>
      <c r="Q7" s="88">
        <v>20</v>
      </c>
      <c r="R7" s="80">
        <v>2500</v>
      </c>
      <c r="S7" s="80">
        <f t="shared" si="3"/>
        <v>50000</v>
      </c>
      <c r="T7" s="90">
        <f t="shared" si="4"/>
        <v>600000</v>
      </c>
    </row>
    <row r="8" spans="1:31" x14ac:dyDescent="0.35">
      <c r="A8" s="43">
        <v>3600</v>
      </c>
      <c r="B8" s="44" t="s">
        <v>12</v>
      </c>
      <c r="C8" s="44">
        <v>6175</v>
      </c>
      <c r="D8" s="68">
        <v>0.17</v>
      </c>
      <c r="E8" s="44">
        <v>8</v>
      </c>
      <c r="F8" s="69">
        <f>C8*D8*E8</f>
        <v>8398</v>
      </c>
      <c r="G8" s="70">
        <f>A8/(1.23)</f>
        <v>2926.8292682926831</v>
      </c>
      <c r="H8" s="45">
        <f>F8*G8</f>
        <v>24579512.195121951</v>
      </c>
      <c r="I8" s="113">
        <v>2</v>
      </c>
      <c r="J8" s="116">
        <f>SUM(H8:H10)</f>
        <v>68184622.531939611</v>
      </c>
      <c r="M8" s="82" t="s">
        <v>46</v>
      </c>
      <c r="N8" s="81">
        <f>N6*N4+N6*N5</f>
        <v>89537.5</v>
      </c>
      <c r="P8" s="88" t="s">
        <v>39</v>
      </c>
      <c r="Q8" s="88">
        <v>10</v>
      </c>
      <c r="R8" s="80">
        <v>5000</v>
      </c>
      <c r="S8" s="80">
        <f t="shared" si="3"/>
        <v>50000</v>
      </c>
      <c r="T8" s="90">
        <f t="shared" si="4"/>
        <v>600000</v>
      </c>
      <c r="U8" t="s">
        <v>61</v>
      </c>
    </row>
    <row r="9" spans="1:31" x14ac:dyDescent="0.35">
      <c r="A9" s="46">
        <v>3750</v>
      </c>
      <c r="B9" s="21" t="s">
        <v>12</v>
      </c>
      <c r="C9" s="21">
        <v>6175</v>
      </c>
      <c r="D9" s="71">
        <f>2/14</f>
        <v>0.14285714285714285</v>
      </c>
      <c r="E9" s="21">
        <v>8</v>
      </c>
      <c r="F9" s="72">
        <f t="shared" ref="F9:F10" si="8">C9*D9*E9</f>
        <v>7057.1428571428569</v>
      </c>
      <c r="G9" s="73">
        <f t="shared" ref="G9:G10" si="9">A9/(1.23)</f>
        <v>3048.7804878048782</v>
      </c>
      <c r="H9" s="26">
        <f t="shared" ref="H9:H10" si="10">F9*G9</f>
        <v>21515679.442508712</v>
      </c>
      <c r="I9" s="114"/>
      <c r="J9" s="117"/>
      <c r="K9" s="99">
        <f>AVERAGE(F8:F10)</f>
        <v>7504.0952380952376</v>
      </c>
      <c r="P9" s="88" t="s">
        <v>40</v>
      </c>
      <c r="Q9" s="88">
        <v>40</v>
      </c>
      <c r="R9" s="90">
        <v>1650</v>
      </c>
      <c r="S9" s="80">
        <f t="shared" si="3"/>
        <v>66000</v>
      </c>
      <c r="T9" s="90">
        <f t="shared" si="4"/>
        <v>792000</v>
      </c>
      <c r="U9" t="s">
        <v>61</v>
      </c>
    </row>
    <row r="10" spans="1:31" ht="15" thickBot="1" x14ac:dyDescent="0.4">
      <c r="A10" s="47">
        <v>3850</v>
      </c>
      <c r="B10" s="48" t="s">
        <v>12</v>
      </c>
      <c r="C10" s="48">
        <v>6175</v>
      </c>
      <c r="D10" s="74">
        <f>2/14</f>
        <v>0.14285714285714285</v>
      </c>
      <c r="E10" s="48">
        <v>8</v>
      </c>
      <c r="F10" s="75">
        <f t="shared" si="8"/>
        <v>7057.1428571428569</v>
      </c>
      <c r="G10" s="76">
        <f t="shared" si="9"/>
        <v>3130.0813008130081</v>
      </c>
      <c r="H10" s="49">
        <f t="shared" si="10"/>
        <v>22089430.894308943</v>
      </c>
      <c r="I10" s="115"/>
      <c r="J10" s="118"/>
      <c r="P10" s="88" t="s">
        <v>54</v>
      </c>
      <c r="Q10" s="88">
        <v>6</v>
      </c>
      <c r="R10" s="80">
        <v>950</v>
      </c>
      <c r="S10" s="80">
        <f>R10*Q10</f>
        <v>5700</v>
      </c>
      <c r="T10" s="80">
        <f t="shared" si="4"/>
        <v>68400</v>
      </c>
    </row>
    <row r="11" spans="1:31" x14ac:dyDescent="0.35">
      <c r="A11" s="7"/>
      <c r="J11" s="42">
        <f>SUM(J2:J10)</f>
        <v>240468843.786295</v>
      </c>
      <c r="P11" s="92" t="s">
        <v>55</v>
      </c>
      <c r="Q11" s="88">
        <v>10</v>
      </c>
      <c r="R11" s="80">
        <v>2000</v>
      </c>
      <c r="S11" s="80">
        <f t="shared" si="3"/>
        <v>20000</v>
      </c>
      <c r="T11" s="80">
        <f t="shared" si="4"/>
        <v>240000</v>
      </c>
      <c r="U11" t="s">
        <v>61</v>
      </c>
    </row>
    <row r="12" spans="1:31" x14ac:dyDescent="0.35">
      <c r="A12" s="7"/>
      <c r="P12" s="87" t="s">
        <v>48</v>
      </c>
      <c r="Q12" s="94">
        <f>SUM(Q3:Q11)</f>
        <v>434.48837209302326</v>
      </c>
      <c r="R12" s="81">
        <f>SUM(R3:R11)</f>
        <v>18350</v>
      </c>
      <c r="S12" s="81">
        <f>SUM(S3:S11)</f>
        <v>676484.8837209302</v>
      </c>
      <c r="T12" s="81">
        <f>SUM(T3:T11)</f>
        <v>8117818.6046511633</v>
      </c>
    </row>
    <row r="13" spans="1:31" x14ac:dyDescent="0.35">
      <c r="B13" s="77" t="s">
        <v>15</v>
      </c>
      <c r="C13" s="77" t="s">
        <v>16</v>
      </c>
      <c r="D13" s="77" t="s">
        <v>17</v>
      </c>
      <c r="E13" s="77" t="s">
        <v>18</v>
      </c>
      <c r="F13" s="77" t="s">
        <v>19</v>
      </c>
      <c r="G13" s="77" t="s">
        <v>20</v>
      </c>
      <c r="H13" s="77" t="s">
        <v>15</v>
      </c>
      <c r="I13" s="83" t="s">
        <v>22</v>
      </c>
      <c r="J13" s="77" t="s">
        <v>23</v>
      </c>
    </row>
    <row r="14" spans="1:31" x14ac:dyDescent="0.35">
      <c r="B14" s="1">
        <v>1200</v>
      </c>
      <c r="C14" s="1" t="s">
        <v>8</v>
      </c>
      <c r="D14" s="1">
        <v>6175</v>
      </c>
      <c r="E14" s="84">
        <f>6/11</f>
        <v>0.54545454545454541</v>
      </c>
      <c r="F14" s="1">
        <v>3</v>
      </c>
      <c r="G14" s="85">
        <f>D14*E14*F14</f>
        <v>10104.545454545454</v>
      </c>
      <c r="H14" s="86">
        <f>B14/(1.23)</f>
        <v>975.60975609756099</v>
      </c>
      <c r="I14" s="1">
        <v>6</v>
      </c>
      <c r="J14" s="6">
        <f>G14*H14</f>
        <v>9858093.1263858099</v>
      </c>
    </row>
    <row r="15" spans="1:31" x14ac:dyDescent="0.35">
      <c r="B15" s="1">
        <v>2400</v>
      </c>
      <c r="C15" s="1" t="s">
        <v>9</v>
      </c>
      <c r="D15" s="1">
        <v>6175</v>
      </c>
      <c r="E15" s="84">
        <v>0.38</v>
      </c>
      <c r="F15" s="1">
        <v>3.3</v>
      </c>
      <c r="G15" s="85">
        <f>D15*E15*F15</f>
        <v>7743.45</v>
      </c>
      <c r="H15" s="86">
        <f t="shared" ref="H15" si="11">B15/(1.23)</f>
        <v>1951.219512195122</v>
      </c>
      <c r="I15" s="1">
        <v>4</v>
      </c>
      <c r="J15" s="6">
        <f>G15*H15</f>
        <v>15109170.731707318</v>
      </c>
    </row>
    <row r="16" spans="1:31" x14ac:dyDescent="0.35">
      <c r="B16" s="1">
        <v>15000</v>
      </c>
      <c r="C16" s="1" t="s">
        <v>10</v>
      </c>
      <c r="D16" s="1">
        <v>6175</v>
      </c>
      <c r="E16" s="84">
        <v>0.37</v>
      </c>
      <c r="F16" s="1">
        <v>3.3</v>
      </c>
      <c r="G16" s="85">
        <f>D16*E16*F16</f>
        <v>7539.6749999999993</v>
      </c>
      <c r="H16" s="86">
        <f>B16/1.23</f>
        <v>12195.121951219513</v>
      </c>
      <c r="I16" s="1">
        <v>4</v>
      </c>
      <c r="J16" s="6">
        <f>G16*H16</f>
        <v>91947256.097560972</v>
      </c>
      <c r="P16" s="119" t="s">
        <v>30</v>
      </c>
      <c r="Q16" s="119"/>
      <c r="S16" s="89" cm="1">
        <f t="array" ref="S16">AVERAGE(R3:R9+R11)</f>
        <v>4200</v>
      </c>
    </row>
    <row r="17" spans="5:23" x14ac:dyDescent="0.35">
      <c r="J17" s="27">
        <f>SUM(J14:J16)</f>
        <v>116914519.9556541</v>
      </c>
      <c r="P17" s="82" t="s">
        <v>31</v>
      </c>
      <c r="Q17" s="79">
        <v>6175</v>
      </c>
      <c r="S17">
        <f>256*42/12</f>
        <v>896</v>
      </c>
      <c r="W17" t="s">
        <v>52</v>
      </c>
    </row>
    <row r="18" spans="5:23" x14ac:dyDescent="0.35">
      <c r="P18" s="82" t="s">
        <v>32</v>
      </c>
      <c r="Q18" s="79">
        <v>3</v>
      </c>
      <c r="W18" t="s">
        <v>56</v>
      </c>
    </row>
    <row r="19" spans="5:23" x14ac:dyDescent="0.35">
      <c r="H19" s="120" t="s">
        <v>47</v>
      </c>
      <c r="I19" s="120"/>
      <c r="J19" s="81">
        <f>J11+J17</f>
        <v>357383363.74194908</v>
      </c>
      <c r="P19" s="82" t="s">
        <v>33</v>
      </c>
      <c r="Q19" s="79">
        <v>2</v>
      </c>
    </row>
    <row r="20" spans="5:23" x14ac:dyDescent="0.35">
      <c r="P20" s="82" t="s">
        <v>34</v>
      </c>
      <c r="Q20" s="79">
        <f>Q17*Q18*12*Q19</f>
        <v>444600</v>
      </c>
      <c r="S20" s="89">
        <f>(Q3*R3+Q4*R4+Q5*R5+Q6*R6+Q7*R7+Q8*R8+Q9*R9+Q11*R11)/256</f>
        <v>2620.2534520348836</v>
      </c>
    </row>
    <row r="21" spans="5:23" x14ac:dyDescent="0.35">
      <c r="P21" s="82" t="s">
        <v>35</v>
      </c>
      <c r="Q21" s="79">
        <f>215*8</f>
        <v>1720</v>
      </c>
      <c r="S21">
        <f>17*256</f>
        <v>4352</v>
      </c>
    </row>
    <row r="22" spans="5:23" x14ac:dyDescent="0.35">
      <c r="P22" s="82" t="s">
        <v>36</v>
      </c>
      <c r="Q22" s="93">
        <f>Q20/Q21</f>
        <v>258.48837209302326</v>
      </c>
    </row>
    <row r="25" spans="5:23" x14ac:dyDescent="0.35">
      <c r="E25">
        <v>6175</v>
      </c>
      <c r="F25">
        <v>100</v>
      </c>
    </row>
    <row r="26" spans="5:23" x14ac:dyDescent="0.35">
      <c r="F26">
        <v>29</v>
      </c>
    </row>
    <row r="27" spans="5:23" x14ac:dyDescent="0.35">
      <c r="H27">
        <f>35286/28229</f>
        <v>1.249991143859152</v>
      </c>
    </row>
    <row r="28" spans="5:23" x14ac:dyDescent="0.35">
      <c r="E28">
        <f>E25*F26/F25</f>
        <v>1790.75</v>
      </c>
      <c r="H28">
        <f>10105/8084</f>
        <v>1.25</v>
      </c>
    </row>
    <row r="29" spans="5:23" x14ac:dyDescent="0.35">
      <c r="H29">
        <f>7540/7410</f>
        <v>1.0175438596491229</v>
      </c>
    </row>
    <row r="30" spans="5:23" x14ac:dyDescent="0.35">
      <c r="H30">
        <f>7743/7410</f>
        <v>1.0449392712550607</v>
      </c>
    </row>
  </sheetData>
  <mergeCells count="11">
    <mergeCell ref="I8:I10"/>
    <mergeCell ref="J8:J10"/>
    <mergeCell ref="P16:Q16"/>
    <mergeCell ref="H19:I19"/>
    <mergeCell ref="M1:N1"/>
    <mergeCell ref="P1:T1"/>
    <mergeCell ref="AD1:AE1"/>
    <mergeCell ref="I2:I4"/>
    <mergeCell ref="J2:J4"/>
    <mergeCell ref="I5:I7"/>
    <mergeCell ref="J5:J7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5"/>
  <sheetViews>
    <sheetView workbookViewId="0">
      <selection activeCell="L25" sqref="L25"/>
    </sheetView>
  </sheetViews>
  <sheetFormatPr defaultRowHeight="14.5" x14ac:dyDescent="0.35"/>
  <cols>
    <col min="2" max="2" width="12.54296875" bestFit="1" customWidth="1"/>
    <col min="3" max="3" width="9.54296875" bestFit="1" customWidth="1"/>
    <col min="4" max="4" width="10.26953125" bestFit="1" customWidth="1"/>
    <col min="6" max="6" width="10.1796875" bestFit="1" customWidth="1"/>
    <col min="8" max="8" width="16.08984375" bestFit="1" customWidth="1"/>
  </cols>
  <sheetData>
    <row r="1" spans="1:9" x14ac:dyDescent="0.35">
      <c r="A1" s="8" t="s">
        <v>1</v>
      </c>
      <c r="B1" s="8" t="s">
        <v>2</v>
      </c>
      <c r="C1" s="8" t="s">
        <v>0</v>
      </c>
      <c r="D1" s="8" t="s">
        <v>4</v>
      </c>
      <c r="E1" s="8" t="s">
        <v>5</v>
      </c>
      <c r="F1" s="8" t="s">
        <v>6</v>
      </c>
      <c r="G1" s="8" t="s">
        <v>1</v>
      </c>
      <c r="H1" s="8" t="s">
        <v>7</v>
      </c>
    </row>
    <row r="2" spans="1:9" x14ac:dyDescent="0.35">
      <c r="A2" s="9">
        <v>800</v>
      </c>
      <c r="B2" s="9" t="s">
        <v>3</v>
      </c>
      <c r="C2" s="10">
        <v>6175</v>
      </c>
      <c r="D2" s="11">
        <f>9/14</f>
        <v>0.6428571428571429</v>
      </c>
      <c r="E2" s="10">
        <v>7.8</v>
      </c>
      <c r="F2" s="12">
        <f>C2*D2*E2</f>
        <v>30963.214285714286</v>
      </c>
      <c r="G2" s="13">
        <f>A2/(1.23)</f>
        <v>650.40650406504062</v>
      </c>
      <c r="H2" s="14">
        <f>F2*G2</f>
        <v>20138675.958188154</v>
      </c>
      <c r="I2" s="122">
        <v>4</v>
      </c>
    </row>
    <row r="3" spans="1:9" x14ac:dyDescent="0.35">
      <c r="A3" s="9">
        <v>950</v>
      </c>
      <c r="B3" s="9" t="s">
        <v>3</v>
      </c>
      <c r="C3" s="10">
        <v>6175</v>
      </c>
      <c r="D3" s="11">
        <f>9/14</f>
        <v>0.6428571428571429</v>
      </c>
      <c r="E3" s="10">
        <v>8.4</v>
      </c>
      <c r="F3" s="12">
        <f t="shared" ref="F3:F4" si="0">C3*D3*E3</f>
        <v>33345</v>
      </c>
      <c r="G3" s="13">
        <f t="shared" ref="G3:G4" si="1">A3/(1.23)</f>
        <v>772.35772357723579</v>
      </c>
      <c r="H3" s="14">
        <f t="shared" ref="H3:H4" si="2">F3*G3</f>
        <v>25754268.292682927</v>
      </c>
      <c r="I3" s="122"/>
    </row>
    <row r="4" spans="1:9" x14ac:dyDescent="0.35">
      <c r="A4" s="9">
        <v>1100</v>
      </c>
      <c r="B4" s="9" t="s">
        <v>3</v>
      </c>
      <c r="C4" s="10">
        <v>6175</v>
      </c>
      <c r="D4" s="11">
        <f>8/14</f>
        <v>0.5714285714285714</v>
      </c>
      <c r="E4" s="10">
        <v>8.5</v>
      </c>
      <c r="F4" s="12">
        <f t="shared" si="0"/>
        <v>29992.857142857141</v>
      </c>
      <c r="G4" s="13">
        <f t="shared" si="1"/>
        <v>894.30894308943095</v>
      </c>
      <c r="H4" s="14">
        <f t="shared" si="2"/>
        <v>26822880.371660858</v>
      </c>
      <c r="I4" s="122"/>
    </row>
    <row r="5" spans="1:9" x14ac:dyDescent="0.35">
      <c r="A5" s="15">
        <v>1800</v>
      </c>
      <c r="B5" s="15" t="s">
        <v>11</v>
      </c>
      <c r="C5" s="16">
        <v>6175</v>
      </c>
      <c r="D5" s="17">
        <f>7/14</f>
        <v>0.5</v>
      </c>
      <c r="E5" s="16">
        <v>8</v>
      </c>
      <c r="F5" s="18">
        <f>C5*D5*E5</f>
        <v>24700</v>
      </c>
      <c r="G5" s="19">
        <f>A5/(1.23)</f>
        <v>1463.4146341463415</v>
      </c>
      <c r="H5" s="20">
        <f>F5*G5</f>
        <v>36146341.463414639</v>
      </c>
      <c r="I5" s="122">
        <v>8</v>
      </c>
    </row>
    <row r="6" spans="1:9" x14ac:dyDescent="0.35">
      <c r="A6" s="15">
        <v>1950</v>
      </c>
      <c r="B6" s="15" t="s">
        <v>11</v>
      </c>
      <c r="C6" s="16">
        <v>6175</v>
      </c>
      <c r="D6" s="17">
        <f>9/14</f>
        <v>0.6428571428571429</v>
      </c>
      <c r="E6" s="16">
        <v>7.8</v>
      </c>
      <c r="F6" s="18">
        <f t="shared" ref="F6:F7" si="3">C6*D6*E6</f>
        <v>30963.214285714286</v>
      </c>
      <c r="G6" s="19">
        <f t="shared" ref="G6:G7" si="4">A6/(1.23)</f>
        <v>1585.3658536585367</v>
      </c>
      <c r="H6" s="20">
        <f t="shared" ref="H6:H7" si="5">F6*G6</f>
        <v>49088022.648083627</v>
      </c>
      <c r="I6" s="122"/>
    </row>
    <row r="7" spans="1:9" x14ac:dyDescent="0.35">
      <c r="A7" s="15">
        <v>2100</v>
      </c>
      <c r="B7" s="15" t="s">
        <v>11</v>
      </c>
      <c r="C7" s="16">
        <v>6175</v>
      </c>
      <c r="D7" s="17">
        <f>8/14</f>
        <v>0.5714285714285714</v>
      </c>
      <c r="E7" s="16">
        <v>7.5</v>
      </c>
      <c r="F7" s="18">
        <f t="shared" si="3"/>
        <v>26464.285714285714</v>
      </c>
      <c r="G7" s="19">
        <f t="shared" si="4"/>
        <v>1707.3170731707316</v>
      </c>
      <c r="H7" s="20">
        <f t="shared" si="5"/>
        <v>45182926.829268292</v>
      </c>
      <c r="I7" s="122"/>
    </row>
    <row r="8" spans="1:9" x14ac:dyDescent="0.35">
      <c r="A8" s="21">
        <v>3600</v>
      </c>
      <c r="B8" s="21" t="s">
        <v>12</v>
      </c>
      <c r="C8" s="22">
        <v>6175</v>
      </c>
      <c r="D8" s="23">
        <f>13/14</f>
        <v>0.9285714285714286</v>
      </c>
      <c r="E8" s="22">
        <v>8</v>
      </c>
      <c r="F8" s="24">
        <f>C8*D8*E8</f>
        <v>45871.428571428572</v>
      </c>
      <c r="G8" s="25">
        <f>A8/(1.23)</f>
        <v>2926.8292682926831</v>
      </c>
      <c r="H8" s="26">
        <f>F8*G8</f>
        <v>134257839.72125438</v>
      </c>
      <c r="I8" s="122">
        <v>2</v>
      </c>
    </row>
    <row r="9" spans="1:9" x14ac:dyDescent="0.35">
      <c r="A9" s="21">
        <v>3750</v>
      </c>
      <c r="B9" s="21" t="s">
        <v>12</v>
      </c>
      <c r="C9" s="22">
        <v>6175</v>
      </c>
      <c r="D9" s="23">
        <f>10/14</f>
        <v>0.7142857142857143</v>
      </c>
      <c r="E9" s="22">
        <v>8</v>
      </c>
      <c r="F9" s="24">
        <f t="shared" ref="F9:F10" si="6">C9*D9*E9</f>
        <v>35285.71428571429</v>
      </c>
      <c r="G9" s="25">
        <f t="shared" ref="G9:G10" si="7">A9/(1.23)</f>
        <v>3048.7804878048782</v>
      </c>
      <c r="H9" s="26">
        <f t="shared" ref="H9:H10" si="8">F9*G9</f>
        <v>107578397.21254358</v>
      </c>
      <c r="I9" s="122"/>
    </row>
    <row r="10" spans="1:9" x14ac:dyDescent="0.35">
      <c r="A10" s="21">
        <v>3850</v>
      </c>
      <c r="B10" s="21" t="s">
        <v>12</v>
      </c>
      <c r="C10" s="22">
        <v>6175</v>
      </c>
      <c r="D10" s="23">
        <f>4/14</f>
        <v>0.2857142857142857</v>
      </c>
      <c r="E10" s="22">
        <v>8</v>
      </c>
      <c r="F10" s="24">
        <f t="shared" si="6"/>
        <v>14114.285714285714</v>
      </c>
      <c r="G10" s="25">
        <f t="shared" si="7"/>
        <v>3130.0813008130081</v>
      </c>
      <c r="H10" s="26">
        <f t="shared" si="8"/>
        <v>44178861.788617887</v>
      </c>
      <c r="I10" s="122"/>
    </row>
    <row r="11" spans="1:9" x14ac:dyDescent="0.35">
      <c r="A11" s="7"/>
    </row>
    <row r="12" spans="1:9" x14ac:dyDescent="0.35">
      <c r="A12" s="8" t="s">
        <v>1</v>
      </c>
      <c r="B12" s="8" t="s">
        <v>2</v>
      </c>
      <c r="C12" s="8" t="s">
        <v>0</v>
      </c>
      <c r="D12" s="8" t="s">
        <v>4</v>
      </c>
      <c r="E12" s="8" t="s">
        <v>5</v>
      </c>
      <c r="F12" s="8" t="s">
        <v>6</v>
      </c>
      <c r="G12" s="8" t="s">
        <v>1</v>
      </c>
      <c r="H12" s="8" t="s">
        <v>7</v>
      </c>
    </row>
    <row r="13" spans="1:9" x14ac:dyDescent="0.35">
      <c r="A13" s="1">
        <v>1200</v>
      </c>
      <c r="B13" s="1" t="s">
        <v>8</v>
      </c>
      <c r="C13" s="2">
        <v>6175</v>
      </c>
      <c r="D13" s="3">
        <f>6/11</f>
        <v>0.54545454545454541</v>
      </c>
      <c r="E13" s="2">
        <v>2.4</v>
      </c>
      <c r="F13" s="4">
        <f>C13*D13*E13</f>
        <v>8083.6363636363631</v>
      </c>
      <c r="G13" s="5">
        <f>A13/(1.23)</f>
        <v>975.60975609756099</v>
      </c>
      <c r="H13" s="6">
        <f>F13*G13</f>
        <v>7886474.5011086473</v>
      </c>
    </row>
    <row r="14" spans="1:9" x14ac:dyDescent="0.35">
      <c r="A14" s="1">
        <v>2400</v>
      </c>
      <c r="B14" s="1" t="s">
        <v>9</v>
      </c>
      <c r="C14" s="2">
        <v>6175</v>
      </c>
      <c r="D14" s="3">
        <f>4/11</f>
        <v>0.36363636363636365</v>
      </c>
      <c r="E14" s="2">
        <v>3.3</v>
      </c>
      <c r="F14" s="4">
        <f>C14*D14*E14</f>
        <v>7410</v>
      </c>
      <c r="G14" s="5">
        <f t="shared" ref="G14" si="9">A14/(1.23)</f>
        <v>1951.219512195122</v>
      </c>
      <c r="H14" s="6">
        <f>F14*G14</f>
        <v>14458536.585365854</v>
      </c>
    </row>
    <row r="15" spans="1:9" x14ac:dyDescent="0.35">
      <c r="A15" s="1">
        <v>15000</v>
      </c>
      <c r="B15" s="1" t="s">
        <v>10</v>
      </c>
      <c r="C15" s="2">
        <v>6175</v>
      </c>
      <c r="D15" s="3">
        <f>4/11</f>
        <v>0.36363636363636365</v>
      </c>
      <c r="E15" s="2">
        <v>3.3</v>
      </c>
      <c r="F15" s="4">
        <f>C15*D15*E15</f>
        <v>7410</v>
      </c>
      <c r="G15" s="5">
        <f>A15/1.23</f>
        <v>12195.121951219513</v>
      </c>
      <c r="H15" s="6">
        <f>F15*G15</f>
        <v>90365853.658536598</v>
      </c>
    </row>
  </sheetData>
  <mergeCells count="3">
    <mergeCell ref="I2:I4"/>
    <mergeCell ref="I5:I7"/>
    <mergeCell ref="I8:I10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98AFFF9A561D4E90126DD1FD45E639" ma:contentTypeVersion="3" ma:contentTypeDescription="Create a new document." ma:contentTypeScope="" ma:versionID="7c9cf97b19f65dec29c85b3d8ae1058a">
  <xsd:schema xmlns:xsd="http://www.w3.org/2001/XMLSchema" xmlns:xs="http://www.w3.org/2001/XMLSchema" xmlns:p="http://schemas.microsoft.com/office/2006/metadata/properties" xmlns:ns2="1704f3bb-d6d7-4cfa-b6d5-3de95d1a841d" targetNamespace="http://schemas.microsoft.com/office/2006/metadata/properties" ma:root="true" ma:fieldsID="dff0512827e01952b006617c18fe2f8f" ns2:_="">
    <xsd:import namespace="1704f3bb-d6d7-4cfa-b6d5-3de95d1a84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04f3bb-d6d7-4cfa-b6d5-3de95d1a84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0D52291-2962-42B1-953F-478B6D241B4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368F8FC-86EC-405F-AA2E-030DCF353B2A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BF12A8F6-126E-43AE-8F47-BD54FD2A2E3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704f3bb-d6d7-4cfa-b6d5-3de95d1a841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FF1F2565-65E8-447A-A374-4B5614A71806}">
  <ds:schemaRefs>
    <ds:schemaRef ds:uri="http://purl.org/dc/terms/"/>
    <ds:schemaRef ds:uri="http://purl.org/dc/elements/1.1/"/>
    <ds:schemaRef ds:uri="http://schemas.openxmlformats.org/package/2006/metadata/core-properties"/>
    <ds:schemaRef ds:uri="http://www.w3.org/XML/1998/namespace"/>
    <ds:schemaRef ds:uri="1704f3bb-d6d7-4cfa-b6d5-3de95d1a841d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Benchmark 1</vt:lpstr>
      <vt:lpstr>Benchmark 2</vt:lpstr>
      <vt:lpstr>finicia 2023</vt:lpstr>
      <vt:lpstr>finicia 2024</vt:lpstr>
      <vt:lpstr>finicia 2025</vt:lpstr>
      <vt:lpstr>finicia 2026</vt:lpstr>
      <vt:lpstr>finicia 2027</vt:lpstr>
      <vt:lpstr>finicia 2028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Cunha</dc:creator>
  <cp:lastModifiedBy>Pedro Cunha</cp:lastModifiedBy>
  <dcterms:created xsi:type="dcterms:W3CDTF">2023-04-20T13:54:06Z</dcterms:created>
  <dcterms:modified xsi:type="dcterms:W3CDTF">2023-05-17T21:06:24Z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0x010100D398AFFF9A561D4E90126DD1FD45E639</vt:lpwstr>
  </property>
</Properties>
</file>