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40" yWindow="495" windowWidth="27960" windowHeight="17505" firstSheet="1" activeTab="4"/>
  </bookViews>
  <sheets>
    <sheet name="Sheet1" sheetId="3" r:id="rId1"/>
    <sheet name="Sheet1 (2)" sheetId="4" r:id="rId2"/>
    <sheet name="Topic 1" sheetId="1" r:id="rId3"/>
    <sheet name="Pareto" sheetId="5" r:id="rId4"/>
    <sheet name="Sheet2" sheetId="7" r:id="rId5"/>
    <sheet name="Phân tích nguyên nhân" sheetId="6" r:id="rId6"/>
    <sheet name="Topic 2" sheetId="2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4" l="1"/>
  <c r="U13" i="4"/>
  <c r="T19" i="4"/>
  <c r="T13" i="4"/>
  <c r="S13" i="4"/>
  <c r="R13" i="4"/>
  <c r="I51" i="1" l="1"/>
  <c r="I48" i="1"/>
  <c r="P53" i="1"/>
  <c r="P47" i="1"/>
  <c r="P44" i="1"/>
  <c r="I45" i="1"/>
  <c r="I44" i="1"/>
  <c r="I13" i="4" l="1"/>
  <c r="K13" i="4"/>
  <c r="G68" i="1"/>
  <c r="G67" i="1"/>
  <c r="G66" i="1"/>
  <c r="G65" i="1"/>
  <c r="N13" i="4" s="1"/>
  <c r="G63" i="1"/>
  <c r="E13" i="4" s="1"/>
  <c r="H44" i="1"/>
  <c r="J44" i="1" s="1"/>
  <c r="F31" i="1"/>
  <c r="H45" i="1"/>
  <c r="J45" i="1" s="1"/>
  <c r="H43" i="1"/>
  <c r="F19" i="1"/>
  <c r="E5" i="5"/>
  <c r="R24" i="1"/>
  <c r="R25" i="1" s="1"/>
  <c r="H49" i="1" l="1"/>
  <c r="I43" i="1"/>
  <c r="L13" i="4"/>
  <c r="J13" i="4"/>
  <c r="G13" i="4"/>
  <c r="Q13" i="4"/>
  <c r="J67" i="1"/>
  <c r="O13" i="4"/>
  <c r="C13" i="4"/>
  <c r="F13" i="4"/>
  <c r="P13" i="4"/>
  <c r="H13" i="4"/>
  <c r="D13" i="4"/>
  <c r="M13" i="4"/>
  <c r="H48" i="1"/>
  <c r="H47" i="1"/>
  <c r="E6" i="5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C6" i="3"/>
  <c r="J43" i="1" l="1"/>
  <c r="E7" i="5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E8" i="5" l="1"/>
  <c r="E9" i="5" l="1"/>
  <c r="F8" i="5" s="1"/>
  <c r="H35" i="1"/>
  <c r="H46" i="1" l="1"/>
  <c r="I46" i="1"/>
  <c r="F9" i="5"/>
  <c r="F5" i="5"/>
  <c r="F6" i="5"/>
  <c r="F7" i="5"/>
  <c r="K36" i="1"/>
  <c r="H36" i="1"/>
  <c r="I36" i="1" s="1"/>
  <c r="W16" i="1"/>
  <c r="L16" i="1"/>
  <c r="H51" i="1" l="1"/>
  <c r="J46" i="1"/>
  <c r="I55" i="1"/>
  <c r="K55" i="1" s="1"/>
  <c r="F27" i="2"/>
  <c r="W24" i="2"/>
  <c r="L24" i="2"/>
  <c r="F28" i="2" l="1"/>
  <c r="H28" i="2" l="1"/>
  <c r="F29" i="2" s="1"/>
  <c r="F30" i="2" s="1"/>
  <c r="H33" i="2" s="1"/>
  <c r="D38" i="2"/>
  <c r="F20" i="1"/>
  <c r="F29" i="1" s="1"/>
  <c r="H20" i="1" l="1"/>
  <c r="F21" i="1" s="1"/>
  <c r="F22" i="1" s="1"/>
  <c r="D25" i="1" s="1"/>
  <c r="J36" i="1"/>
  <c r="L36" i="1" s="1"/>
  <c r="N33" i="2"/>
  <c r="I33" i="2"/>
  <c r="G33" i="2"/>
  <c r="C33" i="2"/>
  <c r="L33" i="2"/>
  <c r="M33" i="2"/>
  <c r="K33" i="2"/>
  <c r="J33" i="2"/>
  <c r="D33" i="2"/>
  <c r="E33" i="2"/>
  <c r="F33" i="2"/>
  <c r="E25" i="1" l="1"/>
  <c r="N25" i="1"/>
  <c r="H25" i="1"/>
  <c r="L25" i="1"/>
  <c r="M25" i="1"/>
  <c r="G25" i="1"/>
  <c r="J25" i="1"/>
  <c r="K25" i="1"/>
  <c r="F25" i="1"/>
  <c r="I25" i="1"/>
  <c r="C25" i="1"/>
</calcChain>
</file>

<file path=xl/sharedStrings.xml><?xml version="1.0" encoding="utf-8"?>
<sst xmlns="http://schemas.openxmlformats.org/spreadsheetml/2006/main" count="248" uniqueCount="144">
  <si>
    <t>-</t>
  </si>
  <si>
    <t>予定(千円)</t>
  </si>
  <si>
    <t>実績(千円)</t>
  </si>
  <si>
    <t>◆効果計算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</si>
  <si>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</si>
  <si>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</si>
  <si>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</si>
  <si>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</si>
  <si>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</si>
  <si>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</si>
  <si>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</si>
  <si>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</si>
  <si>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</si>
  <si>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</si>
  <si>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</si>
  <si>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</si>
  <si>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改善前</t>
  </si>
  <si>
    <t>改善後</t>
  </si>
  <si>
    <t>実施内容</t>
  </si>
  <si>
    <t>作業時間(分)</t>
  </si>
  <si>
    <t>作業時間合計(分)</t>
  </si>
  <si>
    <t>　金額効果：</t>
  </si>
  <si>
    <t>　データ処理・グラフ化実施頻度：</t>
  </si>
  <si>
    <t>回/月</t>
  </si>
  <si>
    <t>分/回</t>
  </si>
  <si>
    <t>　時間効果：</t>
  </si>
  <si>
    <t>分/月</t>
  </si>
  <si>
    <t>◆実施内容</t>
  </si>
  <si>
    <t>単金(円)</t>
  </si>
  <si>
    <t>円/月</t>
  </si>
  <si>
    <t>千円/月</t>
  </si>
  <si>
    <t xml:space="preserve"> </t>
  </si>
  <si>
    <t>Chương trình quản lý chuyển đổi MPB</t>
  </si>
  <si>
    <t>Step 1: Tìm bảng MPB trên White Board</t>
  </si>
  <si>
    <t>Step 1: Tìm bảng MPB trên tablet &amp; tạo yêu cầu đổi bảng trên phần mềm</t>
  </si>
  <si>
    <t>Step 2: Đi đến vị trí bảng cần đổi</t>
  </si>
  <si>
    <t>Step 2: Đi đến vị trí bảng cần đổi &amp; quét Qrcode vị trí đầu</t>
  </si>
  <si>
    <t>Step 3: Di chuyển bảng đến vị trí đích &amp; đổi bảng</t>
  </si>
  <si>
    <t>Step 3: Di chuyển bảng đến vị trí đích, đổi bảng &amp; quét Qrcode vị trí đích,Qrcdoe người thao tác</t>
  </si>
  <si>
    <t>Step 4: Không cần nhập ký lục</t>
  </si>
  <si>
    <t>Chương trình quản lý gá tồn kho</t>
  </si>
  <si>
    <t>Step 1: Tìm gá trên phần mềm</t>
  </si>
  <si>
    <t>Step 2: Lấy gá đem xuống xưởng</t>
  </si>
  <si>
    <t>Step 2: Lấy Gá -&gt; quét Qrcode đối chiếu -&gt; đem xuống xưởng</t>
  </si>
  <si>
    <t>Step 3:Thay gá</t>
  </si>
  <si>
    <t>Step 4: Ghi ký lục</t>
  </si>
  <si>
    <t>Step 4: Không cần ghi ký lục</t>
  </si>
  <si>
    <t>Action</t>
  </si>
  <si>
    <t>Thêm gá</t>
  </si>
  <si>
    <t>Step 1: Xử lý gá hư hỏng( gá bị thay thế),dán mã quản lý lên gá</t>
  </si>
  <si>
    <t>Step 1: Xử lý gá hư hỏng( gá bị thay thế), dán Qrcode quản lý lên gá</t>
  </si>
  <si>
    <t>Step 2: Tìm kệ để thêm trên sheet giấy quản lý</t>
  </si>
  <si>
    <t>Step 1: Tìm gá trên sheet giấy quản lý</t>
  </si>
  <si>
    <t>Step 2: Tìm kệ trên hệ thống -&gt; quét Qrcode để thêm vào hệ thống</t>
  </si>
  <si>
    <t>Step 3: Thêm gá vào kệ</t>
  </si>
  <si>
    <t>(MH/tháng)</t>
  </si>
  <si>
    <t>Tiết kiệm</t>
  </si>
  <si>
    <t>MH/tháng</t>
  </si>
  <si>
    <t>Thay gá
(lấy)</t>
  </si>
  <si>
    <t>(*Note: 94 lần thay gá/tháng cho cđ MPB &amp; 20 lần thay gá/tháng cho cđ FSI)</t>
  </si>
  <si>
    <t>Sai sót</t>
  </si>
  <si>
    <t>Báo cáo</t>
  </si>
  <si>
    <t>Kiểm tra master</t>
  </si>
  <si>
    <t>Kiểm tra bộ dây đầu ngày</t>
  </si>
  <si>
    <t>Kiểm kê</t>
  </si>
  <si>
    <t>Step4: Ghi chép vào file giấy</t>
  </si>
  <si>
    <t>Kiểm kê TB</t>
  </si>
  <si>
    <t>MH/năm</t>
  </si>
  <si>
    <t>Chuyển đổi bảng &amp; bão dưỡng</t>
  </si>
  <si>
    <t>số lần chuyển đổi MPB</t>
  </si>
  <si>
    <t>Tổng số bảng MPB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</si>
  <si>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</si>
  <si>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</si>
  <si>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</si>
  <si>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</si>
  <si>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</si>
  <si>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</si>
  <si>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</si>
  <si>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</si>
  <si>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</si>
  <si>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</si>
  <si>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</si>
  <si>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</si>
  <si>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Khác</t>
  </si>
  <si>
    <t>Giờ công chuyển đổi bảng(MH)</t>
  </si>
  <si>
    <t>Hạng mục</t>
  </si>
  <si>
    <t>Giờ công tích luỹ(MH)</t>
  </si>
  <si>
    <t>Tìm bảng</t>
  </si>
  <si>
    <t>Trước cải thiện</t>
  </si>
  <si>
    <t>Sau cải thiện</t>
  </si>
  <si>
    <t>chuyển đổi &amp;BD</t>
  </si>
  <si>
    <t>Kiểm tra bộ dậy ĐN</t>
  </si>
  <si>
    <t>Kiểm kê master</t>
  </si>
  <si>
    <t>Di chuyển xe</t>
  </si>
  <si>
    <t>Ghi ký lục</t>
  </si>
  <si>
    <t>Đổi bảng</t>
  </si>
  <si>
    <t>Total</t>
  </si>
  <si>
    <t>11.67</t>
  </si>
  <si>
    <t>Lũy kế</t>
  </si>
  <si>
    <t>Giờ công</t>
  </si>
  <si>
    <t>Xử lý xe rách</t>
  </si>
  <si>
    <t>Timer Tìm</t>
  </si>
  <si>
    <t>Timer Move</t>
  </si>
  <si>
    <t>timer ghi chép</t>
  </si>
  <si>
    <t>khác</t>
  </si>
  <si>
    <t>timer đổi bảng</t>
  </si>
  <si>
    <t>count</t>
  </si>
  <si>
    <t>Result</t>
  </si>
  <si>
    <t>No</t>
  </si>
  <si>
    <t>Điểm vấn đề</t>
  </si>
  <si>
    <t>Nguyên nhân</t>
  </si>
  <si>
    <t>Phương án cải thiện</t>
  </si>
  <si>
    <t>Dự đoán hiệu quả (MH/tháng)</t>
  </si>
  <si>
    <t>tin lâu</t>
  </si>
  <si>
    <r>
      <t>Bảng thông tin chứa quá nhiều data</t>
    </r>
    <r>
      <rPr>
        <sz val="11"/>
        <color theme="1"/>
        <rFont val="Calibri"/>
        <family val="2"/>
      </rPr>
      <t>→ tìm lâu</t>
    </r>
  </si>
  <si>
    <t>Người thao tác sắp xếp,cập nhật sai vị trí nhãn mã bảng</t>
  </si>
  <si>
    <t xml:space="preserve">Tìm kiếm mã thiết bị trên bảng thông </t>
  </si>
  <si>
    <t>Tốn thêm nhiều thời gian đi tìm bảng  trên line, trên xe…</t>
  </si>
  <si>
    <t>khi thông tin vị trí thiết bị trên bảng quản lý thường sai sót</t>
  </si>
  <si>
    <t>vào line (không có cơ chế real time)</t>
  </si>
  <si>
    <t>Thông tin ghi chép trên bảng quản lý khó đọc</t>
  </si>
  <si>
    <t>Quản lý ca tốn thời gian cho việc xác nhận thông tin</t>
  </si>
  <si>
    <t>chép trên bảng quản lý và tổng hợp ký lục lúc cuối ca</t>
  </si>
  <si>
    <t xml:space="preserve">bảng quản lý tại ngay thời điểm chuyển đổi bảng </t>
  </si>
  <si>
    <t xml:space="preserve">Vị trí xe đẩy bảng thường không được sắp xếp theo thứ </t>
  </si>
  <si>
    <t>xe đẩy bảng</t>
  </si>
  <si>
    <t xml:space="preserve">Chưa có biểu thị thứ tự số đặt để tại khu vực quản lý </t>
  </si>
  <si>
    <t xml:space="preserve">tự của mã xe -&gt; tốn thời gian tìm xe đổi bảng </t>
  </si>
  <si>
    <t>Layout lại vị trí, diện tích</t>
  </si>
  <si>
    <t xml:space="preserve">đặt để của từng xe và </t>
  </si>
  <si>
    <t>đánh số thứ tự tương ứng</t>
  </si>
  <si>
    <t>mã xe dưới nền</t>
  </si>
  <si>
    <t>Nhập liệu thủ công  để tổng hợp ký luc</t>
  </si>
  <si>
    <t xml:space="preserve">Ghi chép lại thông tin đổi bảng trên bảng quản lý thường </t>
  </si>
  <si>
    <t>sai sót</t>
  </si>
  <si>
    <t>Ghi chép bằng tay không loại bỏ được sai sót</t>
  </si>
  <si>
    <t>Người thao tác phải ghi nhớ nhiều thông tin để ghi chép</t>
  </si>
  <si>
    <t>Không thể thay đổi,cập nhật được vị trí mã thiết bị trên</t>
  </si>
  <si>
    <t>Mục Tiêu</t>
  </si>
  <si>
    <t>Ghi chép và tổng hợp ký lục</t>
  </si>
  <si>
    <t>Trước cải thiện
(AVE: 8~10/2024)</t>
  </si>
  <si>
    <t>Tìm thiết bị MPB</t>
  </si>
  <si>
    <t>Đổi thiết bị MPB</t>
  </si>
  <si>
    <t>Tổng số thiết bị MPB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</si>
</sst>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3" xfId="0" quotePrefix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4" xfId="0" quotePrefix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9" xfId="0" quotePrefix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7" xfId="0" quotePrefix="1" applyFont="1" applyBorder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9" fontId="0" fillId="0" borderId="0" xfId="2" applyFont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1" xfId="0" applyBorder="1"/>
    <xf numFmtId="165" fontId="0" fillId="0" borderId="1" xfId="2" applyNumberFormat="1" applyFont="1" applyBorder="1"/>
    <xf numFmtId="0" fontId="6" fillId="0" borderId="0" xfId="0" applyFont="1"/>
    <xf numFmtId="2" fontId="0" fillId="0" borderId="0" xfId="0" applyNumberFormat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</cellXfs>
  <cellStyles count="3">
    <cellStyle name="Normal" xfId="0" builtinId="0"/>
    <cellStyle name="Percent" xfId="2" builtinId="5"/>
    <cellStyle name="標準_2.１０上期　改善フォロー表(生管)" xfId="1"/>
  </cellStyles>
  <dxfs count="0"/>
  <tableStyles count="0" defaultTableStyle="TableStyleMedium2" defaultPivotStyle="PivotStyleLight16"/>
  <colors>
    <mruColors>
      <color rgb="FFFF66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Giờ công chuyển đổi bảng MPB</a:t>
            </a:r>
          </a:p>
        </c:rich>
      </c:tx>
      <c:layout>
        <c:manualLayout>
          <c:xMode val="edge"/>
          <c:yMode val="edge"/>
          <c:x val="0.31724611494379412"/>
          <c:y val="7.702792359288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98200492791998E-2"/>
          <c:y val="0.27817147856517938"/>
          <c:w val="0.88370646288812948"/>
          <c:h val="0.43131816856226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Tổng số thiết bị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Sheet1!$C$9:$U$10</c:f>
              <c:multiLvlStrCache>
                <c:ptCount val="19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Sheet1!$C$11:$U$11</c:f>
              <c:numCache>
                <c:formatCode>General</c:formatCode>
                <c:ptCount val="19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170</c:v>
                </c:pt>
                <c:pt idx="15">
                  <c:v>172</c:v>
                </c:pt>
                <c:pt idx="16">
                  <c:v>176</c:v>
                </c:pt>
                <c:pt idx="17">
                  <c:v>183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0-8A4B-B1BC-A3BBBEFD83BD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Sheet1!$C$9:$U$10</c:f>
              <c:multiLvlStrCache>
                <c:ptCount val="19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Sheet1!$C$12:$T$12</c:f>
            </c:numRef>
          </c:val>
          <c:extLst>
            <c:ext xmlns:c16="http://schemas.microsoft.com/office/drawing/2014/chart" uri="{C3380CC4-5D6E-409C-BE32-E72D297353CC}">
              <c16:uniqueId val="{00000001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294912320"/>
        <c:axId val="295001216"/>
      </c:barChart>
      <c:lineChart>
        <c:grouping val="standard"/>
        <c:varyColors val="0"/>
        <c:ser>
          <c:idx val="2"/>
          <c:order val="2"/>
          <c:tx>
            <c:strRef>
              <c:f>Sheet1!$B$13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Sheet1!$C$9:$U$10</c:f>
              <c:multiLvlStrCache>
                <c:ptCount val="19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Sheet1!$C$13:$U$13</c:f>
              <c:numCache>
                <c:formatCode>0</c:formatCode>
                <c:ptCount val="19"/>
                <c:pt idx="0">
                  <c:v>36.700000000000003</c:v>
                </c:pt>
                <c:pt idx="1">
                  <c:v>37.599999999999994</c:v>
                </c:pt>
                <c:pt idx="2">
                  <c:v>41.2</c:v>
                </c:pt>
                <c:pt idx="3">
                  <c:v>42.7</c:v>
                </c:pt>
                <c:pt idx="4">
                  <c:v>45.7</c:v>
                </c:pt>
                <c:pt idx="5">
                  <c:v>47.8</c:v>
                </c:pt>
                <c:pt idx="6">
                  <c:v>49.3</c:v>
                </c:pt>
                <c:pt idx="7">
                  <c:v>51.099999999999994</c:v>
                </c:pt>
                <c:pt idx="8">
                  <c:v>52.899999999999991</c:v>
                </c:pt>
                <c:pt idx="9">
                  <c:v>54.099999999999994</c:v>
                </c:pt>
                <c:pt idx="10">
                  <c:v>48.7</c:v>
                </c:pt>
                <c:pt idx="11">
                  <c:v>54.7</c:v>
                </c:pt>
                <c:pt idx="12">
                  <c:v>56.5</c:v>
                </c:pt>
                <c:pt idx="13">
                  <c:v>58</c:v>
                </c:pt>
                <c:pt idx="14">
                  <c:v>58.3</c:v>
                </c:pt>
                <c:pt idx="15">
                  <c:v>58.599999999999994</c:v>
                </c:pt>
                <c:pt idx="16">
                  <c:v>59.8</c:v>
                </c:pt>
                <c:pt idx="17">
                  <c:v>60.399999999999991</c:v>
                </c:pt>
                <c:pt idx="18" formatCode="General">
                  <c:v>61.599999999999994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28480"/>
        <c:axId val="401110960"/>
      </c:lineChart>
      <c:catAx>
        <c:axId val="2949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Tổng số bảng</a:t>
                </a:r>
              </a:p>
            </c:rich>
          </c:tx>
          <c:layout>
            <c:manualLayout>
              <c:xMode val="edge"/>
              <c:yMode val="edge"/>
              <c:x val="6.0832096116660061E-3"/>
              <c:y val="0.14733705161854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01216"/>
        <c:crosses val="autoZero"/>
        <c:auto val="1"/>
        <c:lblAlgn val="ctr"/>
        <c:lblOffset val="100"/>
        <c:tickMarkSkip val="1"/>
        <c:noMultiLvlLbl val="0"/>
      </c:catAx>
      <c:valAx>
        <c:axId val="2950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12320"/>
        <c:crosses val="autoZero"/>
        <c:crossBetween val="between"/>
        <c:majorUnit val="50"/>
      </c:valAx>
      <c:valAx>
        <c:axId val="4011109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28480"/>
        <c:crosses val="max"/>
        <c:crossBetween val="between"/>
      </c:valAx>
      <c:catAx>
        <c:axId val="4012284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Giờ công (MH)</a:t>
                </a:r>
              </a:p>
            </c:rich>
          </c:tx>
          <c:layout>
            <c:manualLayout>
              <c:xMode val="edge"/>
              <c:yMode val="edge"/>
              <c:x val="0.89119526178604436"/>
              <c:y val="0.1795350411515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0111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9146336216171"/>
          <c:y val="6.9444444444444448E-2"/>
          <c:w val="0.83907043586764785"/>
          <c:h val="0.54222222222222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(2)'!$B$11</c:f>
              <c:strCache>
                <c:ptCount val="1"/>
                <c:pt idx="0">
                  <c:v>Tổng số bảng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(2)'!$C$9:$U$10</c:f>
              <c:multiLvlStrCache>
                <c:ptCount val="19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(2)'!$C$11:$U$11</c:f>
              <c:numCache>
                <c:formatCode>General</c:formatCode>
                <c:ptCount val="19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170</c:v>
                </c:pt>
                <c:pt idx="15">
                  <c:v>172</c:v>
                </c:pt>
                <c:pt idx="16">
                  <c:v>176</c:v>
                </c:pt>
                <c:pt idx="17">
                  <c:v>183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CA41-A733-69CBBDD8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catAx>
        <c:axId val="1248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Tổng số bảng MPB</a:t>
                </a:r>
              </a:p>
            </c:rich>
          </c:tx>
          <c:layout>
            <c:manualLayout>
              <c:xMode val="edge"/>
              <c:yMode val="edge"/>
              <c:x val="5.8926773497575101E-2"/>
              <c:y val="0.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56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Mối tương quan giữa giờ công chuyển đổi bảng &amp; số lượng bảng MPB </a:t>
            </a:r>
          </a:p>
        </c:rich>
      </c:tx>
      <c:layout>
        <c:manualLayout>
          <c:xMode val="edge"/>
          <c:yMode val="edge"/>
          <c:x val="0.14509354232437013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0929772623976"/>
          <c:y val="0.39143450563169169"/>
          <c:w val="0.83703243201470046"/>
          <c:h val="0.542222222222222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'Sheet1 (2)'!$B$12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(2)'!$C$12:$T$12</c:f>
            </c:numRef>
          </c:val>
          <c:extLst>
            <c:ext xmlns:c16="http://schemas.microsoft.com/office/drawing/2014/chart" uri="{C3380CC4-5D6E-409C-BE32-E72D297353CC}">
              <c16:uniqueId val="{00000001-3BA1-AF47-8465-B8DFE1F922A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lineChart>
        <c:grouping val="standard"/>
        <c:varyColors val="0"/>
        <c:ser>
          <c:idx val="2"/>
          <c:order val="1"/>
          <c:tx>
            <c:strRef>
              <c:f>'Sheet1 (2)'!$B$13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cat>
            <c:multiLvlStrRef>
              <c:f>'Sheet1 (2)'!$C$9:$U$10</c:f>
              <c:multiLvlStrCache>
                <c:ptCount val="19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(2)'!$C$13:$U$13</c:f>
              <c:numCache>
                <c:formatCode>0</c:formatCode>
                <c:ptCount val="19"/>
                <c:pt idx="0">
                  <c:v>36.700000000000003</c:v>
                </c:pt>
                <c:pt idx="1">
                  <c:v>37.599999999999994</c:v>
                </c:pt>
                <c:pt idx="2">
                  <c:v>41.2</c:v>
                </c:pt>
                <c:pt idx="3">
                  <c:v>42.7</c:v>
                </c:pt>
                <c:pt idx="4">
                  <c:v>45.7</c:v>
                </c:pt>
                <c:pt idx="5">
                  <c:v>47.8</c:v>
                </c:pt>
                <c:pt idx="6">
                  <c:v>49.3</c:v>
                </c:pt>
                <c:pt idx="7">
                  <c:v>51.099999999999994</c:v>
                </c:pt>
                <c:pt idx="8">
                  <c:v>52.899999999999991</c:v>
                </c:pt>
                <c:pt idx="9">
                  <c:v>54.099999999999994</c:v>
                </c:pt>
                <c:pt idx="10">
                  <c:v>48.7</c:v>
                </c:pt>
                <c:pt idx="11">
                  <c:v>54.7</c:v>
                </c:pt>
                <c:pt idx="12">
                  <c:v>56.5</c:v>
                </c:pt>
                <c:pt idx="13">
                  <c:v>58</c:v>
                </c:pt>
                <c:pt idx="14">
                  <c:v>58.3</c:v>
                </c:pt>
                <c:pt idx="15">
                  <c:v>58.599999999999994</c:v>
                </c:pt>
                <c:pt idx="16">
                  <c:v>59.8</c:v>
                </c:pt>
                <c:pt idx="17">
                  <c:v>60.399999999999991</c:v>
                </c:pt>
                <c:pt idx="18">
                  <c:v>61.599999999999994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1-AF47-8465-B8DFE1F92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845680"/>
        <c:axId val="124847392"/>
      </c:lineChart>
      <c:catAx>
        <c:axId val="12484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Giờ công</a:t>
                </a:r>
              </a:p>
              <a:p>
                <a:pPr>
                  <a:defRPr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chuyển đổi bảng(MH)</a:t>
                </a:r>
              </a:p>
            </c:rich>
          </c:tx>
          <c:layout>
            <c:manualLayout>
              <c:xMode val="edge"/>
              <c:yMode val="edge"/>
              <c:x val="4.6379795349294289E-2"/>
              <c:y val="0.4295833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5680"/>
        <c:crosses val="autoZero"/>
        <c:crossBetween val="between"/>
        <c:majorUnit val="20"/>
        <c:minorUnit val="4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Biểu đồ phân tích  chuyển đổi bảng MPB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02314814814815"/>
          <c:w val="0.8362963692038495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Pareto!$D$3</c:f>
              <c:strCache>
                <c:ptCount val="1"/>
                <c:pt idx="0">
                  <c:v>Giờ công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Pareto!$C$5:$C$9</c:f>
              <c:strCache>
                <c:ptCount val="5"/>
                <c:pt idx="0">
                  <c:v>Tìm thiết bị MPB</c:v>
                </c:pt>
                <c:pt idx="1">
                  <c:v>Ghi chép và tổng hợp ký lục</c:v>
                </c:pt>
                <c:pt idx="2">
                  <c:v>Đổi thiết bị MPB</c:v>
                </c:pt>
                <c:pt idx="3">
                  <c:v>Di chuyển xe</c:v>
                </c:pt>
                <c:pt idx="4">
                  <c:v>Khác</c:v>
                </c:pt>
              </c:strCache>
            </c:strRef>
          </c:cat>
          <c:val>
            <c:numRef>
              <c:f>Pareto!$D$5:$D$9</c:f>
              <c:numCache>
                <c:formatCode>General</c:formatCode>
                <c:ptCount val="5"/>
                <c:pt idx="0">
                  <c:v>26.2</c:v>
                </c:pt>
                <c:pt idx="1">
                  <c:v>15.899999999999999</c:v>
                </c:pt>
                <c:pt idx="2">
                  <c:v>10</c:v>
                </c:pt>
                <c:pt idx="3">
                  <c:v>7.5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153-A017-F5C83DF934A4}"/>
            </c:ext>
          </c:extLst>
        </c:ser>
        <c:ser>
          <c:idx val="1"/>
          <c:order val="1"/>
          <c:tx>
            <c:strRef>
              <c:f>Pareto!$E$3</c:f>
              <c:strCache>
                <c:ptCount val="1"/>
                <c:pt idx="0">
                  <c:v>Giờ công tích luỹ(MH)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Pareto!$C$5:$C$9</c:f>
              <c:strCache>
                <c:ptCount val="5"/>
                <c:pt idx="0">
                  <c:v>Tìm thiết bị MPB</c:v>
                </c:pt>
                <c:pt idx="1">
                  <c:v>Ghi chép và tổng hợp ký lục</c:v>
                </c:pt>
                <c:pt idx="2">
                  <c:v>Đổi thiết bị MPB</c:v>
                </c:pt>
                <c:pt idx="3">
                  <c:v>Di chuyển xe</c:v>
                </c:pt>
                <c:pt idx="4">
                  <c:v>Khác</c:v>
                </c:pt>
              </c:strCache>
            </c:strRef>
          </c:cat>
          <c:val>
            <c:numRef>
              <c:f>Pareto!$E$4:$E$9</c:f>
            </c:numRef>
          </c:val>
          <c:extLst>
            <c:ext xmlns:c16="http://schemas.microsoft.com/office/drawing/2014/chart" uri="{C3380CC4-5D6E-409C-BE32-E72D297353CC}">
              <c16:uniqueId val="{00000001-4A02-4153-A017-F5C83DF9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60993440"/>
        <c:axId val="2060977632"/>
      </c:barChart>
      <c:lineChart>
        <c:grouping val="standard"/>
        <c:varyColors val="0"/>
        <c:ser>
          <c:idx val="2"/>
          <c:order val="2"/>
          <c:tx>
            <c:strRef>
              <c:f>Pareto!$F$3</c:f>
              <c:strCache>
                <c:ptCount val="1"/>
                <c:pt idx="0">
                  <c:v>Lũy kế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Pareto!$C$4:$C$9</c:f>
              <c:strCache>
                <c:ptCount val="6"/>
                <c:pt idx="1">
                  <c:v>Tìm thiết bị MPB</c:v>
                </c:pt>
                <c:pt idx="2">
                  <c:v>Ghi chép và tổng hợp ký lục</c:v>
                </c:pt>
                <c:pt idx="3">
                  <c:v>Đổi thiết bị MPB</c:v>
                </c:pt>
                <c:pt idx="4">
                  <c:v>Di chuyển xe</c:v>
                </c:pt>
                <c:pt idx="5">
                  <c:v>Khác</c:v>
                </c:pt>
              </c:strCache>
            </c:strRef>
          </c:cat>
          <c:val>
            <c:numRef>
              <c:f>Pareto!$F$4:$F$9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0.43234323432343236</c:v>
                </c:pt>
                <c:pt idx="2">
                  <c:v>0.69471947194719474</c:v>
                </c:pt>
                <c:pt idx="3">
                  <c:v>0.85973597359735976</c:v>
                </c:pt>
                <c:pt idx="4">
                  <c:v>0.98349834983498352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2-4153-A017-F5C83DF9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988448"/>
        <c:axId val="2060984704"/>
      </c:lineChart>
      <c:catAx>
        <c:axId val="20609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MH/tháng</a:t>
                </a:r>
              </a:p>
            </c:rich>
          </c:tx>
          <c:layout>
            <c:manualLayout>
              <c:xMode val="edge"/>
              <c:yMode val="edge"/>
              <c:x val="1.6300180427209238E-2"/>
              <c:y val="8.79941310153293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77632"/>
        <c:crosses val="autoZero"/>
        <c:auto val="1"/>
        <c:lblAlgn val="ctr"/>
        <c:lblOffset val="100"/>
        <c:noMultiLvlLbl val="0"/>
      </c:catAx>
      <c:valAx>
        <c:axId val="2060977632"/>
        <c:scaling>
          <c:orientation val="minMax"/>
          <c:max val="60.6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93440"/>
        <c:crosses val="autoZero"/>
        <c:crossBetween val="between"/>
      </c:valAx>
      <c:valAx>
        <c:axId val="206098470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88448"/>
        <c:crosses val="max"/>
        <c:crossBetween val="midCat"/>
      </c:valAx>
      <c:catAx>
        <c:axId val="20609884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solidFill>
            <a:sysClr val="window" lastClr="FFFFFF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847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27467483119251"/>
          <c:y val="0.90724308770805029"/>
          <c:w val="0.30016979038039387"/>
          <c:h val="6.842735599983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Thời gian nghiệp vụ chuyển đổi bảng MPB</a:t>
            </a:r>
            <a:endParaRPr lang="en-US"/>
          </a:p>
        </c:rich>
      </c:tx>
      <c:layout>
        <c:manualLayout>
          <c:xMode val="edge"/>
          <c:yMode val="edge"/>
          <c:x val="0.17763188976377953"/>
          <c:y val="2.7031768865909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0887833970814815"/>
          <c:w val="0.90286351706036749"/>
          <c:h val="0.647821358016470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A2-460D-A0DD-C2B04D3E3C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Pareto!$I$3:$I$4</c:f>
              <c:strCache>
                <c:ptCount val="2"/>
                <c:pt idx="0">
                  <c:v>Trước cải thiện
(AVE: 8~10/2024)</c:v>
                </c:pt>
                <c:pt idx="1">
                  <c:v>Mục Tiêu</c:v>
                </c:pt>
              </c:strCache>
            </c:strRef>
          </c:cat>
          <c:val>
            <c:numRef>
              <c:f>Pareto!$J$3:$J$4</c:f>
              <c:numCache>
                <c:formatCode>General</c:formatCode>
                <c:ptCount val="2"/>
                <c:pt idx="0">
                  <c:v>60.6</c:v>
                </c:pt>
                <c:pt idx="1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2-460D-A0DD-C2B04D3E3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999983"/>
        <c:axId val="1892987087"/>
      </c:barChart>
      <c:catAx>
        <c:axId val="189299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MH/tháng</a:t>
                </a:r>
              </a:p>
            </c:rich>
          </c:tx>
          <c:layout>
            <c:manualLayout>
              <c:xMode val="edge"/>
              <c:yMode val="edge"/>
              <c:x val="1.1943132108486439E-2"/>
              <c:y val="0.11102151199720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87087"/>
        <c:crosses val="autoZero"/>
        <c:auto val="1"/>
        <c:lblAlgn val="ctr"/>
        <c:lblOffset val="100"/>
        <c:noMultiLvlLbl val="0"/>
      </c:catAx>
      <c:valAx>
        <c:axId val="1892987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5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999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Thời gian nghiệp vụ chuyển đổi bảng MPB</a:t>
            </a:r>
            <a:endParaRPr lang="en-US"/>
          </a:p>
        </c:rich>
      </c:tx>
      <c:layout>
        <c:manualLayout>
          <c:xMode val="edge"/>
          <c:yMode val="edge"/>
          <c:x val="0.17763188976377953"/>
          <c:y val="2.7031768865909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0887833970814815"/>
          <c:w val="0.90286351706036749"/>
          <c:h val="0.647821358016470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B-41F2-938A-B83F03C61E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Pareto!$I$3:$I$5</c:f>
              <c:strCache>
                <c:ptCount val="3"/>
                <c:pt idx="0">
                  <c:v>Trước cải thiện
(AVE: 8~10/2024)</c:v>
                </c:pt>
                <c:pt idx="1">
                  <c:v>Mục Tiêu</c:v>
                </c:pt>
                <c:pt idx="2">
                  <c:v>Sau cải thiện</c:v>
                </c:pt>
              </c:strCache>
            </c:strRef>
          </c:cat>
          <c:val>
            <c:numRef>
              <c:f>Pareto!$J$3:$J$5</c:f>
              <c:numCache>
                <c:formatCode>General</c:formatCode>
                <c:ptCount val="3"/>
                <c:pt idx="0">
                  <c:v>60.6</c:v>
                </c:pt>
                <c:pt idx="1">
                  <c:v>30.3</c:v>
                </c:pt>
                <c:pt idx="2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B-41F2-938A-B83F03C61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999983"/>
        <c:axId val="1892987087"/>
      </c:barChart>
      <c:catAx>
        <c:axId val="189299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MH/tháng</a:t>
                </a:r>
              </a:p>
            </c:rich>
          </c:tx>
          <c:layout>
            <c:manualLayout>
              <c:xMode val="edge"/>
              <c:yMode val="edge"/>
              <c:x val="1.1943132108486439E-2"/>
              <c:y val="0.11102151199720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87087"/>
        <c:crosses val="autoZero"/>
        <c:auto val="1"/>
        <c:lblAlgn val="ctr"/>
        <c:lblOffset val="100"/>
        <c:noMultiLvlLbl val="0"/>
      </c:catAx>
      <c:valAx>
        <c:axId val="189298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999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990601</xdr:colOff>
      <xdr:row>15</xdr:row>
      <xdr:rowOff>187778</xdr:rowOff>
    </xdr:from>
    <xdr:to>
      <xdr:col>11</xdr:col>
      <xdr:colOff>247650</xdr:colOff>
      <xdr:row>30</xdr:row>
      <xdr:rowOff>73478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18DB3-19B3-47E5-795C-E8F68E2F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114301</xdr:rowOff>
    </xdr:from>
    <xdr:to>
      <xdr:col>14</xdr:col>
      <xdr:colOff>63500</xdr:colOff>
      <xdr:row>44</xdr:row>
      <xdr:rowOff>63501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8778412-1596-D010-8456-373E09AADB5A}"/>
            </a:ext>
          </a:extLst>
        </xdr:cNvPr>
        <xdr:cNvGrpSpPr/>
      </xdr:nvGrpSpPr>
      <xdr:grpSpPr>
        <a:xfrm>
          <a:off x="2690813" y="3162301"/>
          <a:ext cx="7207250" cy="5092700"/>
          <a:chOff x="2832100" y="2971801"/>
          <a:chExt cx="8140700" cy="50927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0A5740F-9704-A024-16A3-680508680552}"/>
              </a:ext>
            </a:extLst>
          </xdr:cNvPr>
          <xdr:cNvGrpSpPr/>
        </xdr:nvGrpSpPr>
        <xdr:grpSpPr>
          <a:xfrm>
            <a:off x="2832100" y="2971801"/>
            <a:ext cx="8140700" cy="5092700"/>
            <a:chOff x="2832100" y="3246695"/>
            <a:chExt cx="8140700" cy="4817805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FED2FD-7ECB-317A-E7B7-4D37424806EB}"/>
                </a:ext>
              </a:extLst>
            </xdr:cNvPr>
            <xdr:cNvGraphicFramePr/>
          </xdr:nvGraphicFramePr>
          <xdr:xfrm>
            <a:off x="2832100" y="5734050"/>
            <a:ext cx="8140700" cy="23304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553AB8-4CE4-A748-A394-77C1AF05E5F3}"/>
                </a:ext>
              </a:extLst>
            </xdr:cNvPr>
            <xdr:cNvGraphicFramePr>
              <a:graphicFrameLocks/>
            </xdr:cNvGraphicFramePr>
          </xdr:nvGraphicFramePr>
          <xdr:xfrm>
            <a:off x="2832100" y="3246695"/>
            <a:ext cx="8140700" cy="24810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CBDEB0F6-88A4-90C6-5654-6CEA3F13DE28}"/>
              </a:ext>
            </a:extLst>
          </xdr:cNvPr>
          <xdr:cNvSpPr/>
        </xdr:nvSpPr>
        <xdr:spPr>
          <a:xfrm>
            <a:off x="7516552" y="4387057"/>
            <a:ext cx="304800" cy="330200"/>
          </a:xfrm>
          <a:prstGeom prst="ellipse">
            <a:avLst/>
          </a:prstGeom>
          <a:solidFill>
            <a:schemeClr val="accent1">
              <a:alpha val="43529"/>
            </a:schemeClr>
          </a:solidFill>
          <a:ln>
            <a:prstDash val="sys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0.61454</cdr:x>
      <cdr:y>0.64648</cdr:y>
    </cdr:from>
    <cdr:to>
      <cdr:x>0.65367</cdr:x>
      <cdr:y>0.69733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DCEE43-EDA6-6E34-F910-BCD9E96AA91D}"/>
            </a:ext>
          </a:extLst>
        </cdr:cNvPr>
        <cdr:cNvCxnSpPr/>
      </cdr:nvCxnSpPr>
      <cdr:spPr>
        <a:xfrm xmlns:a="http://schemas.openxmlformats.org/drawingml/2006/main">
          <a:off x="4429124" y="1695449"/>
          <a:ext cx="282039" cy="133348"/>
        </a:xfrm>
        <a:prstGeom xmlns:a="http://schemas.openxmlformats.org/drawingml/2006/main" prst="line">
          <a:avLst/>
        </a:prstGeom>
        <a:ln xmlns:a="http://schemas.openxmlformats.org/drawingml/2006/main" w="95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0.60251</cdr:x>
      <cdr:y>0.67864</cdr:y>
    </cdr:from>
    <cdr:to>
      <cdr:x>0.73513</cdr:x>
      <cdr:y>0.80084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47ECE9-0325-ACAE-34D5-BA612F9AB101}"/>
            </a:ext>
          </a:extLst>
        </cdr:cNvPr>
        <cdr:cNvSpPr txBox="1"/>
      </cdr:nvSpPr>
      <cdr:spPr>
        <a:xfrm xmlns:a="http://schemas.openxmlformats.org/drawingml/2006/main">
          <a:off x="4342440" y="1779781"/>
          <a:ext cx="955841" cy="320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kern="1200">
              <a:solidFill>
                <a:srgbClr val="0070C0"/>
              </a:solidFill>
            </a:rPr>
            <a:t>Tet Holiday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1217757</xdr:colOff>
      <xdr:row>14</xdr:row>
      <xdr:rowOff>181552</xdr:rowOff>
    </xdr:from>
    <xdr:to>
      <xdr:col>10</xdr:col>
      <xdr:colOff>282575</xdr:colOff>
      <xdr:row>30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597477</xdr:colOff>
      <xdr:row>0</xdr:row>
      <xdr:rowOff>91786</xdr:rowOff>
    </xdr:from>
    <xdr:to>
      <xdr:col>17</xdr:col>
      <xdr:colOff>597477</xdr:colOff>
      <xdr:row>14</xdr:row>
      <xdr:rowOff>167986</xdr:rowOff>
    </xdr:to>
    <xdr:grpSp>
      <xdr:nvGrpSpPr>
        <xdr:cNvPr id="8" name="Group 7"/>
        <xdr:cNvGrpSpPr/>
      </xdr:nvGrpSpPr>
      <xdr:grpSpPr>
        <a:xfrm>
          <a:off x="9786301" y="91786"/>
          <a:ext cx="4572000" cy="3471582"/>
          <a:chOff x="9793432" y="91786"/>
          <a:chExt cx="4572000" cy="347056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9793432" y="91786"/>
          <a:ext cx="4572000" cy="34705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Right Arrow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rot="1679688">
            <a:off x="11246793" y="1433924"/>
            <a:ext cx="1982932" cy="451233"/>
          </a:xfrm>
          <a:prstGeom prst="rightArrow">
            <a:avLst/>
          </a:prstGeom>
          <a:solidFill>
            <a:schemeClr val="accent5">
              <a:lumMod val="75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Explosion 1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2720205" y="1004454"/>
            <a:ext cx="1515341" cy="1091046"/>
          </a:xfrm>
          <a:prstGeom prst="irregularSeal1">
            <a:avLst/>
          </a:prstGeom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b="1">
                <a:solidFill>
                  <a:srgbClr val="0070C0"/>
                </a:solidFill>
              </a:rPr>
              <a:t>Giảm</a:t>
            </a:r>
            <a:r>
              <a:rPr lang="en-US" b="1" baseline="0">
                <a:solidFill>
                  <a:srgbClr val="0070C0"/>
                </a:solidFill>
              </a:rPr>
              <a:t> 50%</a:t>
            </a:r>
            <a:br>
              <a:rPr lang="en-US" b="1" baseline="0">
                <a:solidFill>
                  <a:srgbClr val="0070C0"/>
                </a:solidFill>
              </a:rPr>
            </a:br>
            <a:r>
              <a:rPr lang="en-US" b="1" baseline="0">
                <a:solidFill>
                  <a:srgbClr val="0070C0"/>
                </a:solidFill>
              </a:rPr>
              <a:t>(30.3 MH)</a:t>
            </a:r>
            <a:endParaRPr lang="en-US" b="1">
              <a:solidFill>
                <a:srgbClr val="0070C0"/>
              </a:solidFill>
            </a:endParaRPr>
          </a:p>
        </xdr:txBody>
      </xdr:sp>
    </xdr:grpSp>
    <xdr:clientData/>
  </xdr:twoCellAnchor>
  <xdr:twoCellAnchor>
    <xdr:from>
      <xdr:col>11</xdr:col>
      <xdr:colOff>571500</xdr:colOff>
      <xdr:row>17</xdr:row>
      <xdr:rowOff>17317</xdr:rowOff>
    </xdr:from>
    <xdr:to>
      <xdr:col>17</xdr:col>
      <xdr:colOff>571500</xdr:colOff>
      <xdr:row>34</xdr:row>
      <xdr:rowOff>67540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0.24389</cdr:x>
      <cdr:y>0.36826</cdr:y>
    </cdr:from>
    <cdr:to>
      <cdr:x>1</cdr:x>
      <cdr:y>0.64473</cdr:y>
    </cdr:to>
    <cdr:grpSp>
      <cdr:nvGrpSpPr>
        <cdr:cNvPr id="4" name="Group 3"/>
        <cdr:cNvGrpSpPr/>
      </cdr:nvGrpSpPr>
      <cdr:grpSpPr>
        <a:xfrm xmlns:a="http://schemas.openxmlformats.org/drawingml/2006/main">
          <a:off x="1115065" y="1211105"/>
          <a:ext cx="3456935" cy="909233"/>
          <a:chOff x="1115084" y="1211119"/>
          <a:chExt cx="3456916" cy="909205"/>
        </a:xfrm>
      </cdr:grpSpPr>
      <cdr:sp macro="" textlink="">
        <cdr:nvSpPr>
          <cdr:cNvPr id="2" name="Right Arrow 1">
            <a:extLst xmlns:a="http://schemas.openxmlformats.org/drawingml/2006/main">
              <a:ext uri="{FF2B5EF4-FFF2-40B4-BE49-F238E27FC236}">
                <a16:creationId xmlns:a16="http://schemas.microsoft.com/office/drawing/2014/main" id="{00000000-0008-0000-0300-000004000000}"/>
              </a:ext>
            </a:extLst>
          </cdr:cNvPr>
          <cdr:cNvSpPr/>
        </cdr:nvSpPr>
        <cdr:spPr>
          <a:xfrm xmlns:a="http://schemas.openxmlformats.org/drawingml/2006/main" rot="1679688">
            <a:off x="1115084" y="1309923"/>
            <a:ext cx="2588385" cy="451233"/>
          </a:xfrm>
          <a:prstGeom xmlns:a="http://schemas.openxmlformats.org/drawingml/2006/main" prst="rightArrow">
            <a:avLst/>
          </a:prstGeom>
          <a:solidFill xmlns:a="http://schemas.openxmlformats.org/drawingml/2006/main">
            <a:schemeClr val="accent5">
              <a:lumMod val="75000"/>
            </a:schemeClr>
          </a:solidFill>
          <a:ln xmlns:a="http://schemas.openxmlformats.org/drawingml/2006/main">
            <a:solidFill>
              <a:schemeClr val="accent5">
                <a:lumMod val="60000"/>
                <a:lumOff val="4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3" name="Explosion 1 2">
            <a:extLst xmlns:a="http://schemas.openxmlformats.org/drawingml/2006/main">
              <a:ext uri="{FF2B5EF4-FFF2-40B4-BE49-F238E27FC236}">
                <a16:creationId xmlns:a16="http://schemas.microsoft.com/office/drawing/2014/main" id="{00000000-0008-0000-0300-000005000000}"/>
              </a:ext>
            </a:extLst>
          </cdr:cNvPr>
          <cdr:cNvSpPr/>
        </cdr:nvSpPr>
        <cdr:spPr bwMode="auto">
          <a:xfrm xmlns:a="http://schemas.openxmlformats.org/drawingml/2006/main">
            <a:off x="2641023" y="1211119"/>
            <a:ext cx="1930977" cy="909205"/>
          </a:xfrm>
          <a:prstGeom xmlns:a="http://schemas.openxmlformats.org/drawingml/2006/main" prst="irregularSeal1">
            <a:avLst/>
          </a:prstGeom>
          <a:solidFill xmlns:a="http://schemas.openxmlformats.org/drawingml/2006/main">
            <a:schemeClr val="accent1">
              <a:lumMod val="60000"/>
              <a:lumOff val="40000"/>
            </a:schemeClr>
          </a:solidFill>
          <a:ln xmlns:a="http://schemas.openxmlformats.org/drawingml/2006/main"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 xmlns:a="http://schemas.openxmlformats.org/drawingml/2006/main"/>
        </cdr:spPr>
        <cdr:txBody>
          <a:bodyPr xmlns:a="http://schemas.openxmlformats.org/drawingml/2006/main" vert="horz" wrap="square" lIns="91440" tIns="45720" rIns="91440" bIns="45720" numCol="1" anchor="ctr" anchorCtr="0" compatLnSpc="1">
            <a:prstTxWarp prst="textNoShape">
              <a:avLst/>
            </a:prstTxWarp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b="1">
                <a:solidFill>
                  <a:srgbClr val="0070C0"/>
                </a:solidFill>
              </a:rPr>
              <a:t>Giảm</a:t>
            </a:r>
            <a:r>
              <a:rPr lang="en-US" b="1" baseline="0">
                <a:solidFill>
                  <a:srgbClr val="0070C0"/>
                </a:solidFill>
              </a:rPr>
              <a:t> 66%</a:t>
            </a:r>
            <a:br>
              <a:rPr lang="en-US" b="1" baseline="0">
                <a:solidFill>
                  <a:srgbClr val="0070C0"/>
                </a:solidFill>
              </a:rPr>
            </a:br>
            <a:r>
              <a:rPr lang="en-US" b="1" baseline="0">
                <a:solidFill>
                  <a:srgbClr val="0070C0"/>
                </a:solidFill>
              </a:rPr>
              <a:t>Vượt mục tiêu</a:t>
            </a:r>
            <a:endParaRPr lang="en-US" b="1">
              <a:solidFill>
                <a:srgbClr val="0070C0"/>
              </a:solidFill>
            </a:endParaRPr>
          </a:p>
        </cdr:txBody>
      </cdr: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401974</xdr:colOff>
      <xdr:row>1</xdr:row>
      <xdr:rowOff>165298</xdr:rowOff>
    </xdr:from>
    <xdr:to>
      <xdr:col>4</xdr:col>
      <xdr:colOff>238405</xdr:colOff>
      <xdr:row>8</xdr:row>
      <xdr:rowOff>130629</xdr:rowOff>
    </xdr:to>
    <xdr:grpSp>
      <xdr:nvGrpSpPr>
        <xdr:cNvPr id="25" name="Group 24"/>
        <xdr:cNvGrpSpPr/>
      </xdr:nvGrpSpPr>
      <xdr:grpSpPr>
        <a:xfrm>
          <a:off x="1011574" y="355798"/>
          <a:ext cx="1665231" cy="1298831"/>
          <a:chOff x="1011574" y="355798"/>
          <a:chExt cx="1665231" cy="1298831"/>
        </a:xfrm>
      </xdr:grpSpPr>
      <xdr:sp macro="" textlink="">
        <xdr:nvSpPr>
          <xdr:cNvPr id="24" name="Rectangle 23"/>
          <xdr:cNvSpPr/>
        </xdr:nvSpPr>
        <xdr:spPr>
          <a:xfrm>
            <a:off x="1485900" y="103958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/>
          <xdr:cNvSpPr/>
        </xdr:nvSpPr>
        <xdr:spPr>
          <a:xfrm>
            <a:off x="1485900" y="86541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1485900" y="685800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" name="Flowchart: Connector 1"/>
          <xdr:cNvSpPr/>
        </xdr:nvSpPr>
        <xdr:spPr>
          <a:xfrm>
            <a:off x="1427628" y="1216480"/>
            <a:ext cx="165331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Flowchart: Connector 3"/>
          <xdr:cNvSpPr/>
        </xdr:nvSpPr>
        <xdr:spPr>
          <a:xfrm>
            <a:off x="2231498" y="1206955"/>
            <a:ext cx="159115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9375" r="49024"/>
          <a:stretch/>
        </xdr:blipFill>
        <xdr:spPr>
          <a:xfrm>
            <a:off x="1011574" y="585202"/>
            <a:ext cx="467102" cy="1069427"/>
          </a:xfrm>
          <a:prstGeom prst="rect">
            <a:avLst/>
          </a:prstGeom>
        </xdr:spPr>
      </xdr:pic>
      <xdr:sp macro="" textlink="">
        <xdr:nvSpPr>
          <xdr:cNvPr id="12" name="Parallelogram 11"/>
          <xdr:cNvSpPr/>
        </xdr:nvSpPr>
        <xdr:spPr>
          <a:xfrm>
            <a:off x="1533804" y="1080500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Parallelogram 13"/>
          <xdr:cNvSpPr/>
        </xdr:nvSpPr>
        <xdr:spPr>
          <a:xfrm>
            <a:off x="1535119" y="897883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Parallelogram 14"/>
          <xdr:cNvSpPr/>
        </xdr:nvSpPr>
        <xdr:spPr>
          <a:xfrm>
            <a:off x="1543006" y="721835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2288351" y="1248425"/>
            <a:ext cx="56581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1476455" y="1255444"/>
            <a:ext cx="60289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72255"/>
          <a:stretch/>
        </xdr:blipFill>
        <xdr:spPr>
          <a:xfrm>
            <a:off x="2329228" y="355798"/>
            <a:ext cx="347577" cy="125185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578543</xdr:colOff>
      <xdr:row>3</xdr:row>
      <xdr:rowOff>92530</xdr:rowOff>
    </xdr:from>
    <xdr:to>
      <xdr:col>7</xdr:col>
      <xdr:colOff>82842</xdr:colOff>
      <xdr:row>7</xdr:row>
      <xdr:rowOff>23134</xdr:rowOff>
    </xdr:to>
    <xdr:grpSp>
      <xdr:nvGrpSpPr>
        <xdr:cNvPr id="39" name="Group 38"/>
        <xdr:cNvGrpSpPr/>
      </xdr:nvGrpSpPr>
      <xdr:grpSpPr>
        <a:xfrm>
          <a:off x="3626543" y="664030"/>
          <a:ext cx="962985" cy="692604"/>
          <a:chOff x="3626543" y="664030"/>
          <a:chExt cx="962985" cy="692604"/>
        </a:xfrm>
      </xdr:grpSpPr>
      <xdr:sp macro="" textlink="">
        <xdr:nvSpPr>
          <xdr:cNvPr id="27" name="Rectangle 26"/>
          <xdr:cNvSpPr/>
        </xdr:nvSpPr>
        <xdr:spPr>
          <a:xfrm>
            <a:off x="3684815" y="101781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/>
          <xdr:cNvSpPr/>
        </xdr:nvSpPr>
        <xdr:spPr>
          <a:xfrm>
            <a:off x="3684815" y="84364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/>
          <xdr:cNvSpPr/>
        </xdr:nvSpPr>
        <xdr:spPr>
          <a:xfrm>
            <a:off x="3684815" y="664030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/>
        </xdr:nvSpPr>
        <xdr:spPr>
          <a:xfrm>
            <a:off x="3626543" y="1194710"/>
            <a:ext cx="165331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Flowchart: Connector 30"/>
          <xdr:cNvSpPr/>
        </xdr:nvSpPr>
        <xdr:spPr>
          <a:xfrm>
            <a:off x="4430413" y="1185185"/>
            <a:ext cx="159115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Parallelogram 32"/>
          <xdr:cNvSpPr/>
        </xdr:nvSpPr>
        <xdr:spPr>
          <a:xfrm>
            <a:off x="3732719" y="1058730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Parallelogram 33"/>
          <xdr:cNvSpPr/>
        </xdr:nvSpPr>
        <xdr:spPr>
          <a:xfrm>
            <a:off x="3734034" y="876113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Parallelogram 34"/>
          <xdr:cNvSpPr/>
        </xdr:nvSpPr>
        <xdr:spPr>
          <a:xfrm>
            <a:off x="3741921" y="700065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/>
        </xdr:nvSpPr>
        <xdr:spPr>
          <a:xfrm>
            <a:off x="4487266" y="1226655"/>
            <a:ext cx="56581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3675370" y="1233674"/>
            <a:ext cx="60289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"/>
  <sheetViews>
    <sheetView topLeftCell="A13" zoomScaleNormal="100" workbookViewId="0">
      <selection activeCell="M28" sqref="M28"/>
    </sheetView>
  </sheetViews>
  <sheetFormatPr defaultColWidth="8.85546875" defaultRowHeight="15" x14ac:dyDescent="0.25"/>
  <cols>
    <col min="2" max="2" width="28.42578125" bestFit="1" customWidth="1"/>
  </cols>
  <sheetData>
    <row r="1" spans="2:21" x14ac:dyDescent="0.25">
      <c r="C1" s="63">
        <v>2023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>
        <v>2024</v>
      </c>
      <c r="P1" s="63"/>
      <c r="Q1" s="63"/>
    </row>
    <row r="2" spans="2:21" x14ac:dyDescent="0.25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1" x14ac:dyDescent="0.25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1" x14ac:dyDescent="0.25">
      <c r="C4">
        <f>B3+C3</f>
        <v>126</v>
      </c>
      <c r="D4">
        <f t="shared" ref="D4:I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ref="J4:P4" si="1">I4+J3</f>
        <v>152</v>
      </c>
      <c r="K4">
        <f t="shared" si="1"/>
        <v>157</v>
      </c>
      <c r="L4">
        <f t="shared" si="1"/>
        <v>161</v>
      </c>
      <c r="M4">
        <f t="shared" si="1"/>
        <v>161</v>
      </c>
      <c r="N4">
        <f t="shared" si="1"/>
        <v>163</v>
      </c>
      <c r="O4">
        <f t="shared" si="1"/>
        <v>165</v>
      </c>
      <c r="P4">
        <f t="shared" si="1"/>
        <v>166</v>
      </c>
      <c r="Q4">
        <f t="shared" ref="Q4" si="2">P4+Q3</f>
        <v>166</v>
      </c>
      <c r="R4">
        <f t="shared" ref="R4" si="3">Q4+R3</f>
        <v>169</v>
      </c>
      <c r="S4">
        <f t="shared" ref="S4" si="4">R4+S3</f>
        <v>172</v>
      </c>
      <c r="T4">
        <f t="shared" ref="T4" si="5">S4+T3</f>
        <v>173</v>
      </c>
    </row>
    <row r="6" spans="2:21" x14ac:dyDescent="0.25">
      <c r="C6">
        <f>9.7/60</f>
        <v>0.16166666666666665</v>
      </c>
    </row>
    <row r="9" spans="2:21" x14ac:dyDescent="0.25">
      <c r="C9" s="64">
        <v>2023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6"/>
      <c r="O9" s="64">
        <v>2024</v>
      </c>
      <c r="P9" s="65"/>
      <c r="Q9" s="65"/>
      <c r="R9" s="65"/>
      <c r="S9" s="65"/>
      <c r="T9" s="65"/>
      <c r="U9" s="66"/>
    </row>
    <row r="10" spans="2:21" x14ac:dyDescent="0.25">
      <c r="C10" s="42" t="s">
        <v>74</v>
      </c>
      <c r="D10" s="42" t="s">
        <v>75</v>
      </c>
      <c r="E10" s="42" t="s">
        <v>76</v>
      </c>
      <c r="F10" s="42" t="s">
        <v>77</v>
      </c>
      <c r="G10" s="42" t="s">
        <v>78</v>
      </c>
      <c r="H10" s="42" t="s">
        <v>79</v>
      </c>
      <c r="I10" s="42" t="s">
        <v>80</v>
      </c>
      <c r="J10" s="42" t="s">
        <v>81</v>
      </c>
      <c r="K10" s="42" t="s">
        <v>82</v>
      </c>
      <c r="L10" s="42" t="s">
        <v>71</v>
      </c>
      <c r="M10" s="43" t="s">
        <v>72</v>
      </c>
      <c r="N10" s="42" t="s">
        <v>73</v>
      </c>
      <c r="O10" s="42" t="s">
        <v>74</v>
      </c>
      <c r="P10" s="42" t="s">
        <v>75</v>
      </c>
      <c r="Q10" s="42" t="s">
        <v>76</v>
      </c>
      <c r="R10" s="42" t="s">
        <v>77</v>
      </c>
      <c r="S10" s="42" t="s">
        <v>78</v>
      </c>
      <c r="T10" s="42" t="s">
        <v>79</v>
      </c>
      <c r="U10" s="62" t="s">
        <v>80</v>
      </c>
    </row>
    <row r="11" spans="2:21" x14ac:dyDescent="0.25">
      <c r="B11" t="s">
        <v>143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170</v>
      </c>
      <c r="R11">
        <v>172</v>
      </c>
      <c r="S11">
        <v>176</v>
      </c>
      <c r="T11">
        <v>183</v>
      </c>
      <c r="U11">
        <v>190</v>
      </c>
    </row>
    <row r="12" spans="2:21" hidden="1" x14ac:dyDescent="0.25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150</v>
      </c>
      <c r="S12">
        <v>152</v>
      </c>
      <c r="T12">
        <v>153</v>
      </c>
    </row>
    <row r="13" spans="2:21" x14ac:dyDescent="0.25">
      <c r="B13" t="s">
        <v>84</v>
      </c>
      <c r="C13" s="45">
        <v>36.700000000000003</v>
      </c>
      <c r="D13" s="45">
        <v>37.599999999999994</v>
      </c>
      <c r="E13" s="45">
        <v>41.2</v>
      </c>
      <c r="F13" s="45">
        <v>42.7</v>
      </c>
      <c r="G13" s="45">
        <v>45.7</v>
      </c>
      <c r="H13" s="45">
        <v>47.8</v>
      </c>
      <c r="I13" s="45">
        <v>49.3</v>
      </c>
      <c r="J13" s="45">
        <v>51.099999999999994</v>
      </c>
      <c r="K13" s="45">
        <v>52.899999999999991</v>
      </c>
      <c r="L13" s="45">
        <v>54.099999999999994</v>
      </c>
      <c r="M13" s="45">
        <v>48.7</v>
      </c>
      <c r="N13" s="45">
        <v>54.7</v>
      </c>
      <c r="O13" s="45">
        <v>56.5</v>
      </c>
      <c r="P13" s="45">
        <v>58</v>
      </c>
      <c r="Q13" s="45">
        <v>58.3</v>
      </c>
      <c r="R13" s="45">
        <v>58.599999999999994</v>
      </c>
      <c r="S13" s="45">
        <v>59.8</v>
      </c>
      <c r="T13" s="45">
        <v>60.399999999999991</v>
      </c>
      <c r="U13">
        <v>61.599999999999994</v>
      </c>
    </row>
    <row r="17" spans="19:19" x14ac:dyDescent="0.25">
      <c r="S17" s="44"/>
    </row>
  </sheetData>
  <mergeCells count="4">
    <mergeCell ref="C1:N1"/>
    <mergeCell ref="O1:Q1"/>
    <mergeCell ref="C9:N9"/>
    <mergeCell ref="O9:U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showGridLines="0" topLeftCell="A4" zoomScale="80" zoomScaleNormal="80" workbookViewId="0">
      <selection activeCell="C13" sqref="C13:U13"/>
    </sheetView>
  </sheetViews>
  <sheetFormatPr defaultColWidth="8.85546875" defaultRowHeight="15" x14ac:dyDescent="0.25"/>
  <cols>
    <col min="2" max="2" width="31.42578125" bestFit="1" customWidth="1"/>
  </cols>
  <sheetData>
    <row r="1" spans="2:21" x14ac:dyDescent="0.25">
      <c r="C1" s="63">
        <v>2023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>
        <v>2024</v>
      </c>
      <c r="P1" s="63"/>
      <c r="Q1" s="63"/>
    </row>
    <row r="2" spans="2:21" x14ac:dyDescent="0.25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1" x14ac:dyDescent="0.25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1" x14ac:dyDescent="0.25">
      <c r="C4">
        <f>B3+C3</f>
        <v>126</v>
      </c>
      <c r="D4">
        <f t="shared" ref="D4:T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si="0"/>
        <v>152</v>
      </c>
      <c r="K4">
        <f t="shared" si="0"/>
        <v>157</v>
      </c>
      <c r="L4">
        <f t="shared" si="0"/>
        <v>161</v>
      </c>
      <c r="M4">
        <f t="shared" si="0"/>
        <v>161</v>
      </c>
      <c r="N4">
        <f t="shared" si="0"/>
        <v>163</v>
      </c>
      <c r="O4">
        <f t="shared" si="0"/>
        <v>165</v>
      </c>
      <c r="P4">
        <f t="shared" si="0"/>
        <v>166</v>
      </c>
      <c r="Q4">
        <f t="shared" si="0"/>
        <v>166</v>
      </c>
      <c r="R4">
        <f t="shared" si="0"/>
        <v>169</v>
      </c>
      <c r="S4">
        <f t="shared" si="0"/>
        <v>172</v>
      </c>
      <c r="T4">
        <f t="shared" si="0"/>
        <v>173</v>
      </c>
    </row>
    <row r="9" spans="2:21" x14ac:dyDescent="0.25">
      <c r="C9" s="64">
        <v>2023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6"/>
      <c r="O9" s="64">
        <v>2024</v>
      </c>
      <c r="P9" s="65"/>
      <c r="Q9" s="65"/>
      <c r="R9" s="65"/>
      <c r="S9" s="65"/>
      <c r="T9" s="65"/>
      <c r="U9" s="66"/>
    </row>
    <row r="10" spans="2:21" x14ac:dyDescent="0.25">
      <c r="C10" s="42" t="s">
        <v>74</v>
      </c>
      <c r="D10" s="42" t="s">
        <v>75</v>
      </c>
      <c r="E10" s="42" t="s">
        <v>76</v>
      </c>
      <c r="F10" s="42" t="s">
        <v>77</v>
      </c>
      <c r="G10" s="42" t="s">
        <v>78</v>
      </c>
      <c r="H10" s="42" t="s">
        <v>79</v>
      </c>
      <c r="I10" s="42" t="s">
        <v>80</v>
      </c>
      <c r="J10" s="42" t="s">
        <v>81</v>
      </c>
      <c r="K10" s="42" t="s">
        <v>82</v>
      </c>
      <c r="L10" s="42" t="s">
        <v>71</v>
      </c>
      <c r="M10" s="43" t="s">
        <v>72</v>
      </c>
      <c r="N10" s="42" t="s">
        <v>73</v>
      </c>
      <c r="O10" s="42" t="s">
        <v>74</v>
      </c>
      <c r="P10" s="42" t="s">
        <v>75</v>
      </c>
      <c r="Q10" s="42" t="s">
        <v>76</v>
      </c>
      <c r="R10" s="42" t="s">
        <v>77</v>
      </c>
      <c r="S10" s="42" t="s">
        <v>78</v>
      </c>
      <c r="T10" s="42" t="s">
        <v>79</v>
      </c>
      <c r="U10" s="62" t="s">
        <v>80</v>
      </c>
    </row>
    <row r="11" spans="2:21" x14ac:dyDescent="0.25">
      <c r="B11" t="s">
        <v>70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170</v>
      </c>
      <c r="R11">
        <v>172</v>
      </c>
      <c r="S11">
        <v>176</v>
      </c>
      <c r="T11">
        <v>183</v>
      </c>
      <c r="U11">
        <v>190</v>
      </c>
    </row>
    <row r="12" spans="2:21" hidden="1" x14ac:dyDescent="0.25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143</v>
      </c>
      <c r="S12">
        <v>147</v>
      </c>
      <c r="T12">
        <v>149</v>
      </c>
      <c r="U12">
        <v>153</v>
      </c>
    </row>
    <row r="13" spans="2:21" x14ac:dyDescent="0.25">
      <c r="B13" t="s">
        <v>84</v>
      </c>
      <c r="C13" s="45">
        <f>SUM('Topic 1'!$G$60:$G$64) + SUM('Topic 1'!$G$65:$G$68)*'Sheet1 (2)'!C12</f>
        <v>36.700000000000003</v>
      </c>
      <c r="D13" s="45">
        <f>SUM('Topic 1'!$G$60:$G$64) + SUM('Topic 1'!$G$65:$G$68)*'Sheet1 (2)'!D12</f>
        <v>37.599999999999994</v>
      </c>
      <c r="E13" s="45">
        <f>SUM('Topic 1'!$G$60:$G$64) + SUM('Topic 1'!$G$65:$G$68)*'Sheet1 (2)'!E12</f>
        <v>41.2</v>
      </c>
      <c r="F13" s="45">
        <f>SUM('Topic 1'!$G$60:$G$64) + SUM('Topic 1'!$G$65:$G$68)*'Sheet1 (2)'!F12</f>
        <v>42.7</v>
      </c>
      <c r="G13" s="45">
        <f>SUM('Topic 1'!$G$60:$G$64) + SUM('Topic 1'!$G$65:$G$68)*'Sheet1 (2)'!G12</f>
        <v>45.7</v>
      </c>
      <c r="H13" s="45">
        <f>SUM('Topic 1'!$G$60:$G$64) + SUM('Topic 1'!$G$65:$G$68)*'Sheet1 (2)'!H12</f>
        <v>47.8</v>
      </c>
      <c r="I13" s="45">
        <f>SUM('Topic 1'!$G$60:$G$64) + SUM('Topic 1'!$G$65:$G$68)*'Sheet1 (2)'!I12</f>
        <v>49.3</v>
      </c>
      <c r="J13" s="45">
        <f>SUM('Topic 1'!$G$60:$G$64) + SUM('Topic 1'!$G$65:$G$68)*'Sheet1 (2)'!J12</f>
        <v>51.099999999999994</v>
      </c>
      <c r="K13" s="45">
        <f>SUM('Topic 1'!$G$60:$G$64) + SUM('Topic 1'!$G$65:$G$68)*'Sheet1 (2)'!K12</f>
        <v>52.899999999999991</v>
      </c>
      <c r="L13" s="45">
        <f>SUM('Topic 1'!$G$60:$G$64) + SUM('Topic 1'!$G$65:$G$68)*'Sheet1 (2)'!L12</f>
        <v>54.099999999999994</v>
      </c>
      <c r="M13" s="45">
        <f>SUM('Topic 1'!$G$60:$G$64) + SUM('Topic 1'!$G$65:$G$68)*'Sheet1 (2)'!M12</f>
        <v>48.7</v>
      </c>
      <c r="N13" s="45">
        <f>SUM('Topic 1'!$G$60:$G$64) + SUM('Topic 1'!$G$65:$G$68)*'Sheet1 (2)'!N12</f>
        <v>54.7</v>
      </c>
      <c r="O13" s="45">
        <f>SUM('Topic 1'!$G$60:$G$64) + SUM('Topic 1'!$G$65:$G$68)*'Sheet1 (2)'!O12</f>
        <v>56.5</v>
      </c>
      <c r="P13" s="45">
        <f>SUM('Topic 1'!$G$60:$G$64) + SUM('Topic 1'!$G$65:$G$68)*'Sheet1 (2)'!P12</f>
        <v>58</v>
      </c>
      <c r="Q13" s="45">
        <f>SUM('Topic 1'!$G$60:$G$64) + SUM('Topic 1'!$G$65:$G$68)*'Sheet1 (2)'!Q12</f>
        <v>58.3</v>
      </c>
      <c r="R13" s="45">
        <f>SUM('Topic 1'!$G$60:$G$64) + SUM('Topic 1'!$G$65:$G$68)*'Sheet1 (2)'!R12</f>
        <v>58.599999999999994</v>
      </c>
      <c r="S13" s="45">
        <f>SUM('Topic 1'!$G$60:$G$64) + SUM('Topic 1'!$G$65:$G$68)*'Sheet1 (2)'!S12</f>
        <v>59.8</v>
      </c>
      <c r="T13" s="45">
        <f>SUM('Topic 1'!$G$60:$G$64) + SUM('Topic 1'!$G$65:$G$68)*'Sheet1 (2)'!T12</f>
        <v>60.399999999999991</v>
      </c>
      <c r="U13" s="45">
        <f>SUM('Topic 1'!$G$60:$G$64) + SUM('Topic 1'!$G$65:$G$68)*'Sheet1 (2)'!U12</f>
        <v>61.599999999999994</v>
      </c>
    </row>
    <row r="17" spans="19:20" x14ac:dyDescent="0.25">
      <c r="S17" s="44"/>
    </row>
    <row r="19" spans="19:20" x14ac:dyDescent="0.25">
      <c r="T19" s="44">
        <f>AVERAGE(R12:T12)</f>
        <v>146.33333333333334</v>
      </c>
    </row>
    <row r="22" spans="19:20" x14ac:dyDescent="0.25">
      <c r="S22" s="61">
        <f>AVERAGE(S13:U13)</f>
        <v>60.599999999999994</v>
      </c>
    </row>
  </sheetData>
  <mergeCells count="4">
    <mergeCell ref="C1:N1"/>
    <mergeCell ref="O1:Q1"/>
    <mergeCell ref="C9:N9"/>
    <mergeCell ref="O9:U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8"/>
  <sheetViews>
    <sheetView topLeftCell="A58" zoomScaleNormal="100" workbookViewId="0">
      <selection activeCell="H47" sqref="H47"/>
    </sheetView>
  </sheetViews>
  <sheetFormatPr defaultColWidth="9.140625" defaultRowHeight="15" x14ac:dyDescent="0.25"/>
  <cols>
    <col min="1" max="1" width="6.42578125" style="1" customWidth="1"/>
    <col min="2" max="2" width="11.28515625" style="1" customWidth="1"/>
    <col min="3" max="5" width="8.85546875" style="1" customWidth="1"/>
    <col min="6" max="6" width="12.7109375" style="1" bestFit="1" customWidth="1"/>
    <col min="7" max="7" width="15.7109375" style="1" bestFit="1" customWidth="1"/>
    <col min="8" max="8" width="28.140625" style="1" bestFit="1" customWidth="1"/>
    <col min="9" max="9" width="12.140625" style="1" bestFit="1" customWidth="1"/>
    <col min="10" max="23" width="8.85546875" style="1" customWidth="1"/>
    <col min="24" max="28" width="9.140625" style="1"/>
    <col min="29" max="29" width="10.85546875" style="1" bestFit="1" customWidth="1"/>
    <col min="30" max="16384" width="9.140625" style="1"/>
  </cols>
  <sheetData>
    <row r="2" spans="1:23" ht="18.75" x14ac:dyDescent="0.25">
      <c r="B2" s="24" t="s">
        <v>32</v>
      </c>
      <c r="L2" s="1" t="s">
        <v>31</v>
      </c>
    </row>
    <row r="4" spans="1:23" x14ac:dyDescent="0.25">
      <c r="B4" s="2" t="s">
        <v>27</v>
      </c>
    </row>
    <row r="5" spans="1:23" x14ac:dyDescent="0.25">
      <c r="B5" s="2"/>
    </row>
    <row r="6" spans="1:23" x14ac:dyDescent="0.25">
      <c r="B6" s="67" t="s">
        <v>16</v>
      </c>
      <c r="C6" s="68"/>
      <c r="D6" s="68"/>
      <c r="E6" s="68"/>
      <c r="F6" s="68"/>
      <c r="G6" s="68"/>
      <c r="H6" s="68"/>
      <c r="I6" s="68"/>
      <c r="J6" s="68"/>
      <c r="K6" s="68"/>
      <c r="L6" s="69"/>
      <c r="M6" s="67" t="s">
        <v>17</v>
      </c>
      <c r="N6" s="68"/>
      <c r="O6" s="68"/>
      <c r="P6" s="68"/>
      <c r="Q6" s="68"/>
      <c r="R6" s="68"/>
      <c r="S6" s="68"/>
      <c r="T6" s="68"/>
      <c r="U6" s="68"/>
      <c r="V6" s="68"/>
      <c r="W6" s="69"/>
    </row>
    <row r="7" spans="1:23" x14ac:dyDescent="0.25">
      <c r="B7" s="67" t="s">
        <v>18</v>
      </c>
      <c r="C7" s="68"/>
      <c r="D7" s="68"/>
      <c r="E7" s="68"/>
      <c r="F7" s="68"/>
      <c r="G7" s="68"/>
      <c r="H7" s="68"/>
      <c r="I7" s="68"/>
      <c r="J7" s="68"/>
      <c r="K7" s="69"/>
      <c r="L7" s="3" t="s">
        <v>19</v>
      </c>
      <c r="M7" s="70" t="s">
        <v>18</v>
      </c>
      <c r="N7" s="71"/>
      <c r="O7" s="71"/>
      <c r="P7" s="71"/>
      <c r="Q7" s="71"/>
      <c r="R7" s="71"/>
      <c r="S7" s="71"/>
      <c r="T7" s="71"/>
      <c r="U7" s="71"/>
      <c r="V7" s="72"/>
      <c r="W7" s="25" t="s">
        <v>19</v>
      </c>
    </row>
    <row r="8" spans="1:23" x14ac:dyDescent="0.25">
      <c r="A8" s="4"/>
      <c r="B8" s="6" t="s">
        <v>33</v>
      </c>
      <c r="C8" s="7"/>
      <c r="D8" s="7"/>
      <c r="E8" s="7"/>
      <c r="F8" s="7"/>
      <c r="G8" s="7"/>
      <c r="H8" s="7"/>
      <c r="I8" s="7"/>
      <c r="J8" s="27"/>
      <c r="K8" s="27"/>
      <c r="L8" s="8">
        <v>8</v>
      </c>
      <c r="M8" s="9" t="s">
        <v>34</v>
      </c>
      <c r="N8" s="7"/>
      <c r="O8" s="7"/>
      <c r="P8" s="7"/>
      <c r="Q8" s="7"/>
      <c r="R8" s="7"/>
      <c r="S8" s="7"/>
      <c r="T8" s="7"/>
      <c r="U8" s="7"/>
      <c r="V8" s="7"/>
      <c r="W8" s="8">
        <v>1</v>
      </c>
    </row>
    <row r="9" spans="1:23" x14ac:dyDescent="0.25">
      <c r="A9" s="4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5">
      <c r="A10" s="4"/>
      <c r="B10" s="2" t="s">
        <v>35</v>
      </c>
      <c r="L10" s="8">
        <v>3</v>
      </c>
      <c r="M10" s="9" t="s">
        <v>36</v>
      </c>
      <c r="N10" s="7"/>
      <c r="O10" s="7"/>
      <c r="P10" s="7"/>
      <c r="Q10" s="7"/>
      <c r="R10" s="7"/>
      <c r="S10" s="7"/>
      <c r="T10" s="7"/>
      <c r="U10" s="7"/>
      <c r="V10" s="7"/>
      <c r="W10" s="8">
        <v>3</v>
      </c>
    </row>
    <row r="11" spans="1:23" x14ac:dyDescent="0.25">
      <c r="A11" s="4"/>
      <c r="L11" s="10"/>
      <c r="M11" s="11"/>
      <c r="W11" s="10"/>
    </row>
    <row r="12" spans="1:23" ht="14.45" customHeight="1" x14ac:dyDescent="0.25">
      <c r="B12" s="9" t="s">
        <v>37</v>
      </c>
      <c r="C12" s="7"/>
      <c r="D12" s="7"/>
      <c r="E12" s="7"/>
      <c r="F12" s="7"/>
      <c r="G12" s="7"/>
      <c r="H12" s="7"/>
      <c r="I12" s="7"/>
      <c r="J12" s="27"/>
      <c r="K12" s="27"/>
      <c r="L12" s="8">
        <v>5</v>
      </c>
      <c r="M12" s="9" t="s">
        <v>38</v>
      </c>
      <c r="N12" s="7"/>
      <c r="O12" s="7"/>
      <c r="P12" s="7"/>
      <c r="Q12" s="7"/>
      <c r="R12" s="7"/>
      <c r="S12" s="7"/>
      <c r="T12" s="7"/>
      <c r="U12" s="7"/>
      <c r="V12" s="7"/>
      <c r="W12" s="8">
        <v>5.15</v>
      </c>
    </row>
    <row r="13" spans="1:23" ht="14.45" customHeight="1" x14ac:dyDescent="0.25"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45" customHeight="1" x14ac:dyDescent="0.25">
      <c r="B14" s="11" t="s">
        <v>65</v>
      </c>
      <c r="J14" s="28"/>
      <c r="K14" s="28"/>
      <c r="L14" s="29">
        <v>3</v>
      </c>
      <c r="M14" s="11" t="s">
        <v>39</v>
      </c>
      <c r="W14" s="29">
        <v>0</v>
      </c>
    </row>
    <row r="15" spans="1:23" ht="14.45" customHeight="1" x14ac:dyDescent="0.25">
      <c r="B15" s="11"/>
      <c r="J15" s="28"/>
      <c r="K15" s="28"/>
      <c r="L15" s="26"/>
      <c r="M15" s="11"/>
      <c r="W15" s="26"/>
    </row>
    <row r="16" spans="1:23" ht="14.45" customHeight="1" x14ac:dyDescent="0.25">
      <c r="B16" s="13" t="s">
        <v>20</v>
      </c>
      <c r="C16" s="14"/>
      <c r="D16" s="14"/>
      <c r="E16" s="14"/>
      <c r="F16" s="14"/>
      <c r="G16" s="14"/>
      <c r="H16" s="14"/>
      <c r="I16" s="14"/>
      <c r="J16" s="5"/>
      <c r="K16" s="5"/>
      <c r="L16" s="15">
        <f>SUM(L8:L15)</f>
        <v>19</v>
      </c>
      <c r="M16" s="13" t="s">
        <v>20</v>
      </c>
      <c r="N16" s="14"/>
      <c r="O16" s="14"/>
      <c r="P16" s="14"/>
      <c r="Q16" s="14"/>
      <c r="R16" s="14"/>
      <c r="S16" s="14"/>
      <c r="T16" s="14"/>
      <c r="U16" s="14"/>
      <c r="V16" s="14"/>
      <c r="W16" s="15">
        <f>SUM(W8:W15)</f>
        <v>9.15</v>
      </c>
    </row>
    <row r="18" spans="2:22" x14ac:dyDescent="0.25">
      <c r="B18" s="16" t="s">
        <v>3</v>
      </c>
    </row>
    <row r="19" spans="2:22" x14ac:dyDescent="0.25">
      <c r="B19" s="16" t="s">
        <v>22</v>
      </c>
      <c r="F19" s="1">
        <f>96+54</f>
        <v>150</v>
      </c>
      <c r="G19" s="1" t="s">
        <v>23</v>
      </c>
      <c r="H19" s="1" t="s">
        <v>68</v>
      </c>
    </row>
    <row r="20" spans="2:22" x14ac:dyDescent="0.25">
      <c r="B20" s="16" t="s">
        <v>25</v>
      </c>
      <c r="F20" s="1">
        <f>L16-W16</f>
        <v>9.85</v>
      </c>
      <c r="G20" s="1" t="s">
        <v>24</v>
      </c>
      <c r="H20" s="1">
        <f>F20*F19</f>
        <v>1477.5</v>
      </c>
      <c r="I20" s="1" t="s">
        <v>26</v>
      </c>
    </row>
    <row r="21" spans="2:22" x14ac:dyDescent="0.25">
      <c r="B21" s="16" t="s">
        <v>21</v>
      </c>
      <c r="F21" s="1">
        <f>(H20/60)*H21</f>
        <v>4063.125</v>
      </c>
      <c r="G21" s="1" t="s">
        <v>29</v>
      </c>
      <c r="H21" s="1">
        <v>165</v>
      </c>
      <c r="I21" s="19" t="s">
        <v>28</v>
      </c>
    </row>
    <row r="22" spans="2:22" x14ac:dyDescent="0.25">
      <c r="B22" s="16"/>
      <c r="F22" s="1">
        <f>F21/1000</f>
        <v>4.0631250000000003</v>
      </c>
      <c r="G22" s="1" t="s">
        <v>30</v>
      </c>
    </row>
    <row r="23" spans="2:22" ht="15.75" customHeight="1" x14ac:dyDescent="0.25">
      <c r="C23" s="23"/>
      <c r="D23" s="23"/>
      <c r="E23" s="23"/>
      <c r="F23" s="23"/>
      <c r="G23" s="23"/>
      <c r="H23" s="23"/>
      <c r="I23" s="23"/>
      <c r="J23" s="23"/>
      <c r="K23" s="23"/>
      <c r="R23" s="1">
        <v>442.06670000000003</v>
      </c>
    </row>
    <row r="24" spans="2:22" x14ac:dyDescent="0.25">
      <c r="B24" s="18"/>
      <c r="C24" s="22" t="s">
        <v>8</v>
      </c>
      <c r="D24" s="20" t="s">
        <v>9</v>
      </c>
      <c r="E24" s="20" t="s">
        <v>10</v>
      </c>
      <c r="F24" s="20" t="s">
        <v>11</v>
      </c>
      <c r="G24" s="20" t="s">
        <v>12</v>
      </c>
      <c r="H24" s="21" t="s">
        <v>13</v>
      </c>
      <c r="I24" s="21" t="s">
        <v>14</v>
      </c>
      <c r="J24" s="21" t="s">
        <v>15</v>
      </c>
      <c r="K24" s="21" t="s">
        <v>4</v>
      </c>
      <c r="L24" s="21" t="s">
        <v>5</v>
      </c>
      <c r="M24" s="20" t="s">
        <v>6</v>
      </c>
      <c r="N24" s="20" t="s">
        <v>7</v>
      </c>
      <c r="R24" s="1">
        <f xml:space="preserve"> 7*12</f>
        <v>84</v>
      </c>
      <c r="V24" s="46"/>
    </row>
    <row r="25" spans="2:22" x14ac:dyDescent="0.25">
      <c r="B25" s="17" t="s">
        <v>1</v>
      </c>
      <c r="C25" s="32">
        <f>$F$22</f>
        <v>4.0631250000000003</v>
      </c>
      <c r="D25" s="32">
        <f t="shared" ref="D25:N25" si="0">$F$22</f>
        <v>4.0631250000000003</v>
      </c>
      <c r="E25" s="32">
        <f t="shared" si="0"/>
        <v>4.0631250000000003</v>
      </c>
      <c r="F25" s="32">
        <f t="shared" si="0"/>
        <v>4.0631250000000003</v>
      </c>
      <c r="G25" s="32">
        <f t="shared" si="0"/>
        <v>4.0631250000000003</v>
      </c>
      <c r="H25" s="32">
        <f t="shared" si="0"/>
        <v>4.0631250000000003</v>
      </c>
      <c r="I25" s="32">
        <f t="shared" si="0"/>
        <v>4.0631250000000003</v>
      </c>
      <c r="J25" s="32">
        <f t="shared" si="0"/>
        <v>4.0631250000000003</v>
      </c>
      <c r="K25" s="32">
        <f t="shared" si="0"/>
        <v>4.0631250000000003</v>
      </c>
      <c r="L25" s="32">
        <f t="shared" si="0"/>
        <v>4.0631250000000003</v>
      </c>
      <c r="M25" s="32">
        <f t="shared" si="0"/>
        <v>4.0631250000000003</v>
      </c>
      <c r="N25" s="32">
        <f t="shared" si="0"/>
        <v>4.0631250000000003</v>
      </c>
      <c r="R25" s="1">
        <f>SUM(R23:R24)</f>
        <v>526.06670000000008</v>
      </c>
    </row>
    <row r="26" spans="2:22" x14ac:dyDescent="0.25">
      <c r="B26" s="18" t="s">
        <v>2</v>
      </c>
      <c r="C26" s="20" t="s">
        <v>0</v>
      </c>
      <c r="D26" s="20" t="s">
        <v>0</v>
      </c>
      <c r="E26" s="20" t="s">
        <v>0</v>
      </c>
      <c r="F26" s="20" t="s">
        <v>0</v>
      </c>
      <c r="G26" s="20" t="s">
        <v>0</v>
      </c>
      <c r="H26" s="20" t="s">
        <v>0</v>
      </c>
      <c r="I26" s="20" t="s">
        <v>0</v>
      </c>
      <c r="J26" s="20" t="s">
        <v>0</v>
      </c>
      <c r="K26" s="20" t="s">
        <v>0</v>
      </c>
      <c r="L26" s="20" t="s">
        <v>0</v>
      </c>
      <c r="M26" s="20" t="s">
        <v>0</v>
      </c>
      <c r="N26" s="20" t="s">
        <v>0</v>
      </c>
    </row>
    <row r="27" spans="2:22" x14ac:dyDescent="0.25">
      <c r="C27" s="2"/>
      <c r="D27" s="2"/>
      <c r="E27" s="2"/>
      <c r="F27" s="2"/>
      <c r="G27" s="2"/>
      <c r="H27" s="2"/>
      <c r="I27" s="2"/>
      <c r="J27" s="2"/>
      <c r="K27" s="2"/>
      <c r="L27" s="19"/>
    </row>
    <row r="29" spans="2:22" x14ac:dyDescent="0.25">
      <c r="E29" s="36" t="s">
        <v>56</v>
      </c>
      <c r="F29" s="37">
        <f>F19*F20/60</f>
        <v>24.625</v>
      </c>
      <c r="G29" s="38" t="s">
        <v>57</v>
      </c>
      <c r="P29" s="1" t="s">
        <v>83</v>
      </c>
      <c r="Q29" s="1">
        <v>11</v>
      </c>
    </row>
    <row r="30" spans="2:22" x14ac:dyDescent="0.25">
      <c r="E30" s="40" t="s">
        <v>60</v>
      </c>
      <c r="F30" s="1">
        <v>5</v>
      </c>
      <c r="G30" s="1" t="s">
        <v>57</v>
      </c>
    </row>
    <row r="31" spans="2:22" x14ac:dyDescent="0.25">
      <c r="E31" s="1" t="s">
        <v>61</v>
      </c>
      <c r="F31" s="1">
        <f>7/60*3*24</f>
        <v>8.3999999999999986</v>
      </c>
      <c r="G31" s="1" t="s">
        <v>57</v>
      </c>
    </row>
    <row r="32" spans="2:22" x14ac:dyDescent="0.25">
      <c r="E32" s="34" t="s">
        <v>66</v>
      </c>
      <c r="F32" s="41">
        <v>4</v>
      </c>
      <c r="G32" s="1" t="s">
        <v>67</v>
      </c>
    </row>
    <row r="33" spans="5:16" x14ac:dyDescent="0.25">
      <c r="E33" s="1" t="s">
        <v>62</v>
      </c>
      <c r="H33" s="1">
        <v>140</v>
      </c>
    </row>
    <row r="34" spans="5:16" x14ac:dyDescent="0.25">
      <c r="E34" s="1" t="s">
        <v>63</v>
      </c>
      <c r="H34" s="1">
        <v>140</v>
      </c>
      <c r="P34" s="1" t="s">
        <v>97</v>
      </c>
    </row>
    <row r="35" spans="5:16" x14ac:dyDescent="0.25">
      <c r="E35" s="1" t="s">
        <v>64</v>
      </c>
      <c r="H35" s="1">
        <f>H34*2</f>
        <v>280</v>
      </c>
    </row>
    <row r="36" spans="5:16" x14ac:dyDescent="0.25">
      <c r="H36" s="1">
        <f>SUM(H33:H35)</f>
        <v>560</v>
      </c>
      <c r="I36" s="1">
        <f>8/60*H36</f>
        <v>74.666666666666671</v>
      </c>
      <c r="J36" s="1">
        <f>F29*12</f>
        <v>295.5</v>
      </c>
      <c r="K36" s="1">
        <f>F31*12</f>
        <v>100.79999999999998</v>
      </c>
      <c r="L36" s="1">
        <f>SUM(I36:K36)</f>
        <v>470.9666666666667</v>
      </c>
    </row>
    <row r="42" spans="5:16" x14ac:dyDescent="0.25">
      <c r="H42" s="1" t="s">
        <v>88</v>
      </c>
      <c r="I42" s="1" t="s">
        <v>89</v>
      </c>
      <c r="N42" s="41"/>
    </row>
    <row r="43" spans="5:16" x14ac:dyDescent="0.25">
      <c r="F43" s="1" t="s">
        <v>87</v>
      </c>
      <c r="G43" s="35" t="s">
        <v>90</v>
      </c>
      <c r="H43" s="47">
        <f>8/60*150</f>
        <v>20</v>
      </c>
      <c r="I43" s="38">
        <f>0.5/60*F19</f>
        <v>1.25</v>
      </c>
      <c r="J43" s="41">
        <f>H43-I43</f>
        <v>18.75</v>
      </c>
      <c r="P43" s="35"/>
    </row>
    <row r="44" spans="5:16" x14ac:dyDescent="0.25">
      <c r="G44" s="1" t="s">
        <v>62</v>
      </c>
      <c r="H44" s="41">
        <f>(H33/12)*(8/60)</f>
        <v>1.5555555555555554</v>
      </c>
      <c r="I44" s="41">
        <f>(H33/12)*(0.5/60)</f>
        <v>9.722222222222221E-2</v>
      </c>
      <c r="J44" s="41">
        <f t="shared" ref="J44:J46" si="1">H44-I44</f>
        <v>1.458333333333333</v>
      </c>
      <c r="P44" s="35">
        <f>SUM(H33:H35)/12</f>
        <v>46.666666666666664</v>
      </c>
    </row>
    <row r="45" spans="5:16" x14ac:dyDescent="0.25">
      <c r="G45" s="1" t="s">
        <v>91</v>
      </c>
      <c r="H45" s="41">
        <f>(H34/12)*(8/60)</f>
        <v>1.5555555555555554</v>
      </c>
      <c r="I45" s="41">
        <f>(H34/12)*(0.5/60)</f>
        <v>9.722222222222221E-2</v>
      </c>
      <c r="J45" s="41">
        <f t="shared" si="1"/>
        <v>1.458333333333333</v>
      </c>
      <c r="P45" s="35"/>
    </row>
    <row r="46" spans="5:16" x14ac:dyDescent="0.25">
      <c r="G46" s="1" t="s">
        <v>92</v>
      </c>
      <c r="H46" s="41">
        <f>(H35/12)*(8/60)</f>
        <v>3.1111111111111107</v>
      </c>
      <c r="I46" s="41">
        <f>(H35/12)*(0.5/60)</f>
        <v>0.19444444444444442</v>
      </c>
      <c r="J46" s="41">
        <f t="shared" si="1"/>
        <v>2.9166666666666661</v>
      </c>
    </row>
    <row r="47" spans="5:16" x14ac:dyDescent="0.25">
      <c r="F47" s="1" t="s">
        <v>93</v>
      </c>
      <c r="H47" s="1">
        <f>3/60*F19</f>
        <v>7.5</v>
      </c>
      <c r="I47" s="1">
        <v>7.5</v>
      </c>
      <c r="P47" s="1">
        <f>8/60*197</f>
        <v>26.266666666666666</v>
      </c>
    </row>
    <row r="48" spans="5:16" x14ac:dyDescent="0.25">
      <c r="F48" s="1" t="s">
        <v>94</v>
      </c>
      <c r="H48" s="38">
        <f>3/60*F19 + F31</f>
        <v>15.899999999999999</v>
      </c>
      <c r="I48" s="1">
        <f xml:space="preserve"> 0.25/60*F19</f>
        <v>0.625</v>
      </c>
    </row>
    <row r="49" spans="6:16" x14ac:dyDescent="0.25">
      <c r="F49" s="1" t="s">
        <v>95</v>
      </c>
      <c r="H49" s="1">
        <f>4/60*F19</f>
        <v>10</v>
      </c>
      <c r="I49" s="1">
        <v>10</v>
      </c>
    </row>
    <row r="50" spans="6:16" x14ac:dyDescent="0.25">
      <c r="F50" s="1" t="s">
        <v>83</v>
      </c>
      <c r="H50" s="1">
        <v>1</v>
      </c>
      <c r="I50" s="1">
        <v>1</v>
      </c>
    </row>
    <row r="51" spans="6:16" x14ac:dyDescent="0.25">
      <c r="F51" s="1" t="s">
        <v>96</v>
      </c>
      <c r="H51" s="41">
        <f>SUM(H43:H50)</f>
        <v>60.622222222222227</v>
      </c>
      <c r="I51" s="41">
        <f>SUM(I43:I50)</f>
        <v>20.763888888888889</v>
      </c>
    </row>
    <row r="53" spans="6:16" x14ac:dyDescent="0.25">
      <c r="P53" s="1">
        <f>H48-F31</f>
        <v>7.5</v>
      </c>
    </row>
    <row r="54" spans="6:16" x14ac:dyDescent="0.25">
      <c r="I54" s="46"/>
    </row>
    <row r="55" spans="6:16" x14ac:dyDescent="0.25">
      <c r="I55" s="41">
        <f>H51-I51</f>
        <v>39.858333333333334</v>
      </c>
      <c r="K55" s="1">
        <f>I55*12</f>
        <v>478.3</v>
      </c>
    </row>
    <row r="58" spans="6:16" x14ac:dyDescent="0.25">
      <c r="G58" s="51"/>
    </row>
    <row r="60" spans="6:16" x14ac:dyDescent="0.25">
      <c r="F60" s="1" t="s">
        <v>62</v>
      </c>
      <c r="G60" s="1">
        <v>1.6</v>
      </c>
    </row>
    <row r="61" spans="6:16" x14ac:dyDescent="0.25">
      <c r="F61" s="1" t="s">
        <v>91</v>
      </c>
      <c r="G61" s="1">
        <v>1.6</v>
      </c>
      <c r="I61" s="1" t="s">
        <v>106</v>
      </c>
      <c r="J61" s="1">
        <v>150</v>
      </c>
    </row>
    <row r="62" spans="6:16" x14ac:dyDescent="0.25">
      <c r="F62" s="1" t="s">
        <v>92</v>
      </c>
      <c r="G62" s="1">
        <v>3.1</v>
      </c>
    </row>
    <row r="63" spans="6:16" x14ac:dyDescent="0.25">
      <c r="F63" s="1" t="s">
        <v>61</v>
      </c>
      <c r="G63" s="1">
        <f>7/60*3*24</f>
        <v>8.3999999999999986</v>
      </c>
    </row>
    <row r="64" spans="6:16" x14ac:dyDescent="0.25">
      <c r="F64" s="1" t="s">
        <v>104</v>
      </c>
      <c r="G64" s="1">
        <v>1</v>
      </c>
    </row>
    <row r="65" spans="6:10" x14ac:dyDescent="0.25">
      <c r="F65" s="1" t="s">
        <v>101</v>
      </c>
      <c r="G65" s="51">
        <f>8/60</f>
        <v>0.13333333333333333</v>
      </c>
    </row>
    <row r="66" spans="6:10" x14ac:dyDescent="0.25">
      <c r="F66" s="1" t="s">
        <v>102</v>
      </c>
      <c r="G66" s="1">
        <f>3/60</f>
        <v>0.05</v>
      </c>
    </row>
    <row r="67" spans="6:10" x14ac:dyDescent="0.25">
      <c r="F67" s="1" t="s">
        <v>103</v>
      </c>
      <c r="G67" s="1">
        <f>3/60</f>
        <v>0.05</v>
      </c>
      <c r="I67" s="1" t="s">
        <v>107</v>
      </c>
      <c r="J67" s="1">
        <f>SUM(G59:G64) + J61*SUM(G65:G68)</f>
        <v>60.7</v>
      </c>
    </row>
    <row r="68" spans="6:10" x14ac:dyDescent="0.25">
      <c r="F68" s="1" t="s">
        <v>105</v>
      </c>
      <c r="G68" s="51">
        <f>4/60</f>
        <v>6.6666666666666666E-2</v>
      </c>
    </row>
  </sheetData>
  <mergeCells count="4">
    <mergeCell ref="B7:K7"/>
    <mergeCell ref="M7:V7"/>
    <mergeCell ref="B6:L6"/>
    <mergeCell ref="M6:W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6"/>
  <sheetViews>
    <sheetView zoomScale="85" zoomScaleNormal="85" workbookViewId="0">
      <selection activeCell="J14" sqref="J14"/>
    </sheetView>
  </sheetViews>
  <sheetFormatPr defaultColWidth="11.42578125" defaultRowHeight="15" x14ac:dyDescent="0.25"/>
  <cols>
    <col min="2" max="2" width="12.140625" bestFit="1" customWidth="1"/>
    <col min="3" max="3" width="22" bestFit="1" customWidth="1"/>
    <col min="4" max="4" width="19.28515625" bestFit="1" customWidth="1"/>
    <col min="5" max="5" width="21.140625" hidden="1" customWidth="1"/>
    <col min="6" max="6" width="15.85546875" customWidth="1"/>
  </cols>
  <sheetData>
    <row r="3" spans="2:11" ht="72" x14ac:dyDescent="0.25">
      <c r="C3" s="48" t="s">
        <v>85</v>
      </c>
      <c r="D3" s="48" t="s">
        <v>99</v>
      </c>
      <c r="E3" s="48" t="s">
        <v>86</v>
      </c>
      <c r="F3" s="48" t="s">
        <v>98</v>
      </c>
      <c r="I3" s="60" t="s">
        <v>140</v>
      </c>
      <c r="J3">
        <v>60.6</v>
      </c>
    </row>
    <row r="4" spans="2:11" x14ac:dyDescent="0.25">
      <c r="C4" s="48"/>
      <c r="D4" s="48"/>
      <c r="E4" s="48"/>
      <c r="F4" s="48">
        <v>0</v>
      </c>
      <c r="I4" s="59" t="s">
        <v>138</v>
      </c>
      <c r="J4">
        <v>30.3</v>
      </c>
    </row>
    <row r="5" spans="2:11" x14ac:dyDescent="0.25">
      <c r="C5" s="48" t="s">
        <v>141</v>
      </c>
      <c r="D5" s="48">
        <v>26.2</v>
      </c>
      <c r="E5" s="48">
        <f>D5</f>
        <v>26.2</v>
      </c>
      <c r="F5" s="49">
        <f>E5/$E$9</f>
        <v>0.43234323432343236</v>
      </c>
      <c r="I5" s="59" t="s">
        <v>89</v>
      </c>
      <c r="J5">
        <v>20.7</v>
      </c>
    </row>
    <row r="6" spans="2:11" x14ac:dyDescent="0.25">
      <c r="C6" s="48" t="s">
        <v>139</v>
      </c>
      <c r="D6" s="18">
        <v>15.899999999999999</v>
      </c>
      <c r="E6" s="48">
        <f>E5+D6</f>
        <v>42.099999999999994</v>
      </c>
      <c r="F6" s="49">
        <f>E6/$E$9</f>
        <v>0.69471947194719474</v>
      </c>
      <c r="K6" s="58"/>
    </row>
    <row r="7" spans="2:11" x14ac:dyDescent="0.25">
      <c r="C7" s="48" t="s">
        <v>142</v>
      </c>
      <c r="D7" s="1">
        <v>10</v>
      </c>
      <c r="E7" s="48">
        <f>E6+D7</f>
        <v>52.099999999999994</v>
      </c>
      <c r="F7" s="49">
        <f>E7/$E$9</f>
        <v>0.85973597359735976</v>
      </c>
    </row>
    <row r="8" spans="2:11" x14ac:dyDescent="0.25">
      <c r="C8" s="48" t="s">
        <v>93</v>
      </c>
      <c r="D8" s="48">
        <v>7.5</v>
      </c>
      <c r="E8" s="48">
        <f>E7+D8</f>
        <v>59.599999999999994</v>
      </c>
      <c r="F8" s="49">
        <f>E8/$E$9</f>
        <v>0.98349834983498352</v>
      </c>
    </row>
    <row r="9" spans="2:11" x14ac:dyDescent="0.25">
      <c r="B9" s="50" t="s">
        <v>100</v>
      </c>
      <c r="C9" s="48" t="s">
        <v>83</v>
      </c>
      <c r="D9" s="48">
        <v>1</v>
      </c>
      <c r="E9" s="48">
        <f>E8+D9</f>
        <v>60.599999999999994</v>
      </c>
      <c r="F9" s="49">
        <f>E9/$E$9</f>
        <v>1</v>
      </c>
    </row>
    <row r="34" spans="13:13" x14ac:dyDescent="0.25">
      <c r="M34" s="60"/>
    </row>
    <row r="35" spans="13:13" x14ac:dyDescent="0.25">
      <c r="M35" s="59"/>
    </row>
    <row r="36" spans="13:13" x14ac:dyDescent="0.25">
      <c r="M36" s="59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175" zoomScaleNormal="175" workbookViewId="0">
      <selection activeCell="C3" sqref="C3"/>
    </sheetView>
  </sheetViews>
  <sheetFormatPr defaultRowHeight="15" x14ac:dyDescent="0.25"/>
  <cols>
    <col min="6" max="6" width="12.7109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8"/>
  <sheetViews>
    <sheetView workbookViewId="0">
      <selection activeCell="D17" sqref="D17"/>
    </sheetView>
  </sheetViews>
  <sheetFormatPr defaultColWidth="8.85546875" defaultRowHeight="15" x14ac:dyDescent="0.25"/>
  <cols>
    <col min="4" max="4" width="52.28515625" customWidth="1"/>
    <col min="5" max="5" width="51.42578125" bestFit="1" customWidth="1"/>
    <col min="6" max="6" width="24" bestFit="1" customWidth="1"/>
    <col min="7" max="7" width="27.85546875" bestFit="1" customWidth="1"/>
  </cols>
  <sheetData>
    <row r="4" spans="3:7" x14ac:dyDescent="0.25">
      <c r="C4" s="48" t="s">
        <v>108</v>
      </c>
      <c r="D4" s="48" t="s">
        <v>109</v>
      </c>
      <c r="E4" s="48" t="s">
        <v>110</v>
      </c>
      <c r="F4" s="48" t="s">
        <v>111</v>
      </c>
      <c r="G4" s="48" t="s">
        <v>112</v>
      </c>
    </row>
    <row r="5" spans="3:7" x14ac:dyDescent="0.25">
      <c r="C5">
        <v>1</v>
      </c>
      <c r="D5" t="s">
        <v>116</v>
      </c>
      <c r="E5" t="s">
        <v>114</v>
      </c>
      <c r="F5" s="55"/>
      <c r="G5" s="52"/>
    </row>
    <row r="6" spans="3:7" x14ac:dyDescent="0.25">
      <c r="D6" t="s">
        <v>113</v>
      </c>
      <c r="F6" s="56"/>
      <c r="G6" s="53"/>
    </row>
    <row r="7" spans="3:7" x14ac:dyDescent="0.25">
      <c r="C7">
        <v>2</v>
      </c>
      <c r="D7" t="s">
        <v>117</v>
      </c>
      <c r="E7" t="s">
        <v>115</v>
      </c>
      <c r="F7" s="56"/>
      <c r="G7" s="53"/>
    </row>
    <row r="8" spans="3:7" x14ac:dyDescent="0.25">
      <c r="D8" t="s">
        <v>118</v>
      </c>
      <c r="E8" t="s">
        <v>137</v>
      </c>
      <c r="F8" s="56"/>
      <c r="G8" s="53"/>
    </row>
    <row r="9" spans="3:7" x14ac:dyDescent="0.25">
      <c r="E9" t="s">
        <v>123</v>
      </c>
      <c r="F9" s="56"/>
      <c r="G9" s="53"/>
    </row>
    <row r="10" spans="3:7" x14ac:dyDescent="0.25">
      <c r="E10" t="s">
        <v>119</v>
      </c>
      <c r="F10" s="57"/>
      <c r="G10" s="53"/>
    </row>
    <row r="11" spans="3:7" x14ac:dyDescent="0.25">
      <c r="C11">
        <v>3</v>
      </c>
      <c r="D11" t="s">
        <v>124</v>
      </c>
      <c r="E11" t="s">
        <v>126</v>
      </c>
      <c r="F11" t="s">
        <v>128</v>
      </c>
      <c r="G11" s="53"/>
    </row>
    <row r="12" spans="3:7" x14ac:dyDescent="0.25">
      <c r="D12" t="s">
        <v>127</v>
      </c>
      <c r="E12" t="s">
        <v>125</v>
      </c>
      <c r="F12" t="s">
        <v>129</v>
      </c>
      <c r="G12" s="53"/>
    </row>
    <row r="13" spans="3:7" x14ac:dyDescent="0.25">
      <c r="F13" t="s">
        <v>130</v>
      </c>
      <c r="G13" s="53"/>
    </row>
    <row r="14" spans="3:7" x14ac:dyDescent="0.25">
      <c r="F14" t="s">
        <v>131</v>
      </c>
      <c r="G14" s="54"/>
    </row>
    <row r="15" spans="3:7" x14ac:dyDescent="0.25">
      <c r="C15">
        <v>4</v>
      </c>
      <c r="D15" t="s">
        <v>133</v>
      </c>
      <c r="E15" t="s">
        <v>136</v>
      </c>
      <c r="G15" s="52"/>
    </row>
    <row r="16" spans="3:7" x14ac:dyDescent="0.25">
      <c r="D16" t="s">
        <v>134</v>
      </c>
      <c r="E16" t="s">
        <v>135</v>
      </c>
      <c r="G16" s="54"/>
    </row>
    <row r="17" spans="3:7" x14ac:dyDescent="0.25">
      <c r="C17">
        <v>5</v>
      </c>
      <c r="D17" t="s">
        <v>121</v>
      </c>
      <c r="E17" t="s">
        <v>120</v>
      </c>
      <c r="G17" s="52"/>
    </row>
    <row r="18" spans="3:7" x14ac:dyDescent="0.25">
      <c r="D18" t="s">
        <v>122</v>
      </c>
      <c r="E18" t="s">
        <v>132</v>
      </c>
      <c r="G18" s="54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A10" zoomScaleNormal="100" workbookViewId="0">
      <selection activeCell="I13" sqref="I13"/>
    </sheetView>
  </sheetViews>
  <sheetFormatPr defaultColWidth="9.140625" defaultRowHeight="15" x14ac:dyDescent="0.25"/>
  <cols>
    <col min="1" max="1" width="10.42578125" style="1" bestFit="1" customWidth="1"/>
    <col min="2" max="2" width="11.28515625" style="1" customWidth="1"/>
    <col min="3" max="23" width="8.85546875" style="1" customWidth="1"/>
    <col min="24" max="28" width="9.140625" style="1"/>
    <col min="29" max="29" width="10.85546875" style="1" bestFit="1" customWidth="1"/>
    <col min="30" max="16384" width="9.140625" style="1"/>
  </cols>
  <sheetData>
    <row r="2" spans="1:23" ht="18.75" x14ac:dyDescent="0.25">
      <c r="B2" s="24" t="s">
        <v>40</v>
      </c>
      <c r="L2" s="1" t="s">
        <v>31</v>
      </c>
    </row>
    <row r="4" spans="1:23" x14ac:dyDescent="0.25">
      <c r="B4" s="2" t="s">
        <v>27</v>
      </c>
    </row>
    <row r="5" spans="1:23" x14ac:dyDescent="0.25">
      <c r="B5" s="2"/>
    </row>
    <row r="6" spans="1:23" x14ac:dyDescent="0.25">
      <c r="A6" s="73" t="s">
        <v>47</v>
      </c>
      <c r="B6" s="67" t="s">
        <v>16</v>
      </c>
      <c r="C6" s="68"/>
      <c r="D6" s="68"/>
      <c r="E6" s="68"/>
      <c r="F6" s="68"/>
      <c r="G6" s="68"/>
      <c r="H6" s="68"/>
      <c r="I6" s="68"/>
      <c r="J6" s="68"/>
      <c r="K6" s="68"/>
      <c r="L6" s="69"/>
      <c r="M6" s="67" t="s">
        <v>17</v>
      </c>
      <c r="N6" s="68"/>
      <c r="O6" s="68"/>
      <c r="P6" s="68"/>
      <c r="Q6" s="68"/>
      <c r="R6" s="68"/>
      <c r="S6" s="68"/>
      <c r="T6" s="68"/>
      <c r="U6" s="68"/>
      <c r="V6" s="68"/>
      <c r="W6" s="69"/>
    </row>
    <row r="7" spans="1:23" x14ac:dyDescent="0.25">
      <c r="A7" s="75"/>
      <c r="B7" s="67" t="s">
        <v>18</v>
      </c>
      <c r="C7" s="68"/>
      <c r="D7" s="68"/>
      <c r="E7" s="68"/>
      <c r="F7" s="68"/>
      <c r="G7" s="68"/>
      <c r="H7" s="68"/>
      <c r="I7" s="68"/>
      <c r="J7" s="68"/>
      <c r="K7" s="69"/>
      <c r="L7" s="3" t="s">
        <v>19</v>
      </c>
      <c r="M7" s="70" t="s">
        <v>18</v>
      </c>
      <c r="N7" s="71"/>
      <c r="O7" s="71"/>
      <c r="P7" s="71"/>
      <c r="Q7" s="71"/>
      <c r="R7" s="71"/>
      <c r="S7" s="71"/>
      <c r="T7" s="71"/>
      <c r="U7" s="71"/>
      <c r="V7" s="72"/>
      <c r="W7" s="25" t="s">
        <v>19</v>
      </c>
    </row>
    <row r="8" spans="1:23" x14ac:dyDescent="0.25">
      <c r="A8" s="76" t="s">
        <v>58</v>
      </c>
      <c r="B8" s="6" t="s">
        <v>52</v>
      </c>
      <c r="C8" s="7"/>
      <c r="D8" s="7"/>
      <c r="E8" s="7"/>
      <c r="F8" s="7"/>
      <c r="G8" s="7"/>
      <c r="H8" s="7"/>
      <c r="I8" s="7"/>
      <c r="J8" s="27"/>
      <c r="K8" s="27"/>
      <c r="L8" s="8">
        <v>1</v>
      </c>
      <c r="M8" s="9" t="s">
        <v>41</v>
      </c>
      <c r="N8" s="7"/>
      <c r="O8" s="7"/>
      <c r="P8" s="7"/>
      <c r="Q8" s="7"/>
      <c r="R8" s="7"/>
      <c r="S8" s="7"/>
      <c r="T8" s="7"/>
      <c r="U8" s="7"/>
      <c r="V8" s="7"/>
      <c r="W8" s="8">
        <v>0.1</v>
      </c>
    </row>
    <row r="9" spans="1:23" x14ac:dyDescent="0.25">
      <c r="A9" s="74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5">
      <c r="A10" s="74"/>
      <c r="B10" s="2" t="s">
        <v>42</v>
      </c>
      <c r="L10" s="8">
        <v>4</v>
      </c>
      <c r="M10" s="9" t="s">
        <v>43</v>
      </c>
      <c r="N10" s="7"/>
      <c r="O10" s="7"/>
      <c r="P10" s="7"/>
      <c r="Q10" s="7"/>
      <c r="R10" s="7"/>
      <c r="S10" s="7"/>
      <c r="T10" s="7"/>
      <c r="U10" s="7"/>
      <c r="V10" s="7"/>
      <c r="W10" s="8">
        <v>4.2</v>
      </c>
    </row>
    <row r="11" spans="1:23" x14ac:dyDescent="0.25">
      <c r="A11" s="74"/>
      <c r="L11" s="10"/>
      <c r="M11" s="11"/>
      <c r="W11" s="10"/>
    </row>
    <row r="12" spans="1:23" ht="14.45" customHeight="1" x14ac:dyDescent="0.25">
      <c r="A12" s="74"/>
      <c r="B12" s="9" t="s">
        <v>44</v>
      </c>
      <c r="C12" s="7"/>
      <c r="D12" s="7"/>
      <c r="E12" s="7"/>
      <c r="F12" s="7"/>
      <c r="G12" s="7"/>
      <c r="H12" s="7"/>
      <c r="I12" s="7"/>
      <c r="J12" s="27"/>
      <c r="K12" s="27"/>
      <c r="L12" s="8">
        <v>9</v>
      </c>
      <c r="M12" s="9" t="s">
        <v>44</v>
      </c>
      <c r="N12" s="7"/>
      <c r="O12" s="7"/>
      <c r="P12" s="7"/>
      <c r="Q12" s="7"/>
      <c r="R12" s="7"/>
      <c r="S12" s="7"/>
      <c r="T12" s="7"/>
      <c r="U12" s="7"/>
      <c r="V12" s="7"/>
      <c r="W12" s="8">
        <v>10</v>
      </c>
    </row>
    <row r="13" spans="1:23" ht="14.45" customHeight="1" x14ac:dyDescent="0.25">
      <c r="A13" s="74"/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45" customHeight="1" x14ac:dyDescent="0.25">
      <c r="A14" s="74"/>
      <c r="B14" s="9" t="s">
        <v>45</v>
      </c>
      <c r="C14" s="7"/>
      <c r="D14" s="7"/>
      <c r="E14" s="7"/>
      <c r="F14" s="7"/>
      <c r="G14" s="7"/>
      <c r="H14" s="7"/>
      <c r="I14" s="7"/>
      <c r="J14" s="27"/>
      <c r="K14" s="27"/>
      <c r="L14" s="8">
        <v>1.5</v>
      </c>
      <c r="M14" s="9" t="s">
        <v>46</v>
      </c>
      <c r="N14" s="7"/>
      <c r="O14" s="7"/>
      <c r="P14" s="7"/>
      <c r="Q14" s="7"/>
      <c r="R14" s="7"/>
      <c r="S14" s="7"/>
      <c r="T14" s="7"/>
      <c r="U14" s="7"/>
      <c r="V14" s="7"/>
      <c r="W14" s="8">
        <v>0</v>
      </c>
    </row>
    <row r="15" spans="1:23" ht="14.45" customHeight="1" x14ac:dyDescent="0.25">
      <c r="A15" s="75"/>
      <c r="B15" s="30"/>
      <c r="C15" s="12"/>
      <c r="D15" s="12"/>
      <c r="E15" s="12"/>
      <c r="F15" s="12"/>
      <c r="G15" s="12"/>
      <c r="H15" s="12"/>
      <c r="I15" s="12"/>
      <c r="J15" s="31"/>
      <c r="K15" s="31"/>
      <c r="L15" s="26"/>
      <c r="M15" s="30"/>
      <c r="N15" s="12"/>
      <c r="O15" s="12"/>
      <c r="P15" s="12"/>
      <c r="Q15" s="12"/>
      <c r="R15" s="12"/>
      <c r="S15" s="12"/>
      <c r="T15" s="12"/>
      <c r="U15" s="12"/>
      <c r="V15" s="12"/>
      <c r="W15" s="26"/>
    </row>
    <row r="16" spans="1:23" x14ac:dyDescent="0.25">
      <c r="A16" s="73" t="s">
        <v>48</v>
      </c>
      <c r="B16" s="6" t="s">
        <v>49</v>
      </c>
      <c r="C16" s="7"/>
      <c r="D16" s="7"/>
      <c r="E16" s="7"/>
      <c r="F16" s="7"/>
      <c r="G16" s="7"/>
      <c r="H16" s="7"/>
      <c r="I16" s="7"/>
      <c r="J16" s="27"/>
      <c r="K16" s="27"/>
      <c r="L16" s="8">
        <v>15</v>
      </c>
      <c r="M16" s="6" t="s">
        <v>50</v>
      </c>
      <c r="N16" s="7"/>
      <c r="O16" s="7"/>
      <c r="P16" s="7"/>
      <c r="Q16" s="7"/>
      <c r="R16" s="7"/>
      <c r="S16" s="7"/>
      <c r="T16" s="7"/>
      <c r="U16" s="27"/>
      <c r="V16" s="27"/>
      <c r="W16" s="8">
        <v>15</v>
      </c>
    </row>
    <row r="17" spans="1:23" x14ac:dyDescent="0.25">
      <c r="A17" s="74"/>
      <c r="B17" s="30"/>
      <c r="C17" s="12"/>
      <c r="D17" s="12"/>
      <c r="E17" s="12"/>
      <c r="F17" s="12"/>
      <c r="G17" s="12"/>
      <c r="H17" s="12"/>
      <c r="I17" s="12"/>
      <c r="J17" s="31"/>
      <c r="K17" s="33"/>
      <c r="L17" s="26"/>
      <c r="M17" s="30"/>
      <c r="N17" s="12"/>
      <c r="O17" s="12"/>
      <c r="P17" s="12"/>
      <c r="Q17" s="12"/>
      <c r="R17" s="12"/>
      <c r="S17" s="12"/>
      <c r="T17" s="12"/>
      <c r="U17" s="31"/>
      <c r="V17" s="33"/>
      <c r="W17" s="26"/>
    </row>
    <row r="18" spans="1:23" x14ac:dyDescent="0.25">
      <c r="A18" s="74"/>
      <c r="B18" s="2" t="s">
        <v>51</v>
      </c>
      <c r="L18" s="8">
        <v>1</v>
      </c>
      <c r="M18" s="9" t="s">
        <v>53</v>
      </c>
      <c r="N18" s="7"/>
      <c r="O18" s="7"/>
      <c r="P18" s="7"/>
      <c r="Q18" s="7"/>
      <c r="R18" s="7"/>
      <c r="S18" s="7"/>
      <c r="T18" s="7"/>
      <c r="U18" s="7"/>
      <c r="V18" s="7"/>
      <c r="W18" s="8">
        <v>0.15</v>
      </c>
    </row>
    <row r="19" spans="1:23" x14ac:dyDescent="0.25">
      <c r="A19" s="74"/>
      <c r="L19" s="10"/>
      <c r="M19" s="11"/>
      <c r="W19" s="10"/>
    </row>
    <row r="20" spans="1:23" ht="14.45" customHeight="1" x14ac:dyDescent="0.25">
      <c r="A20" s="74"/>
      <c r="B20" s="9" t="s">
        <v>54</v>
      </c>
      <c r="C20" s="7"/>
      <c r="D20" s="7"/>
      <c r="E20" s="7"/>
      <c r="F20" s="7"/>
      <c r="G20" s="7"/>
      <c r="H20" s="7"/>
      <c r="I20" s="7"/>
      <c r="J20" s="27"/>
      <c r="K20" s="27"/>
      <c r="L20" s="8">
        <v>2</v>
      </c>
      <c r="M20" s="9" t="s">
        <v>54</v>
      </c>
      <c r="N20" s="7"/>
      <c r="O20" s="7"/>
      <c r="P20" s="7"/>
      <c r="Q20" s="7"/>
      <c r="R20" s="7"/>
      <c r="S20" s="7"/>
      <c r="T20" s="7"/>
      <c r="U20" s="7"/>
      <c r="V20" s="7"/>
      <c r="W20" s="8">
        <v>2</v>
      </c>
    </row>
    <row r="21" spans="1:23" ht="14.45" customHeight="1" x14ac:dyDescent="0.25">
      <c r="A21" s="74"/>
      <c r="B21" s="30"/>
      <c r="C21" s="12"/>
      <c r="D21" s="12"/>
      <c r="E21" s="12"/>
      <c r="F21" s="12"/>
      <c r="G21" s="12"/>
      <c r="H21" s="12"/>
      <c r="I21" s="12"/>
      <c r="J21" s="31"/>
      <c r="K21" s="31"/>
      <c r="L21" s="26"/>
      <c r="M21" s="30"/>
      <c r="N21" s="12"/>
      <c r="O21" s="12"/>
      <c r="P21" s="12"/>
      <c r="Q21" s="12"/>
      <c r="R21" s="12"/>
      <c r="S21" s="12"/>
      <c r="T21" s="12"/>
      <c r="U21" s="12"/>
      <c r="V21" s="12"/>
      <c r="W21" s="26"/>
    </row>
    <row r="22" spans="1:23" ht="14.45" customHeight="1" x14ac:dyDescent="0.25">
      <c r="A22" s="74"/>
      <c r="B22" s="9" t="s">
        <v>45</v>
      </c>
      <c r="C22" s="7"/>
      <c r="D22" s="7"/>
      <c r="E22" s="7"/>
      <c r="F22" s="7"/>
      <c r="G22" s="7"/>
      <c r="H22" s="7"/>
      <c r="I22" s="7"/>
      <c r="J22" s="27"/>
      <c r="K22" s="27"/>
      <c r="L22" s="8">
        <v>1.5</v>
      </c>
      <c r="M22" s="9" t="s">
        <v>46</v>
      </c>
      <c r="N22" s="7"/>
      <c r="O22" s="7"/>
      <c r="P22" s="7"/>
      <c r="Q22" s="7"/>
      <c r="R22" s="7"/>
      <c r="S22" s="7"/>
      <c r="T22" s="7"/>
      <c r="U22" s="7"/>
      <c r="V22" s="7"/>
      <c r="W22" s="8">
        <v>0</v>
      </c>
    </row>
    <row r="23" spans="1:23" ht="14.45" customHeight="1" x14ac:dyDescent="0.25">
      <c r="A23" s="75"/>
      <c r="B23" s="30"/>
      <c r="C23" s="12"/>
      <c r="D23" s="12"/>
      <c r="E23" s="12"/>
      <c r="F23" s="12"/>
      <c r="G23" s="12"/>
      <c r="H23" s="12"/>
      <c r="I23" s="12"/>
      <c r="J23" s="31"/>
      <c r="K23" s="31"/>
      <c r="L23" s="26"/>
      <c r="M23" s="30"/>
      <c r="N23" s="12"/>
      <c r="O23" s="12"/>
      <c r="P23" s="12"/>
      <c r="Q23" s="12"/>
      <c r="R23" s="12"/>
      <c r="S23" s="12"/>
      <c r="T23" s="12"/>
      <c r="U23" s="12"/>
      <c r="V23" s="12"/>
      <c r="W23" s="26"/>
    </row>
    <row r="24" spans="1:23" ht="14.45" customHeight="1" x14ac:dyDescent="0.25">
      <c r="B24" s="13" t="s">
        <v>20</v>
      </c>
      <c r="C24" s="14"/>
      <c r="D24" s="14"/>
      <c r="E24" s="14"/>
      <c r="F24" s="14"/>
      <c r="G24" s="14"/>
      <c r="H24" s="14"/>
      <c r="I24" s="14"/>
      <c r="J24" s="5"/>
      <c r="K24" s="5"/>
      <c r="L24" s="15">
        <f>SUM(L8:L23)</f>
        <v>35</v>
      </c>
      <c r="M24" s="13" t="s">
        <v>20</v>
      </c>
      <c r="N24" s="14"/>
      <c r="O24" s="14"/>
      <c r="P24" s="14"/>
      <c r="Q24" s="14"/>
      <c r="R24" s="14"/>
      <c r="S24" s="14"/>
      <c r="T24" s="14"/>
      <c r="U24" s="14"/>
      <c r="V24" s="14"/>
      <c r="W24" s="15">
        <f>SUM(W8:W23)</f>
        <v>31.45</v>
      </c>
    </row>
    <row r="26" spans="1:23" x14ac:dyDescent="0.25">
      <c r="B26" s="16" t="s">
        <v>3</v>
      </c>
    </row>
    <row r="27" spans="1:23" x14ac:dyDescent="0.25">
      <c r="B27" s="16" t="s">
        <v>22</v>
      </c>
      <c r="F27" s="1">
        <f>94+20</f>
        <v>114</v>
      </c>
      <c r="G27" s="1" t="s">
        <v>23</v>
      </c>
      <c r="H27" s="39" t="s">
        <v>59</v>
      </c>
    </row>
    <row r="28" spans="1:23" x14ac:dyDescent="0.25">
      <c r="B28" s="16" t="s">
        <v>25</v>
      </c>
      <c r="F28" s="1">
        <f>L24-W24</f>
        <v>3.5500000000000007</v>
      </c>
      <c r="G28" s="1" t="s">
        <v>24</v>
      </c>
      <c r="H28" s="1">
        <f>F28*F27</f>
        <v>404.7000000000001</v>
      </c>
      <c r="I28" s="1" t="s">
        <v>26</v>
      </c>
    </row>
    <row r="29" spans="1:23" x14ac:dyDescent="0.25">
      <c r="B29" s="16" t="s">
        <v>21</v>
      </c>
      <c r="F29" s="1">
        <f>(H28/60)*H29</f>
        <v>1112.9250000000004</v>
      </c>
      <c r="G29" s="1" t="s">
        <v>29</v>
      </c>
      <c r="H29" s="1">
        <v>165</v>
      </c>
      <c r="I29" s="19" t="s">
        <v>28</v>
      </c>
    </row>
    <row r="30" spans="1:23" x14ac:dyDescent="0.25">
      <c r="B30" s="16"/>
      <c r="F30" s="1">
        <f>F29/1000</f>
        <v>1.1129250000000004</v>
      </c>
      <c r="G30" s="1" t="s">
        <v>30</v>
      </c>
    </row>
    <row r="31" spans="1:23" ht="15.75" customHeight="1" x14ac:dyDescent="0.25">
      <c r="C31" s="23"/>
      <c r="D31" s="23"/>
      <c r="E31" s="23"/>
      <c r="F31" s="23"/>
      <c r="G31" s="23"/>
      <c r="H31" s="23"/>
      <c r="I31" s="23"/>
      <c r="J31" s="23"/>
      <c r="K31" s="23"/>
    </row>
    <row r="32" spans="1:23" x14ac:dyDescent="0.25">
      <c r="B32" s="18"/>
      <c r="C32" s="22" t="s">
        <v>8</v>
      </c>
      <c r="D32" s="20" t="s">
        <v>9</v>
      </c>
      <c r="E32" s="20" t="s">
        <v>10</v>
      </c>
      <c r="F32" s="20" t="s">
        <v>11</v>
      </c>
      <c r="G32" s="20" t="s">
        <v>12</v>
      </c>
      <c r="H32" s="21" t="s">
        <v>13</v>
      </c>
      <c r="I32" s="21" t="s">
        <v>14</v>
      </c>
      <c r="J32" s="21" t="s">
        <v>15</v>
      </c>
      <c r="K32" s="21" t="s">
        <v>4</v>
      </c>
      <c r="L32" s="21" t="s">
        <v>5</v>
      </c>
      <c r="M32" s="20" t="s">
        <v>6</v>
      </c>
      <c r="N32" s="20" t="s">
        <v>7</v>
      </c>
    </row>
    <row r="33" spans="2:14" x14ac:dyDescent="0.25">
      <c r="B33" s="17" t="s">
        <v>1</v>
      </c>
      <c r="C33" s="32">
        <f>$F$30</f>
        <v>1.1129250000000004</v>
      </c>
      <c r="D33" s="32">
        <f t="shared" ref="D33:N33" si="0">$F$30</f>
        <v>1.1129250000000004</v>
      </c>
      <c r="E33" s="32">
        <f t="shared" si="0"/>
        <v>1.1129250000000004</v>
      </c>
      <c r="F33" s="32">
        <f t="shared" si="0"/>
        <v>1.1129250000000004</v>
      </c>
      <c r="G33" s="32">
        <f t="shared" si="0"/>
        <v>1.1129250000000004</v>
      </c>
      <c r="H33" s="32">
        <f t="shared" si="0"/>
        <v>1.1129250000000004</v>
      </c>
      <c r="I33" s="32">
        <f t="shared" si="0"/>
        <v>1.1129250000000004</v>
      </c>
      <c r="J33" s="32">
        <f t="shared" si="0"/>
        <v>1.1129250000000004</v>
      </c>
      <c r="K33" s="32">
        <f t="shared" si="0"/>
        <v>1.1129250000000004</v>
      </c>
      <c r="L33" s="32">
        <f t="shared" si="0"/>
        <v>1.1129250000000004</v>
      </c>
      <c r="M33" s="32">
        <f t="shared" si="0"/>
        <v>1.1129250000000004</v>
      </c>
      <c r="N33" s="32">
        <f t="shared" si="0"/>
        <v>1.1129250000000004</v>
      </c>
    </row>
    <row r="34" spans="2:14" x14ac:dyDescent="0.25">
      <c r="B34" s="18" t="s">
        <v>2</v>
      </c>
      <c r="C34" s="20" t="s">
        <v>0</v>
      </c>
      <c r="D34" s="20" t="s">
        <v>0</v>
      </c>
      <c r="E34" s="20" t="s">
        <v>0</v>
      </c>
      <c r="F34" s="20" t="s">
        <v>0</v>
      </c>
      <c r="G34" s="20" t="s">
        <v>0</v>
      </c>
      <c r="H34" s="20" t="s">
        <v>0</v>
      </c>
      <c r="I34" s="20" t="s">
        <v>0</v>
      </c>
      <c r="J34" s="20" t="s">
        <v>0</v>
      </c>
      <c r="K34" s="20" t="s">
        <v>0</v>
      </c>
      <c r="L34" s="20" t="s">
        <v>0</v>
      </c>
      <c r="M34" s="20" t="s">
        <v>0</v>
      </c>
      <c r="N34" s="20" t="s">
        <v>0</v>
      </c>
    </row>
    <row r="35" spans="2:14" x14ac:dyDescent="0.25">
      <c r="C35" s="2"/>
      <c r="D35" s="2"/>
      <c r="E35" s="2"/>
      <c r="F35" s="2"/>
      <c r="G35" s="2"/>
      <c r="H35" s="2"/>
      <c r="I35" s="2"/>
      <c r="J35" s="2"/>
      <c r="K35" s="2"/>
      <c r="L35" s="19"/>
    </row>
    <row r="38" spans="2:14" x14ac:dyDescent="0.25">
      <c r="C38" s="36" t="s">
        <v>56</v>
      </c>
      <c r="D38" s="37">
        <f>(F27*F28)/60</f>
        <v>6.7450000000000019</v>
      </c>
      <c r="E38" s="38" t="s">
        <v>55</v>
      </c>
    </row>
    <row r="39" spans="2:14" x14ac:dyDescent="0.25">
      <c r="C39" s="34"/>
      <c r="D39" s="35"/>
    </row>
  </sheetData>
  <mergeCells count="7">
    <mergeCell ref="A16:A23"/>
    <mergeCell ref="B6:L6"/>
    <mergeCell ref="M6:W6"/>
    <mergeCell ref="B7:K7"/>
    <mergeCell ref="M7:V7"/>
    <mergeCell ref="A8:A15"/>
    <mergeCell ref="A6:A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Topic 1</vt:lpstr>
      <vt:lpstr>Pareto</vt:lpstr>
      <vt:lpstr>Sheet2</vt:lpstr>
      <vt:lpstr>Phân tích nguyên nhân</vt:lpstr>
      <vt:lpstr>Topic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2024-12-17T11:48:05Z</dcterms:modified>
</cp:coreProperties>
</file>