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DADOS_DANOS" sheetId="17" state="hidden" r:id="rId17"/>
    <sheet xmlns:r="http://schemas.openxmlformats.org/officeDocument/2006/relationships" name="DADOS_FORMAS" sheetId="18" state="hidden" r:id="rId18"/>
    <sheet xmlns:r="http://schemas.openxmlformats.org/officeDocument/2006/relationships" name="DADOS_APTIDOES" sheetId="19" state="hidden" r:id="rId19"/>
    <sheet xmlns:r="http://schemas.openxmlformats.org/officeDocument/2006/relationships" name="DADOS_TALENTOS" sheetId="20" state="hidden" r:id="rId20"/>
    <sheet xmlns:r="http://schemas.openxmlformats.org/officeDocument/2006/relationships" name="DADOS_ENTIDADES" sheetId="21" state="hidden" r:id="rId21"/>
    <sheet xmlns:r="http://schemas.openxmlformats.org/officeDocument/2006/relationships" name="ANALISE" sheetId="22" state="hidden" r:id="rId22"/>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53" authorId="0" shapeId="0">
      <text>
        <t>Cadastro de Família custom. Nome único; estado vale para a técnica do personagem.</t>
      </text>
    </comment>
    <comment ref="J155" authorId="0" shapeId="0">
      <text>
        <t>Troque o tipo e revise os valores que já estavam guardados.</t>
      </text>
    </comment>
    <comment ref="N155" authorId="0" shapeId="0">
      <text>
        <t>Lembrete do jogador; aprovação só pelo bot no chat.</t>
      </text>
    </comment>
    <comment ref="B156" authorId="0" shapeId="0">
      <text>
        <t>Cadastro de Família custom. Nome único; estado vale para a técnica do personagem.</t>
      </text>
    </comment>
    <comment ref="E156" authorId="0" shapeId="0">
      <text>
        <t>Cadastro de Família custom. Nome único; estado vale para a técnica do personagem.</t>
      </text>
    </comment>
    <comment ref="F156" authorId="0" shapeId="0">
      <text>
        <t>Cadastro de Família custom. Nome único; estado vale para a técnica do personagem.</t>
      </text>
    </comment>
    <comment ref="G156" authorId="0" shapeId="0">
      <text>
        <t>Cadastro de Família custom. Nome único; estado vale para a técnica do personagem.</t>
      </text>
    </comment>
    <comment ref="B157" authorId="0" shapeId="0">
      <text>
        <t>Quantidade da técnica do personagem. Não muda os limites das entidades. Campanha em branco usa o livro; Neutras é o total válido menos Livres e Fechadas.</t>
      </text>
    </comment>
    <comment ref="E157" authorId="0" shapeId="0">
      <text>
        <t>Quantidade da técnica do personagem. Não muda os limites das entidades. Campanha em branco usa o livro; Neutras é o total válido menos Livres e Fechadas.</t>
      </text>
    </comment>
    <comment ref="F157" authorId="0" shapeId="0">
      <text>
        <t>Quantidade da técnica do personagem. Não muda os limites das entidades. Campanha em branco usa o livro; Neutras é o total válido menos Livres e Fechadas.</t>
      </text>
    </comment>
    <comment ref="G157" authorId="0" shapeId="0">
      <text>
        <t>Quantidade da técnica do personagem. Não muda os limites das entidades. Campanha em branco usa o livro; Neutras é o total válido menos Livres e Fechadas.</t>
      </text>
    </comment>
    <comment ref="J157" authorId="0" shapeId="0">
      <text>
        <t>Nome único. Capacidades apontam para o nome da Origem, do livro ou custom.</t>
      </text>
    </comment>
    <comment ref="B158" authorId="0" shapeId="0">
      <text>
        <t>Quantidade da técnica do personagem. Não muda os limites das entidades. Campanha em branco usa o livro; Neutras é o total válido menos Livres e Fechadas.</t>
      </text>
    </comment>
    <comment ref="E158" authorId="0" shapeId="0">
      <text>
        <t>Quantidade da técnica do personagem. Não muda os limites das entidades. Campanha em branco usa o livro; Neutras é o total válido menos Livres e Fechadas.</t>
      </text>
    </comment>
    <comment ref="F158"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B159" authorId="0" shapeId="0">
      <text>
        <t>Quantidade da técnica do personagem. Não muda os limites das entidades. Campanha em branco usa o livro; Neutras é o total válido menos Livres e Fechadas.</t>
      </text>
    </comment>
    <comment ref="E159" authorId="0" shapeId="0">
      <text>
        <t>Quantidade da técnica do personagem. Não muda os limites das entidades. Campanha em branco usa o livro; Neutras é o total válido menos Livres e Fechadas.</t>
      </text>
    </comment>
    <comment ref="F159" authorId="0" shapeId="0">
      <text>
        <t>Quantidade da técnica do personagem. Não muda os limites das entidades. Campanha em branco usa o livro; Neutras é o total válido menos Livres e Fechadas.</t>
      </text>
    </comment>
    <comment ref="G159" authorId="0" shapeId="0">
      <text>
        <t>Quantidade da técnica do personagem. Não muda os limites das entidades. Campanha em branco usa o livro; Neutras é o total válido menos Livres e Fechadas.</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B160" authorId="0" shapeId="0">
      <text>
        <t>Quantidade da técnica do personagem. Não muda os limites das entidades. Campanha em branco usa o livro; Neutras é o total válido menos Livres e Fechadas.</t>
      </text>
    </comment>
    <comment ref="E160" authorId="0" shapeId="0">
      <text>
        <t>Quantidade da técnica do personagem. Não muda os limites das entidades. Campanha em branco usa o livro; Neutras é o total válido menos Livres e Fechadas.</t>
      </text>
    </comment>
    <comment ref="F160" authorId="0" shapeId="0">
      <text>
        <t>Quantidade da técnica do personagem. Não muda os limites das entidades. Campanha em branco usa o livro; Neutras é o total válido menos Livres e Fechadas.</t>
      </text>
    </comment>
    <comment ref="G160" authorId="0" shapeId="0">
      <text>
        <t>Quantidade da técnica do personagem. Não muda os limites das entidades. Campanha em branco usa o livro; Neutras é o total válido menos Livres e Fechadas.</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62" authorId="0" shapeId="0">
      <text>
        <t>Aviso de quantidades incompatíveis ou de entrada inválida. Não concede Famílias adicionais.</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797" authorId="0" shapeId="0">
      <text>
        <t>Conteúdo custom da parte 3b. Aprovação ocorre pelo bot no chat.</t>
      </text>
    </comment>
    <comment ref="J797" authorId="0" shapeId="0">
      <text>
        <t>Conteúdo custom da parte 3b. Aprovação ocorre pelo bot no chat.</t>
      </text>
    </comment>
    <comment ref="B798" authorId="0" shapeId="0">
      <text>
        <t>Campo do molde aprovado. Use o menu quando disponível; números do Caminho usam as mesmas contas do livro. MESTRE VIU é apenas um lembrete.</t>
      </text>
    </comment>
    <comment ref="F798" authorId="0" shapeId="0">
      <text>
        <t>Campo do molde aprovado. Use o menu quando disponível; números do Caminho usam as mesmas contas do livro. MESTRE VIU é apenas um lembrete.</t>
      </text>
    </comment>
    <comment ref="J798" authorId="0" shapeId="0">
      <text>
        <t>Campo do molde aprovado. Use o menu quando disponível; números do Caminho usam as mesmas contas do livro. MESTRE VIU é apenas um lembrete.</t>
      </text>
    </comment>
    <comment ref="N798" authorId="0" shapeId="0">
      <text>
        <t>Campo do molde aprovado. Use o menu quando disponível; números do Caminho usam as mesmas contas do livro. MESTRE VIU é apenas um lembrete.</t>
      </text>
    </comment>
    <comment ref="B799" authorId="0" shapeId="0">
      <text>
        <t>Campo do molde aprovado. Use o menu quando disponível; números do Caminho usam as mesmas contas do livro. MESTRE VIU é apenas um lembrete.</t>
      </text>
    </comment>
    <comment ref="F799" authorId="0" shapeId="0">
      <text>
        <t>Campo do molde aprovado. Use o menu quando disponível; números do Caminho usam as mesmas contas do livro. MESTRE VIU é apenas um lembrete.</t>
      </text>
    </comment>
    <comment ref="J799" authorId="0" shapeId="0">
      <text>
        <t>Campo do molde aprovado. Use o menu quando disponível; números do Caminho usam as mesmas contas do livro. MESTRE VIU é apenas um lembrete.</t>
      </text>
    </comment>
    <comment ref="N799" authorId="0" shapeId="0">
      <text>
        <t>Campo do molde aprovado. Use o menu quando disponível; números do Caminho usam as mesmas contas do livro. MESTRE VIU é apenas um lembrete.</t>
      </text>
    </comment>
    <comment ref="B800" authorId="0" shapeId="0">
      <text>
        <t>Campo do molde aprovado. Use o menu quando disponível; números do Caminho usam as mesmas contas do livro. MESTRE VIU é apenas um lembrete.</t>
      </text>
    </comment>
    <comment ref="J800" authorId="0" shapeId="0">
      <text>
        <t>Campo do molde aprovado. Use o menu quando disponível; números do Caminho usam as mesmas contas do livro. MESTRE VIU é apenas um lembrete.</t>
      </text>
    </comment>
    <comment ref="B801" authorId="0" shapeId="0">
      <text>
        <t>Campo do molde aprovado. Use o menu quando disponível; números do Caminho usam as mesmas contas do livro. MESTRE VIU é apenas um lembrete.</t>
      </text>
    </comment>
    <comment ref="J801" authorId="0" shapeId="0">
      <text>
        <t>Campo do molde aprovado. Use o menu quando disponível; números do Caminho usam as mesmas contas do livro. MESTRE VIU é apenas um lembrete.</t>
      </text>
    </comment>
    <comment ref="B802" authorId="0" shapeId="0">
      <text>
        <t>Campo do molde aprovado. Use o menu quando disponível; números do Caminho usam as mesmas contas do livro. MESTRE VIU é apenas um lembrete.</t>
      </text>
    </comment>
    <comment ref="E802" authorId="0" shapeId="0">
      <text>
        <t>Campo do molde aprovado. Use o menu quando disponível; números do Caminho usam as mesmas contas do livro. MESTRE VIU é apenas um lembrete.</t>
      </text>
    </comment>
    <comment ref="J802" authorId="0" shapeId="0">
      <text>
        <t>Campo do molde aprovado. Use o menu quando disponível; números do Caminho usam as mesmas contas do livro. MESTRE VIU é apenas um lembrete.</t>
      </text>
    </comment>
    <comment ref="M802" authorId="0" shapeId="0">
      <text>
        <t>Campo do molde aprovado. Use o menu quando disponível; números do Caminho usam as mesmas contas do livro. MESTRE VIU é apenas um lembrete.</t>
      </text>
    </comment>
    <comment ref="B803" authorId="0" shapeId="0">
      <text>
        <t>Campo do molde aprovado. Use o menu quando disponível; números do Caminho usam as mesmas contas do livro. MESTRE VIU é apenas um lembrete.</t>
      </text>
    </comment>
    <comment ref="J803" authorId="0" shapeId="0">
      <text>
        <t>Campo do molde aprovado. Use o menu quando disponível; números do Caminho usam as mesmas contas do livro. MESTRE VIU é apenas um lembrete.</t>
      </text>
    </comment>
    <comment ref="B804" authorId="0" shapeId="0">
      <text>
        <t>Campo do molde aprovado. Use o menu quando disponível; números do Caminho usam as mesmas contas do livro. MESTRE VIU é apenas um lembrete.</t>
      </text>
    </comment>
    <comment ref="J804" authorId="0" shapeId="0">
      <text>
        <t>Campo do molde aprovado. Use o menu quando disponível; números do Caminho usam as mesmas contas do livro. MESTRE VIU é apenas um lembrete.</t>
      </text>
    </comment>
    <comment ref="B808" authorId="0" shapeId="0">
      <text>
        <t>Conteúdo custom da parte 3b. Aprovação ocorre pelo bot no chat.</t>
      </text>
    </comment>
    <comment ref="J808" authorId="0" shapeId="0">
      <text>
        <t>Conteúdo custom da parte 3b. Aprovação ocorre pelo bot no chat.</t>
      </text>
    </comment>
    <comment ref="B811" authorId="0" shapeId="0">
      <text>
        <t>Conteúdo custom da parte 3b. Aprovação ocorre pelo bot no chat.</t>
      </text>
    </comment>
    <comment ref="J811" authorId="0" shapeId="0">
      <text>
        <t>Conteúdo custom da parte 3b. Aprovação ocorre pelo bot no chat.</t>
      </text>
    </comment>
    <comment ref="B812" authorId="0" shapeId="0">
      <text>
        <t>Campo do molde aprovado. Use o menu quando disponível; números do Caminho usam as mesmas contas do livro. MESTRE VIU é apenas um lembrete.</t>
      </text>
    </comment>
    <comment ref="F812" authorId="0" shapeId="0">
      <text>
        <t>Campo do molde aprovado. Use o menu quando disponível; números do Caminho usam as mesmas contas do livro. MESTRE VIU é apenas um lembrete.</t>
      </text>
    </comment>
    <comment ref="J812" authorId="0" shapeId="0">
      <text>
        <t>Campo do molde aprovado. Use o menu quando disponível; números do Caminho usam as mesmas contas do livro. MESTRE VIU é apenas um lembrete.</t>
      </text>
    </comment>
    <comment ref="N812" authorId="0" shapeId="0">
      <text>
        <t>Campo do molde aprovado. Use o menu quando disponível; números do Caminho usam as mesmas contas do livro. MESTRE VIU é apenas um lembrete.</t>
      </text>
    </comment>
    <comment ref="B813" authorId="0" shapeId="0">
      <text>
        <t>Campo do molde aprovado. Use o menu quando disponível; números do Caminho usam as mesmas contas do livro. MESTRE VIU é apenas um lembrete.</t>
      </text>
    </comment>
    <comment ref="F813" authorId="0" shapeId="0">
      <text>
        <t>Campo do molde aprovado. Use o menu quando disponível; números do Caminho usam as mesmas contas do livro. MESTRE VIU é apenas um lembrete.</t>
      </text>
    </comment>
    <comment ref="J813" authorId="0" shapeId="0">
      <text>
        <t>Campo do molde aprovado. Use o menu quando disponível; números do Caminho usam as mesmas contas do livro. MESTRE VIU é apenas um lembrete.</t>
      </text>
    </comment>
    <comment ref="N813" authorId="0" shapeId="0">
      <text>
        <t>Campo do molde aprovado. Use o menu quando disponível; números do Caminho usam as mesmas contas do livro. MESTRE VIU é apenas um lembrete.</t>
      </text>
    </comment>
    <comment ref="B814" authorId="0" shapeId="0">
      <text>
        <t>Campo do molde aprovado. Use o menu quando disponível; números do Caminho usam as mesmas contas do livro. MESTRE VIU é apenas um lembrete.</t>
      </text>
    </comment>
    <comment ref="J814" authorId="0" shapeId="0">
      <text>
        <t>Campo do molde aprovado. Use o menu quando disponível; números do Caminho usam as mesmas contas do livro. MESTRE VIU é apenas um lembrete.</t>
      </text>
    </comment>
    <comment ref="B815" authorId="0" shapeId="0">
      <text>
        <t>Campo do molde aprovado. Use o menu quando disponível; números do Caminho usam as mesmas contas do livro. MESTRE VIU é apenas um lembrete.</t>
      </text>
    </comment>
    <comment ref="J815" authorId="0" shapeId="0">
      <text>
        <t>Campo do molde aprovado. Use o menu quando disponível; números do Caminho usam as mesmas contas do livro. MESTRE VIU é apenas um lembrete.</t>
      </text>
    </comment>
    <comment ref="B816" authorId="0" shapeId="0">
      <text>
        <t>Campo do molde aprovado. Use o menu quando disponível; números do Caminho usam as mesmas contas do livro. MESTRE VIU é apenas um lembrete.</t>
      </text>
    </comment>
    <comment ref="E816" authorId="0" shapeId="0">
      <text>
        <t>Campo do molde aprovado. Use o menu quando disponível; números do Caminho usam as mesmas contas do livro. MESTRE VIU é apenas um lembrete.</t>
      </text>
    </comment>
    <comment ref="J816" authorId="0" shapeId="0">
      <text>
        <t>Campo do molde aprovado. Use o menu quando disponível; números do Caminho usam as mesmas contas do livro. MESTRE VIU é apenas um lembrete.</t>
      </text>
    </comment>
    <comment ref="M816" authorId="0" shapeId="0">
      <text>
        <t>Campo do molde aprovado. Use o menu quando disponível; números do Caminho usam as mesmas contas do livro. MESTRE VIU é apenas um lembrete.</t>
      </text>
    </comment>
    <comment ref="B817" authorId="0" shapeId="0">
      <text>
        <t>Campo do molde aprovado. Use o menu quando disponível; números do Caminho usam as mesmas contas do livro. MESTRE VIU é apenas um lembrete.</t>
      </text>
    </comment>
    <comment ref="J817" authorId="0" shapeId="0">
      <text>
        <t>Campo do molde aprovado. Use o menu quando disponível; números do Caminho usam as mesmas contas do livro. MESTRE VIU é apenas um lembrete.</t>
      </text>
    </comment>
    <comment ref="B818" authorId="0" shapeId="0">
      <text>
        <t>Campo do molde aprovado. Use o menu quando disponível; números do Caminho usam as mesmas contas do livro. MESTRE VIU é apenas um lembrete.</t>
      </text>
    </comment>
    <comment ref="J818" authorId="0" shapeId="0">
      <text>
        <t>Campo do molde aprovado. Use o menu quando disponível; números do Caminho usam as mesmas contas do livro. MESTRE VIU é apenas um lembrete.</t>
      </text>
    </comment>
    <comment ref="B822" authorId="0" shapeId="0">
      <text>
        <t>Conteúdo custom da parte 3b. Aprovação ocorre pelo bot no chat.</t>
      </text>
    </comment>
    <comment ref="J822" authorId="0" shapeId="0">
      <text>
        <t>Conteúdo custom da parte 3b. Aprovação ocorre pelo bot no chat.</t>
      </text>
    </comment>
    <comment ref="B825" authorId="0" shapeId="0">
      <text>
        <t>Conteúdo custom da parte 3b. Aprovação ocorre pelo bot no chat.</t>
      </text>
    </comment>
    <comment ref="J825" authorId="0" shapeId="0">
      <text>
        <t>Conteúdo custom da parte 3b. Aprovação ocorre pelo bot no chat.</t>
      </text>
    </comment>
    <comment ref="B826" authorId="0" shapeId="0">
      <text>
        <t>Campo do molde aprovado. Use o menu quando disponível; números do Caminho usam as mesmas contas do livro. MESTRE VIU é apenas um lembrete.</t>
      </text>
    </comment>
    <comment ref="F826" authorId="0" shapeId="0">
      <text>
        <t>Campo do molde aprovado. Use o menu quando disponível; números do Caminho usam as mesmas contas do livro. MESTRE VIU é apenas um lembrete.</t>
      </text>
    </comment>
    <comment ref="J826" authorId="0" shapeId="0">
      <text>
        <t>Campo do molde aprovado. Use o menu quando disponível; números do Caminho usam as mesmas contas do livro. MESTRE VIU é apenas um lembrete.</t>
      </text>
    </comment>
    <comment ref="N826" authorId="0" shapeId="0">
      <text>
        <t>Campo do molde aprovado. Use o menu quando disponível; números do Caminho usam as mesmas contas do livro. MESTRE VIU é apenas um lembrete.</t>
      </text>
    </comment>
    <comment ref="B827" authorId="0" shapeId="0">
      <text>
        <t>Campo do molde aprovado. Use o menu quando disponível; números do Caminho usam as mesmas contas do livro. MESTRE VIU é apenas um lembrete.</t>
      </text>
    </comment>
    <comment ref="F827" authorId="0" shapeId="0">
      <text>
        <t>Campo do molde aprovado. Use o menu quando disponível; números do Caminho usam as mesmas contas do livro. MESTRE VIU é apenas um lembrete.</t>
      </text>
    </comment>
    <comment ref="J827" authorId="0" shapeId="0">
      <text>
        <t>Campo do molde aprovado. Use o menu quando disponível; números do Caminho usam as mesmas contas do livro. MESTRE VIU é apenas um lembrete.</t>
      </text>
    </comment>
    <comment ref="N827" authorId="0" shapeId="0">
      <text>
        <t>Campo do molde aprovado. Use o menu quando disponível; números do Caminho usam as mesmas contas do livro. MESTRE VIU é apenas um lembrete.</t>
      </text>
    </comment>
    <comment ref="B828" authorId="0" shapeId="0">
      <text>
        <t>Campo do molde aprovado. Use o menu quando disponível; números do Caminho usam as mesmas contas do livro. MESTRE VIU é apenas um lembrete.</t>
      </text>
    </comment>
    <comment ref="J828" authorId="0" shapeId="0">
      <text>
        <t>Campo do molde aprovado. Use o menu quando disponível; números do Caminho usam as mesmas contas do livro. MESTRE VIU é apenas um lembrete.</t>
      </text>
    </comment>
    <comment ref="B829" authorId="0" shapeId="0">
      <text>
        <t>Campo do molde aprovado. Use o menu quando disponível; números do Caminho usam as mesmas contas do livro. MESTRE VIU é apenas um lembrete.</t>
      </text>
    </comment>
    <comment ref="J829" authorId="0" shapeId="0">
      <text>
        <t>Campo do molde aprovado. Use o menu quando disponível; números do Caminho usam as mesmas contas do livro. MESTRE VIU é apenas um lembrete.</t>
      </text>
    </comment>
    <comment ref="B830" authorId="0" shapeId="0">
      <text>
        <t>Campo do molde aprovado. Use o menu quando disponível; números do Caminho usam as mesmas contas do livro. MESTRE VIU é apenas um lembrete.</t>
      </text>
    </comment>
    <comment ref="E830" authorId="0" shapeId="0">
      <text>
        <t>Campo do molde aprovado. Use o menu quando disponível; números do Caminho usam as mesmas contas do livro. MESTRE VIU é apenas um lembrete.</t>
      </text>
    </comment>
    <comment ref="J830" authorId="0" shapeId="0">
      <text>
        <t>Campo do molde aprovado. Use o menu quando disponível; números do Caminho usam as mesmas contas do livro. MESTRE VIU é apenas um lembrete.</t>
      </text>
    </comment>
    <comment ref="M830" authorId="0" shapeId="0">
      <text>
        <t>Campo do molde aprovado. Use o menu quando disponível; números do Caminho usam as mesmas contas do livro. MESTRE VIU é apenas um lembrete.</t>
      </text>
    </comment>
    <comment ref="B831" authorId="0" shapeId="0">
      <text>
        <t>Campo do molde aprovado. Use o menu quando disponível; números do Caminho usam as mesmas contas do livro. MESTRE VIU é apenas um lembrete.</t>
      </text>
    </comment>
    <comment ref="J831" authorId="0" shapeId="0">
      <text>
        <t>Campo do molde aprovado. Use o menu quando disponível; números do Caminho usam as mesmas contas do livro. MESTRE VIU é apenas um lembrete.</t>
      </text>
    </comment>
    <comment ref="B832" authorId="0" shapeId="0">
      <text>
        <t>Campo do molde aprovado. Use o menu quando disponível; números do Caminho usam as mesmas contas do livro. MESTRE VIU é apenas um lembrete.</t>
      </text>
    </comment>
    <comment ref="J832" authorId="0" shapeId="0">
      <text>
        <t>Campo do molde aprovado. Use o menu quando disponível; números do Caminho usam as mesmas contas do livro. MESTRE VIU é apenas um lembrete.</t>
      </text>
    </comment>
    <comment ref="B836" authorId="0" shapeId="0">
      <text>
        <t>Conteúdo custom da parte 3b. Aprovação ocorre pelo bot no chat.</t>
      </text>
    </comment>
    <comment ref="J836" authorId="0" shapeId="0">
      <text>
        <t>Conteúdo custom da parte 3b. Aprovação ocorre pelo bot no chat.</t>
      </text>
    </comment>
    <comment ref="B839" authorId="0" shapeId="0">
      <text>
        <t>Conteúdo custom da parte 3b. Aprovação ocorre pelo bot no chat.</t>
      </text>
    </comment>
    <comment ref="J839" authorId="0" shapeId="0">
      <text>
        <t>Conteúdo custom da parte 3b. Aprovação ocorre pelo bot no chat.</t>
      </text>
    </comment>
    <comment ref="B840" authorId="0" shapeId="0">
      <text>
        <t>Campo do molde aprovado. Use o menu quando disponível; números do Caminho usam as mesmas contas do livro. MESTRE VIU é apenas um lembrete.</t>
      </text>
    </comment>
    <comment ref="F840" authorId="0" shapeId="0">
      <text>
        <t>Campo do molde aprovado. Use o menu quando disponível; números do Caminho usam as mesmas contas do livro. MESTRE VIU é apenas um lembrete.</t>
      </text>
    </comment>
    <comment ref="J840" authorId="0" shapeId="0">
      <text>
        <t>Campo do molde aprovado. Use o menu quando disponível; números do Caminho usam as mesmas contas do livro. MESTRE VIU é apenas um lembrete.</t>
      </text>
    </comment>
    <comment ref="N840" authorId="0" shapeId="0">
      <text>
        <t>Campo do molde aprovado. Use o menu quando disponível; números do Caminho usam as mesmas contas do livro. MESTRE VIU é apenas um lembrete.</t>
      </text>
    </comment>
    <comment ref="B841" authorId="0" shapeId="0">
      <text>
        <t>Campo do molde aprovado. Use o menu quando disponível; números do Caminho usam as mesmas contas do livro. MESTRE VIU é apenas um lembrete.</t>
      </text>
    </comment>
    <comment ref="F841" authorId="0" shapeId="0">
      <text>
        <t>Campo do molde aprovado. Use o menu quando disponível; números do Caminho usam as mesmas contas do livro. MESTRE VIU é apenas um lembrete.</t>
      </text>
    </comment>
    <comment ref="J841" authorId="0" shapeId="0">
      <text>
        <t>Campo do molde aprovado. Use o menu quando disponível; números do Caminho usam as mesmas contas do livro. MESTRE VIU é apenas um lembrete.</t>
      </text>
    </comment>
    <comment ref="N841" authorId="0" shapeId="0">
      <text>
        <t>Campo do molde aprovado. Use o menu quando disponível; números do Caminho usam as mesmas contas do livro. MESTRE VIU é apenas um lembrete.</t>
      </text>
    </comment>
    <comment ref="B842" authorId="0" shapeId="0">
      <text>
        <t>Campo do molde aprovado. Use o menu quando disponível; números do Caminho usam as mesmas contas do livro. MESTRE VIU é apenas um lembrete.</t>
      </text>
    </comment>
    <comment ref="J842" authorId="0" shapeId="0">
      <text>
        <t>Campo do molde aprovado. Use o menu quando disponível; números do Caminho usam as mesmas contas do livro. MESTRE VIU é apenas um lembrete.</t>
      </text>
    </comment>
    <comment ref="B843" authorId="0" shapeId="0">
      <text>
        <t>Campo do molde aprovado. Use o menu quando disponível; números do Caminho usam as mesmas contas do livro. MESTRE VIU é apenas um lembrete.</t>
      </text>
    </comment>
    <comment ref="J843" authorId="0" shapeId="0">
      <text>
        <t>Campo do molde aprovado. Use o menu quando disponível; números do Caminho usam as mesmas contas do livro. MESTRE VIU é apenas um lembrete.</t>
      </text>
    </comment>
    <comment ref="B844" authorId="0" shapeId="0">
      <text>
        <t>Campo do molde aprovado. Use o menu quando disponível; números do Caminho usam as mesmas contas do livro. MESTRE VIU é apenas um lembrete.</t>
      </text>
    </comment>
    <comment ref="E844" authorId="0" shapeId="0">
      <text>
        <t>Campo do molde aprovado. Use o menu quando disponível; números do Caminho usam as mesmas contas do livro. MESTRE VIU é apenas um lembrete.</t>
      </text>
    </comment>
    <comment ref="J844" authorId="0" shapeId="0">
      <text>
        <t>Campo do molde aprovado. Use o menu quando disponível; números do Caminho usam as mesmas contas do livro. MESTRE VIU é apenas um lembrete.</t>
      </text>
    </comment>
    <comment ref="M844" authorId="0" shapeId="0">
      <text>
        <t>Campo do molde aprovado. Use o menu quando disponível; números do Caminho usam as mesmas contas do livro. MESTRE VIU é apenas um lembrete.</t>
      </text>
    </comment>
    <comment ref="B845" authorId="0" shapeId="0">
      <text>
        <t>Campo do molde aprovado. Use o menu quando disponível; números do Caminho usam as mesmas contas do livro. MESTRE VIU é apenas um lembrete.</t>
      </text>
    </comment>
    <comment ref="J845" authorId="0" shapeId="0">
      <text>
        <t>Campo do molde aprovado. Use o menu quando disponível; números do Caminho usam as mesmas contas do livro. MESTRE VIU é apenas um lembrete.</t>
      </text>
    </comment>
    <comment ref="B846" authorId="0" shapeId="0">
      <text>
        <t>Campo do molde aprovado. Use o menu quando disponível; números do Caminho usam as mesmas contas do livro. MESTRE VIU é apenas um lembrete.</t>
      </text>
    </comment>
    <comment ref="J846" authorId="0" shapeId="0">
      <text>
        <t>Campo do molde aprovado. Use o menu quando disponível; números do Caminho usam as mesmas contas do livro. MESTRE VIU é apenas um lembrete.</t>
      </text>
    </comment>
    <comment ref="B850" authorId="0" shapeId="0">
      <text>
        <t>Conteúdo custom da parte 3b. Aprovação ocorre pelo bot no chat.</t>
      </text>
    </comment>
    <comment ref="J850" authorId="0" shapeId="0">
      <text>
        <t>Conteúdo custom da parte 3b. Aprovação ocorre pelo bot no chat.</t>
      </text>
    </comment>
    <comment ref="B853" authorId="0" shapeId="0">
      <text>
        <t>Conteúdo custom da parte 3b. Aprovação ocorre pelo bot no chat.</t>
      </text>
    </comment>
    <comment ref="J853" authorId="0" shapeId="0">
      <text>
        <t>Conteúdo custom da parte 3b. Aprovação ocorre pelo bot no chat.</t>
      </text>
    </comment>
    <comment ref="B854" authorId="0" shapeId="0">
      <text>
        <t>Campo do molde aprovado. Use o menu quando disponível; números do Caminho usam as mesmas contas do livro. MESTRE VIU é apenas um lembrete.</t>
      </text>
    </comment>
    <comment ref="F854" authorId="0" shapeId="0">
      <text>
        <t>Campo do molde aprovado. Use o menu quando disponível; números do Caminho usam as mesmas contas do livro. MESTRE VIU é apenas um lembrete.</t>
      </text>
    </comment>
    <comment ref="J854" authorId="0" shapeId="0">
      <text>
        <t>Campo do molde aprovado. Use o menu quando disponível; números do Caminho usam as mesmas contas do livro. MESTRE VIU é apenas um lembrete.</t>
      </text>
    </comment>
    <comment ref="N854" authorId="0" shapeId="0">
      <text>
        <t>Campo do molde aprovado. Use o menu quando disponível; números do Caminho usam as mesmas contas do livro. MESTRE VIU é apenas um lembrete.</t>
      </text>
    </comment>
    <comment ref="B855" authorId="0" shapeId="0">
      <text>
        <t>Campo do molde aprovado. Use o menu quando disponível; números do Caminho usam as mesmas contas do livro. MESTRE VIU é apenas um lembrete.</t>
      </text>
    </comment>
    <comment ref="F855" authorId="0" shapeId="0">
      <text>
        <t>Campo do molde aprovado. Use o menu quando disponível; números do Caminho usam as mesmas contas do livro. MESTRE VIU é apenas um lembrete.</t>
      </text>
    </comment>
    <comment ref="J855" authorId="0" shapeId="0">
      <text>
        <t>Campo do molde aprovado. Use o menu quando disponível; números do Caminho usam as mesmas contas do livro. MESTRE VIU é apenas um lembrete.</t>
      </text>
    </comment>
    <comment ref="N855" authorId="0" shapeId="0">
      <text>
        <t>Campo do molde aprovado. Use o menu quando disponível; números do Caminho usam as mesmas contas do livro. MESTRE VIU é apenas um lembrete.</t>
      </text>
    </comment>
    <comment ref="B856" authorId="0" shapeId="0">
      <text>
        <t>Campo do molde aprovado. Use o menu quando disponível; números do Caminho usam as mesmas contas do livro. MESTRE VIU é apenas um lembrete.</t>
      </text>
    </comment>
    <comment ref="J856" authorId="0" shapeId="0">
      <text>
        <t>Campo do molde aprovado. Use o menu quando disponível; números do Caminho usam as mesmas contas do livro. MESTRE VIU é apenas um lembrete.</t>
      </text>
    </comment>
    <comment ref="B857" authorId="0" shapeId="0">
      <text>
        <t>Campo do molde aprovado. Use o menu quando disponível; números do Caminho usam as mesmas contas do livro. MESTRE VIU é apenas um lembrete.</t>
      </text>
    </comment>
    <comment ref="J857" authorId="0" shapeId="0">
      <text>
        <t>Campo do molde aprovado. Use o menu quando disponível; números do Caminho usam as mesmas contas do livro. MESTRE VIU é apenas um lembrete.</t>
      </text>
    </comment>
    <comment ref="B858" authorId="0" shapeId="0">
      <text>
        <t>Campo do molde aprovado. Use o menu quando disponível; números do Caminho usam as mesmas contas do livro. MESTRE VIU é apenas um lembrete.</t>
      </text>
    </comment>
    <comment ref="E858" authorId="0" shapeId="0">
      <text>
        <t>Campo do molde aprovado. Use o menu quando disponível; números do Caminho usam as mesmas contas do livro. MESTRE VIU é apenas um lembrete.</t>
      </text>
    </comment>
    <comment ref="J858" authorId="0" shapeId="0">
      <text>
        <t>Campo do molde aprovado. Use o menu quando disponível; números do Caminho usam as mesmas contas do livro. MESTRE VIU é apenas um lembrete.</t>
      </text>
    </comment>
    <comment ref="M858" authorId="0" shapeId="0">
      <text>
        <t>Campo do molde aprovado. Use o menu quando disponível; números do Caminho usam as mesmas contas do livro. MESTRE VIU é apenas um lembrete.</t>
      </text>
    </comment>
    <comment ref="B859" authorId="0" shapeId="0">
      <text>
        <t>Campo do molde aprovado. Use o menu quando disponível; números do Caminho usam as mesmas contas do livro. MESTRE VIU é apenas um lembrete.</t>
      </text>
    </comment>
    <comment ref="J859" authorId="0" shapeId="0">
      <text>
        <t>Campo do molde aprovado. Use o menu quando disponível; números do Caminho usam as mesmas contas do livro. MESTRE VIU é apenas um lembrete.</t>
      </text>
    </comment>
    <comment ref="B860" authorId="0" shapeId="0">
      <text>
        <t>Campo do molde aprovado. Use o menu quando disponível; números do Caminho usam as mesmas contas do livro. MESTRE VIU é apenas um lembrete.</t>
      </text>
    </comment>
    <comment ref="J860" authorId="0" shapeId="0">
      <text>
        <t>Campo do molde aprovado. Use o menu quando disponível; números do Caminho usam as mesmas contas do livro. MESTRE VIU é apenas um lembrete.</t>
      </text>
    </comment>
    <comment ref="B864" authorId="0" shapeId="0">
      <text>
        <t>Conteúdo custom da parte 3b. Aprovação ocorre pelo bot no chat.</t>
      </text>
    </comment>
    <comment ref="J864" authorId="0" shapeId="0">
      <text>
        <t>Conteúdo custom da parte 3b. Aprovação ocorre pelo bot no chat.</t>
      </text>
    </comment>
    <comment ref="B867" authorId="0" shapeId="0">
      <text>
        <t>Conteúdo custom da parte 3b. Aprovação ocorre pelo bot no chat.</t>
      </text>
    </comment>
    <comment ref="J867" authorId="0" shapeId="0">
      <text>
        <t>Conteúdo custom da parte 3b. Aprovação ocorre pelo bot no chat.</t>
      </text>
    </comment>
    <comment ref="B868" authorId="0" shapeId="0">
      <text>
        <t>Campo do molde aprovado. Use o menu quando disponível; números do Caminho usam as mesmas contas do livro. MESTRE VIU é apenas um lembrete.</t>
      </text>
    </comment>
    <comment ref="F868" authorId="0" shapeId="0">
      <text>
        <t>Campo do molde aprovado. Use o menu quando disponível; números do Caminho usam as mesmas contas do livro. MESTRE VIU é apenas um lembrete.</t>
      </text>
    </comment>
    <comment ref="J868" authorId="0" shapeId="0">
      <text>
        <t>Campo do molde aprovado. Use o menu quando disponível; números do Caminho usam as mesmas contas do livro. MESTRE VIU é apenas um lembrete.</t>
      </text>
    </comment>
    <comment ref="N868" authorId="0" shapeId="0">
      <text>
        <t>Campo do molde aprovado. Use o menu quando disponível; números do Caminho usam as mesmas contas do livro. MESTRE VIU é apenas um lembrete.</t>
      </text>
    </comment>
    <comment ref="B869" authorId="0" shapeId="0">
      <text>
        <t>Campo do molde aprovado. Use o menu quando disponível; números do Caminho usam as mesmas contas do livro. MESTRE VIU é apenas um lembrete.</t>
      </text>
    </comment>
    <comment ref="F869" authorId="0" shapeId="0">
      <text>
        <t>Campo do molde aprovado. Use o menu quando disponível; números do Caminho usam as mesmas contas do livro. MESTRE VIU é apenas um lembrete.</t>
      </text>
    </comment>
    <comment ref="J869" authorId="0" shapeId="0">
      <text>
        <t>Campo do molde aprovado. Use o menu quando disponível; números do Caminho usam as mesmas contas do livro. MESTRE VIU é apenas um lembrete.</t>
      </text>
    </comment>
    <comment ref="N869" authorId="0" shapeId="0">
      <text>
        <t>Campo do molde aprovado. Use o menu quando disponível; números do Caminho usam as mesmas contas do livro. MESTRE VIU é apenas um lembrete.</t>
      </text>
    </comment>
    <comment ref="B870" authorId="0" shapeId="0">
      <text>
        <t>Campo do molde aprovado. Use o menu quando disponível; números do Caminho usam as mesmas contas do livro. MESTRE VIU é apenas um lembrete.</t>
      </text>
    </comment>
    <comment ref="J870" authorId="0" shapeId="0">
      <text>
        <t>Campo do molde aprovado. Use o menu quando disponível; números do Caminho usam as mesmas contas do livro. MESTRE VIU é apenas um lembrete.</t>
      </text>
    </comment>
    <comment ref="B871" authorId="0" shapeId="0">
      <text>
        <t>Campo do molde aprovado. Use o menu quando disponível; números do Caminho usam as mesmas contas do livro. MESTRE VIU é apenas um lembrete.</t>
      </text>
    </comment>
    <comment ref="J871" authorId="0" shapeId="0">
      <text>
        <t>Campo do molde aprovado. Use o menu quando disponível; números do Caminho usam as mesmas contas do livro. MESTRE VIU é apenas um lembrete.</t>
      </text>
    </comment>
    <comment ref="B872" authorId="0" shapeId="0">
      <text>
        <t>Campo do molde aprovado. Use o menu quando disponível; números do Caminho usam as mesmas contas do livro. MESTRE VIU é apenas um lembrete.</t>
      </text>
    </comment>
    <comment ref="E872" authorId="0" shapeId="0">
      <text>
        <t>Campo do molde aprovado. Use o menu quando disponível; números do Caminho usam as mesmas contas do livro. MESTRE VIU é apenas um lembrete.</t>
      </text>
    </comment>
    <comment ref="J872" authorId="0" shapeId="0">
      <text>
        <t>Campo do molde aprovado. Use o menu quando disponível; números do Caminho usam as mesmas contas do livro. MESTRE VIU é apenas um lembrete.</t>
      </text>
    </comment>
    <comment ref="M872" authorId="0" shapeId="0">
      <text>
        <t>Campo do molde aprovado. Use o menu quando disponível; números do Caminho usam as mesmas contas do livro. MESTRE VIU é apenas um lembrete.</t>
      </text>
    </comment>
    <comment ref="B873" authorId="0" shapeId="0">
      <text>
        <t>Campo do molde aprovado. Use o menu quando disponível; números do Caminho usam as mesmas contas do livro. MESTRE VIU é apenas um lembrete.</t>
      </text>
    </comment>
    <comment ref="J873" authorId="0" shapeId="0">
      <text>
        <t>Campo do molde aprovado. Use o menu quando disponível; números do Caminho usam as mesmas contas do livro. MESTRE VIU é apenas um lembrete.</t>
      </text>
    </comment>
    <comment ref="B874" authorId="0" shapeId="0">
      <text>
        <t>Campo do molde aprovado. Use o menu quando disponível; números do Caminho usam as mesmas contas do livro. MESTRE VIU é apenas um lembrete.</t>
      </text>
    </comment>
    <comment ref="J874" authorId="0" shapeId="0">
      <text>
        <t>Campo do molde aprovado. Use o menu quando disponível; números do Caminho usam as mesmas contas do livro. MESTRE VIU é apenas um lembrete.</t>
      </text>
    </comment>
    <comment ref="B878" authorId="0" shapeId="0">
      <text>
        <t>Conteúdo custom da parte 3b. Aprovação ocorre pelo bot no chat.</t>
      </text>
    </comment>
    <comment ref="J878" authorId="0" shapeId="0">
      <text>
        <t>Conteúdo custom da parte 3b. Aprovação ocorre pelo bot no chat.</t>
      </text>
    </comment>
    <comment ref="B881" authorId="0" shapeId="0">
      <text>
        <t>Conteúdo custom da parte 3b. Aprovação ocorre pelo bot no chat.</t>
      </text>
    </comment>
    <comment ref="J881" authorId="0" shapeId="0">
      <text>
        <t>Conteúdo custom da parte 3b. Aprovação ocorre pelo bot no chat.</t>
      </text>
    </comment>
    <comment ref="B882" authorId="0" shapeId="0">
      <text>
        <t>Campo do molde aprovado. Use o menu quando disponível; números do Caminho usam as mesmas contas do livro. MESTRE VIU é apenas um lembrete.</t>
      </text>
    </comment>
    <comment ref="F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N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F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N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5" authorId="0" shapeId="0">
      <text>
        <t>Campo do molde aprovado. Use o menu quando disponível; números do Caminho usam as mesmas contas do livro. MESTRE VIU é apenas um lembrete.</t>
      </text>
    </comment>
    <comment ref="J885" authorId="0" shapeId="0">
      <text>
        <t>Campo do molde aprovado. Use o menu quando disponível; números do Caminho usam as mesmas contas do livro. MESTRE VIU é apenas um lembrete.</t>
      </text>
    </comment>
    <comment ref="B886" authorId="0" shapeId="0">
      <text>
        <t>Campo do molde aprovado. Use o menu quando disponível; números do Caminho usam as mesmas contas do livro. MESTRE VIU é apenas um lembrete.</t>
      </text>
    </comment>
    <comment ref="E886" authorId="0" shapeId="0">
      <text>
        <t>Campo do molde aprovado. Use o menu quando disponível; números do Caminho usam as mesmas contas do livro. MESTRE VIU é apenas um lembrete.</t>
      </text>
    </comment>
    <comment ref="J886" authorId="0" shapeId="0">
      <text>
        <t>Campo do molde aprovado. Use o menu quando disponível; números do Caminho usam as mesmas contas do livro. MESTRE VIU é apenas um lembrete.</t>
      </text>
    </comment>
    <comment ref="M886" authorId="0" shapeId="0">
      <text>
        <t>Campo do molde aprovado. Use o menu quando disponível; números do Caminho usam as mesmas contas do livro. MESTRE VIU é apenas um lembrete.</t>
      </text>
    </comment>
    <comment ref="B887" authorId="0" shapeId="0">
      <text>
        <t>Campo do molde aprovado. Use o menu quando disponível; números do Caminho usam as mesmas contas do livro. MESTRE VIU é apenas um lembrete.</t>
      </text>
    </comment>
    <comment ref="J887" authorId="0" shapeId="0">
      <text>
        <t>Campo do molde aprovado. Use o menu quando disponível; números do Caminho usam as mesmas contas do livro. MESTRE VIU é apenas um lembrete.</t>
      </text>
    </comment>
    <comment ref="B888" authorId="0" shapeId="0">
      <text>
        <t>Campo do molde aprovado. Use o menu quando disponível; números do Caminho usam as mesmas contas do livro. MESTRE VIU é apenas um lembrete.</t>
      </text>
    </comment>
    <comment ref="J888" authorId="0" shapeId="0">
      <text>
        <t>Campo do molde aprovado. Use o menu quando disponível; números do Caminho usam as mesmas contas do livro. MESTRE VIU é apenas um lembrete.</t>
      </text>
    </comment>
    <comment ref="B892" authorId="0" shapeId="0">
      <text>
        <t>Conteúdo custom da parte 3b. Aprovação ocorre pelo bot no chat.</t>
      </text>
    </comment>
    <comment ref="J892" authorId="0" shapeId="0">
      <text>
        <t>Conteúdo custom da parte 3b. Aprovação ocorre pelo bot no chat.</t>
      </text>
    </comment>
    <comment ref="B895" authorId="0" shapeId="0">
      <text>
        <t>Conteúdo custom da parte 3b. Aprovação ocorre pelo bot no chat.</t>
      </text>
    </comment>
    <comment ref="J895" authorId="0" shapeId="0">
      <text>
        <t>Conteúdo custom da parte 3b. Aprovação ocorre pelo bot no chat.</t>
      </text>
    </comment>
    <comment ref="B896" authorId="0" shapeId="0">
      <text>
        <t>Campo do molde aprovado. Use o menu quando disponível; números do Caminho usam as mesmas contas do livro. MESTRE VIU é apenas um lembrete.</t>
      </text>
    </comment>
    <comment ref="F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N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F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N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899" authorId="0" shapeId="0">
      <text>
        <t>Campo do molde aprovado. Use o menu quando disponível; números do Caminho usam as mesmas contas do livro. MESTRE VIU é apenas um lembrete.</t>
      </text>
    </comment>
    <comment ref="J899" authorId="0" shapeId="0">
      <text>
        <t>Campo do molde aprovado. Use o menu quando disponível; números do Caminho usam as mesmas contas do livro. MESTRE VIU é apenas um lembrete.</t>
      </text>
    </comment>
    <comment ref="B900" authorId="0" shapeId="0">
      <text>
        <t>Campo do molde aprovado. Use o menu quando disponível; números do Caminho usam as mesmas contas do livro. MESTRE VIU é apenas um lembrete.</t>
      </text>
    </comment>
    <comment ref="E900" authorId="0" shapeId="0">
      <text>
        <t>Campo do molde aprovado. Use o menu quando disponível; números do Caminho usam as mesmas contas do livro. MESTRE VIU é apenas um lembrete.</t>
      </text>
    </comment>
    <comment ref="J900" authorId="0" shapeId="0">
      <text>
        <t>Campo do molde aprovado. Use o menu quando disponível; números do Caminho usam as mesmas contas do livro. MESTRE VIU é apenas um lembrete.</t>
      </text>
    </comment>
    <comment ref="M900" authorId="0" shapeId="0">
      <text>
        <t>Campo do molde aprovado. Use o menu quando disponível; números do Caminho usam as mesmas contas do livro. MESTRE VIU é apenas um lembrete.</t>
      </text>
    </comment>
    <comment ref="B901" authorId="0" shapeId="0">
      <text>
        <t>Campo do molde aprovado. Use o menu quando disponível; números do Caminho usam as mesmas contas do livro. MESTRE VIU é apenas um lembrete.</t>
      </text>
    </comment>
    <comment ref="J901" authorId="0" shapeId="0">
      <text>
        <t>Campo do molde aprovado. Use o menu quando disponível; números do Caminho usam as mesmas contas do livro. MESTRE VIU é apenas um lembrete.</t>
      </text>
    </comment>
    <comment ref="B902" authorId="0" shapeId="0">
      <text>
        <t>Campo do molde aprovado. Use o menu quando disponível; números do Caminho usam as mesmas contas do livro. MESTRE VIU é apenas um lembrete.</t>
      </text>
    </comment>
    <comment ref="J902" authorId="0" shapeId="0">
      <text>
        <t>Campo do molde aprovado. Use o menu quando disponível; números do Caminho usam as mesmas contas do livro. MESTRE VIU é apenas um lembrete.</t>
      </text>
    </comment>
    <comment ref="B906" authorId="0" shapeId="0">
      <text>
        <t>Conteúdo custom da parte 3b. Aprovação ocorre pelo bot no chat.</t>
      </text>
    </comment>
    <comment ref="J906" authorId="0" shapeId="0">
      <text>
        <t>Conteúdo custom da parte 3b. Aprovação ocorre pelo bot no chat.</t>
      </text>
    </comment>
    <comment ref="B909" authorId="0" shapeId="0">
      <text>
        <t>Conteúdo custom da parte 3b. Aprovação ocorre pelo bot no chat.</t>
      </text>
    </comment>
    <comment ref="J909" authorId="0" shapeId="0">
      <text>
        <t>Conteúdo custom da parte 3b. Aprovação ocorre pelo bot no chat.</t>
      </text>
    </comment>
    <comment ref="B910" authorId="0" shapeId="0">
      <text>
        <t>Campo do molde aprovado. Use o menu quando disponível; números do Caminho usam as mesmas contas do livro. MESTRE VIU é apenas um lembrete.</t>
      </text>
    </comment>
    <comment ref="F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N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F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N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3" authorId="0" shapeId="0">
      <text>
        <t>Campo do molde aprovado. Use o menu quando disponível; números do Caminho usam as mesmas contas do livro. MESTRE VIU é apenas um lembrete.</t>
      </text>
    </comment>
    <comment ref="J913" authorId="0" shapeId="0">
      <text>
        <t>Campo do molde aprovado. Use o menu quando disponível; números do Caminho usam as mesmas contas do livro. MESTRE VIU é apenas um lembrete.</t>
      </text>
    </comment>
    <comment ref="B914" authorId="0" shapeId="0">
      <text>
        <t>Campo do molde aprovado. Use o menu quando disponível; números do Caminho usam as mesmas contas do livro. MESTRE VIU é apenas um lembrete.</t>
      </text>
    </comment>
    <comment ref="E914" authorId="0" shapeId="0">
      <text>
        <t>Campo do molde aprovado. Use o menu quando disponível; números do Caminho usam as mesmas contas do livro. MESTRE VIU é apenas um lembrete.</t>
      </text>
    </comment>
    <comment ref="J914" authorId="0" shapeId="0">
      <text>
        <t>Campo do molde aprovado. Use o menu quando disponível; números do Caminho usam as mesmas contas do livro. MESTRE VIU é apenas um lembrete.</t>
      </text>
    </comment>
    <comment ref="M914" authorId="0" shapeId="0">
      <text>
        <t>Campo do molde aprovado. Use o menu quando disponível; números do Caminho usam as mesmas contas do livro. MESTRE VIU é apenas um lembrete.</t>
      </text>
    </comment>
    <comment ref="B915" authorId="0" shapeId="0">
      <text>
        <t>Campo do molde aprovado. Use o menu quando disponível; números do Caminho usam as mesmas contas do livro. MESTRE VIU é apenas um lembrete.</t>
      </text>
    </comment>
    <comment ref="J915" authorId="0" shapeId="0">
      <text>
        <t>Campo do molde aprovado. Use o menu quando disponível; números do Caminho usam as mesmas contas do livro. MESTRE VIU é apenas um lembrete.</t>
      </text>
    </comment>
    <comment ref="B916" authorId="0" shapeId="0">
      <text>
        <t>Campo do molde aprovado. Use o menu quando disponível; números do Caminho usam as mesmas contas do livro. MESTRE VIU é apenas um lembrete.</t>
      </text>
    </comment>
    <comment ref="J916" authorId="0" shapeId="0">
      <text>
        <t>Campo do molde aprovado. Use o menu quando disponível; números do Caminho usam as mesmas contas do livro. MESTRE VIU é apenas um lembrete.</t>
      </text>
    </comment>
    <comment ref="B920" authorId="0" shapeId="0">
      <text>
        <t>Conteúdo custom da parte 3b. Aprovação ocorre pelo bot no chat.</t>
      </text>
    </comment>
    <comment ref="J920" authorId="0" shapeId="0">
      <text>
        <t>Conteúdo custom da parte 3b. Aprovação ocorre pelo bot no chat.</t>
      </text>
    </comment>
    <comment ref="B923" authorId="0" shapeId="0">
      <text>
        <t>Conteúdo custom da parte 3b. Aprovação ocorre pelo bot no chat.</t>
      </text>
    </comment>
    <comment ref="J923" authorId="0" shapeId="0">
      <text>
        <t>Conteúdo custom da parte 3b. Aprovação ocorre pelo bot no chat.</t>
      </text>
    </comment>
    <comment ref="B924" authorId="0" shapeId="0">
      <text>
        <t>Campo do molde aprovado. Use o menu quando disponível; números do Caminho usam as mesmas contas do livro. MESTRE VIU é apenas um lembrete.</t>
      </text>
    </comment>
    <comment ref="F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N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F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N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27" authorId="0" shapeId="0">
      <text>
        <t>Campo do molde aprovado. Use o menu quando disponível; números do Caminho usam as mesmas contas do livro. MESTRE VIU é apenas um lembrete.</t>
      </text>
    </comment>
    <comment ref="J927" authorId="0" shapeId="0">
      <text>
        <t>Campo do molde aprovado. Use o menu quando disponível; números do Caminho usam as mesmas contas do livro. MESTRE VIU é apenas um lembrete.</t>
      </text>
    </comment>
    <comment ref="B928" authorId="0" shapeId="0">
      <text>
        <t>Campo do molde aprovado. Use o menu quando disponível; números do Caminho usam as mesmas contas do livro. MESTRE VIU é apenas um lembrete.</t>
      </text>
    </comment>
    <comment ref="E928" authorId="0" shapeId="0">
      <text>
        <t>Campo do molde aprovado. Use o menu quando disponível; números do Caminho usam as mesmas contas do livro. MESTRE VIU é apenas um lembrete.</t>
      </text>
    </comment>
    <comment ref="J928" authorId="0" shapeId="0">
      <text>
        <t>Campo do molde aprovado. Use o menu quando disponível; números do Caminho usam as mesmas contas do livro. MESTRE VIU é apenas um lembrete.</t>
      </text>
    </comment>
    <comment ref="M928" authorId="0" shapeId="0">
      <text>
        <t>Campo do molde aprovado. Use o menu quando disponível; números do Caminho usam as mesmas contas do livro. MESTRE VIU é apenas um lembrete.</t>
      </text>
    </comment>
    <comment ref="B929" authorId="0" shapeId="0">
      <text>
        <t>Campo do molde aprovado. Use o menu quando disponível; números do Caminho usam as mesmas contas do livro. MESTRE VIU é apenas um lembrete.</t>
      </text>
    </comment>
    <comment ref="J929" authorId="0" shapeId="0">
      <text>
        <t>Campo do molde aprovado. Use o menu quando disponível; números do Caminho usam as mesmas contas do livro. MESTRE VIU é apenas um lembrete.</t>
      </text>
    </comment>
    <comment ref="B930" authorId="0" shapeId="0">
      <text>
        <t>Campo do molde aprovado. Use o menu quando disponível; números do Caminho usam as mesmas contas do livro. MESTRE VIU é apenas um lembrete.</t>
      </text>
    </comment>
    <comment ref="J930" authorId="0" shapeId="0">
      <text>
        <t>Campo do molde aprovado. Use o menu quando disponível; números do Caminho usam as mesmas contas do livro. MESTRE VIU é apenas um lembrete.</t>
      </text>
    </comment>
    <comment ref="B934" authorId="0" shapeId="0">
      <text>
        <t>Conteúdo custom da parte 3b. Aprovação ocorre pelo bot no chat.</t>
      </text>
    </comment>
    <comment ref="J934" authorId="0" shapeId="0">
      <text>
        <t>Conteúdo custom da parte 3b. Aprovação ocorre pelo bot no chat.</t>
      </text>
    </comment>
    <comment ref="B937" authorId="0" shapeId="0">
      <text>
        <t>Cadastro de Família custom. Nome único; estado vale para a técnica do personagem.</t>
      </text>
    </comment>
    <comment ref="B939" authorId="0" shapeId="0">
      <text>
        <t>Cadastro de Família custom. Nome único; estado vale para a técnica do personagem.</t>
      </text>
    </comment>
    <comment ref="J939" authorId="0" shapeId="0">
      <text>
        <t>Cadastro de Família custom. Nome único; estado vale para a técnica do personagem.</t>
      </text>
    </comment>
    <comment ref="B940" authorId="0" shapeId="0">
      <text>
        <t>Cadastro de Família custom. Nome único; estado vale para a técnica do personagem.</t>
      </text>
    </comment>
    <comment ref="F940" authorId="0" shapeId="0">
      <text>
        <t>Cadastro de Família custom. Nome único; estado vale para a técnica do personagem.</t>
      </text>
    </comment>
    <comment ref="J940" authorId="0" shapeId="0">
      <text>
        <t>Cadastro de Família custom. Nome único; estado vale para a técnica do personagem.</t>
      </text>
    </comment>
    <comment ref="N940" authorId="0" shapeId="0">
      <text>
        <t>Cadastro de Família custom. Nome único; estado vale para a técnica do personagem.</t>
      </text>
    </comment>
    <comment ref="B941" authorId="0" shapeId="0">
      <text>
        <t>Cadastro de Família custom. Nome único; estado vale para a técnica do personagem.</t>
      </text>
    </comment>
    <comment ref="F941" authorId="0" shapeId="0">
      <text>
        <t>Lembrete marcado pelo jogador. Aprovação ocorre pelo bot no chat.</t>
      </text>
    </comment>
    <comment ref="J941" authorId="0" shapeId="0">
      <text>
        <t>Cadastro de Família custom. Nome único; estado vale para a técnica do personagem.</t>
      </text>
    </comment>
    <comment ref="N941" authorId="0" shapeId="0">
      <text>
        <t>Lembrete marcado pelo jogador. Aprovação ocorre pelo bot no chat.</t>
      </text>
    </comment>
    <comment ref="B942" authorId="0" shapeId="0">
      <text>
        <t>Cadastro de Família custom. Nome único; estado vale para a técnica do personagem.</t>
      </text>
    </comment>
    <comment ref="J942" authorId="0" shapeId="0">
      <text>
        <t>Cadastro de Família custom. Nome único; estado vale para a técnica do personagem.</t>
      </text>
    </comment>
    <comment ref="B943" authorId="0" shapeId="0">
      <text>
        <t>Cadastro de Família custom. Nome único; estado vale para a técnica do personagem.</t>
      </text>
    </comment>
    <comment ref="J943" authorId="0" shapeId="0">
      <text>
        <t>Cadastro de Família custom. Nome único; estado vale para a técnica do personagem.</t>
      </text>
    </comment>
    <comment ref="B944" authorId="0" shapeId="0">
      <text>
        <t>Cadastro de Família custom. Nome único; estado vale para a técnica do personagem.</t>
      </text>
    </comment>
    <comment ref="E944" authorId="0" shapeId="0">
      <text>
        <t>Cadastro de Família custom. Nome único; estado vale para a técnica do personagem.</t>
      </text>
    </comment>
    <comment ref="J944" authorId="0" shapeId="0">
      <text>
        <t>Cadastro de Família custom. Nome único; estado vale para a técnica do personagem.</t>
      </text>
    </comment>
    <comment ref="M944" authorId="0" shapeId="0">
      <text>
        <t>Cadastro de Família custom. Nome único; estado vale para a técnica do personagem.</t>
      </text>
    </comment>
    <comment ref="B945" authorId="0" shapeId="0">
      <text>
        <t>Cadastro de Família custom. Nome único; estado vale para a técnica do personagem.</t>
      </text>
    </comment>
    <comment ref="J945" authorId="0" shapeId="0">
      <text>
        <t>Cadastro de Família custom. Nome único; estado vale para a técnica do personagem.</t>
      </text>
    </comment>
    <comment ref="B946" authorId="0" shapeId="0">
      <text>
        <t>Tema e descrição da Família criada com o mestre.</t>
      </text>
    </comment>
    <comment ref="J946" authorId="0" shapeId="0">
      <text>
        <t>Tema e descrição da Família criada com o mestre.</t>
      </text>
    </comment>
    <comment ref="B951" authorId="0" shapeId="0">
      <text>
        <t>Cadastro de Família custom. Nome único; estado vale para a técnica do personagem.</t>
      </text>
    </comment>
    <comment ref="J951" authorId="0" shapeId="0">
      <text>
        <t>Cadastro de Família custom. Nome único; estado vale para a técnica do personagem.</t>
      </text>
    </comment>
    <comment ref="B953" authorId="0" shapeId="0">
      <text>
        <t>Cadastro de Família custom. Nome único; estado vale para a técnica do personagem.</t>
      </text>
    </comment>
    <comment ref="J953" authorId="0" shapeId="0">
      <text>
        <t>Cadastro de Família custom. Nome único; estado vale para a técnica do personagem.</t>
      </text>
    </comment>
    <comment ref="B954" authorId="0" shapeId="0">
      <text>
        <t>Cadastro de Família custom. Nome único; estado vale para a técnica do personagem.</t>
      </text>
    </comment>
    <comment ref="F954" authorId="0" shapeId="0">
      <text>
        <t>Cadastro de Família custom. Nome único; estado vale para a técnica do personagem.</t>
      </text>
    </comment>
    <comment ref="J954" authorId="0" shapeId="0">
      <text>
        <t>Cadastro de Família custom. Nome único; estado vale para a técnica do personagem.</t>
      </text>
    </comment>
    <comment ref="N954" authorId="0" shapeId="0">
      <text>
        <t>Cadastro de Família custom. Nome único; estado vale para a técnica do personagem.</t>
      </text>
    </comment>
    <comment ref="B955" authorId="0" shapeId="0">
      <text>
        <t>Cadastro de Família custom. Nome único; estado vale para a técnica do personagem.</t>
      </text>
    </comment>
    <comment ref="F955" authorId="0" shapeId="0">
      <text>
        <t>Lembrete marcado pelo jogador. Aprovação ocorre pelo bot no chat.</t>
      </text>
    </comment>
    <comment ref="J955" authorId="0" shapeId="0">
      <text>
        <t>Cadastro de Família custom. Nome único; estado vale para a técnica do personagem.</t>
      </text>
    </comment>
    <comment ref="N955" authorId="0" shapeId="0">
      <text>
        <t>Lembrete marcado pelo jogador. Aprovação ocorre pelo bot no chat.</t>
      </text>
    </comment>
    <comment ref="B956" authorId="0" shapeId="0">
      <text>
        <t>Cadastro de Família custom. Nome único; estado vale para a técnica do personagem.</t>
      </text>
    </comment>
    <comment ref="J956" authorId="0" shapeId="0">
      <text>
        <t>Cadastro de Família custom. Nome único; estado vale para a técnica do personagem.</t>
      </text>
    </comment>
    <comment ref="B957" authorId="0" shapeId="0">
      <text>
        <t>Cadastro de Família custom. Nome único; estado vale para a técnica do personagem.</t>
      </text>
    </comment>
    <comment ref="J957" authorId="0" shapeId="0">
      <text>
        <t>Cadastro de Família custom. Nome único; estado vale para a técnica do personagem.</t>
      </text>
    </comment>
    <comment ref="B958" authorId="0" shapeId="0">
      <text>
        <t>Cadastro de Família custom. Nome único; estado vale para a técnica do personagem.</t>
      </text>
    </comment>
    <comment ref="E958" authorId="0" shapeId="0">
      <text>
        <t>Cadastro de Família custom. Nome único; estado vale para a técnica do personagem.</t>
      </text>
    </comment>
    <comment ref="J958" authorId="0" shapeId="0">
      <text>
        <t>Cadastro de Família custom. Nome único; estado vale para a técnica do personagem.</t>
      </text>
    </comment>
    <comment ref="M958" authorId="0" shapeId="0">
      <text>
        <t>Cadastro de Família custom. Nome único; estado vale para a técnica do personagem.</t>
      </text>
    </comment>
    <comment ref="B959" authorId="0" shapeId="0">
      <text>
        <t>Cadastro de Família custom. Nome único; estado vale para a técnica do personagem.</t>
      </text>
    </comment>
    <comment ref="J959" authorId="0" shapeId="0">
      <text>
        <t>Cadastro de Família custom. Nome único; estado vale para a técnica do personagem.</t>
      </text>
    </comment>
    <comment ref="B960" authorId="0" shapeId="0">
      <text>
        <t>Tema e descrição da Família criada com o mestre.</t>
      </text>
    </comment>
    <comment ref="J960" authorId="0" shapeId="0">
      <text>
        <t>Tema e descrição da Família criada com o mestre.</t>
      </text>
    </comment>
    <comment ref="B965" authorId="0" shapeId="0">
      <text>
        <t>Cadastro de Família custom. Nome único; estado vale para a técnica do personagem.</t>
      </text>
    </comment>
    <comment ref="J965" authorId="0" shapeId="0">
      <text>
        <t>Cadastro de Família custom. Nome único; estado vale para a técnica do personagem.</t>
      </text>
    </comment>
    <comment ref="B967" authorId="0" shapeId="0">
      <text>
        <t>Cadastro de Família custom. Nome único; estado vale para a técnica do personagem.</t>
      </text>
    </comment>
    <comment ref="J967" authorId="0" shapeId="0">
      <text>
        <t>Cadastro de Família custom. Nome único; estado vale para a técnica do personagem.</t>
      </text>
    </comment>
    <comment ref="B968" authorId="0" shapeId="0">
      <text>
        <t>Cadastro de Família custom. Nome único; estado vale para a técnica do personagem.</t>
      </text>
    </comment>
    <comment ref="F968" authorId="0" shapeId="0">
      <text>
        <t>Cadastro de Família custom. Nome único; estado vale para a técnica do personagem.</t>
      </text>
    </comment>
    <comment ref="J968" authorId="0" shapeId="0">
      <text>
        <t>Cadastro de Família custom. Nome único; estado vale para a técnica do personagem.</t>
      </text>
    </comment>
    <comment ref="N968" authorId="0" shapeId="0">
      <text>
        <t>Cadastro de Família custom. Nome único; estado vale para a técnica do personagem.</t>
      </text>
    </comment>
    <comment ref="B969" authorId="0" shapeId="0">
      <text>
        <t>Cadastro de Família custom. Nome único; estado vale para a técnica do personagem.</t>
      </text>
    </comment>
    <comment ref="F969" authorId="0" shapeId="0">
      <text>
        <t>Lembrete marcado pelo jogador. Aprovação ocorre pelo bot no chat.</t>
      </text>
    </comment>
    <comment ref="J969" authorId="0" shapeId="0">
      <text>
        <t>Cadastro de Família custom. Nome único; estado vale para a técnica do personagem.</t>
      </text>
    </comment>
    <comment ref="N969" authorId="0" shapeId="0">
      <text>
        <t>Lembrete marcado pelo jogador. Aprovação ocorre pelo bot no chat.</t>
      </text>
    </comment>
    <comment ref="B970" authorId="0" shapeId="0">
      <text>
        <t>Cadastro de Família custom. Nome único; estado vale para a técnica do personagem.</t>
      </text>
    </comment>
    <comment ref="J970" authorId="0" shapeId="0">
      <text>
        <t>Cadastro de Família custom. Nome único; estado vale para a técnica do personagem.</t>
      </text>
    </comment>
    <comment ref="B971" authorId="0" shapeId="0">
      <text>
        <t>Cadastro de Família custom. Nome único; estado vale para a técnica do personagem.</t>
      </text>
    </comment>
    <comment ref="J971" authorId="0" shapeId="0">
      <text>
        <t>Cadastro de Família custom. Nome único; estado vale para a técnica do personagem.</t>
      </text>
    </comment>
    <comment ref="B972" authorId="0" shapeId="0">
      <text>
        <t>Cadastro de Família custom. Nome único; estado vale para a técnica do personagem.</t>
      </text>
    </comment>
    <comment ref="E972" authorId="0" shapeId="0">
      <text>
        <t>Cadastro de Família custom. Nome único; estado vale para a técnica do personagem.</t>
      </text>
    </comment>
    <comment ref="J972" authorId="0" shapeId="0">
      <text>
        <t>Cadastro de Família custom. Nome único; estado vale para a técnica do personagem.</t>
      </text>
    </comment>
    <comment ref="M972" authorId="0" shapeId="0">
      <text>
        <t>Cadastro de Família custom. Nome único; estado vale para a técnica do personagem.</t>
      </text>
    </comment>
    <comment ref="B973" authorId="0" shapeId="0">
      <text>
        <t>Cadastro de Família custom. Nome único; estado vale para a técnica do personagem.</t>
      </text>
    </comment>
    <comment ref="J973" authorId="0" shapeId="0">
      <text>
        <t>Cadastro de Família custom. Nome único; estado vale para a técnica do personagem.</t>
      </text>
    </comment>
    <comment ref="B974" authorId="0" shapeId="0">
      <text>
        <t>Tema e descrição da Família criada com o mestre.</t>
      </text>
    </comment>
    <comment ref="J974" authorId="0" shapeId="0">
      <text>
        <t>Tema e descrição da Família criada com o mestre.</t>
      </text>
    </comment>
    <comment ref="B979" authorId="0" shapeId="0">
      <text>
        <t>Cadastro de Família custom. Nome único; estado vale para a técnica do personagem.</t>
      </text>
    </comment>
    <comment ref="J979" authorId="0" shapeId="0">
      <text>
        <t>Cadastro de Família custom. Nome único; estado vale para a técnica do personagem.</t>
      </text>
    </comment>
    <comment ref="B981" authorId="0" shapeId="0">
      <text>
        <t>Cadastro de Família custom. Nome único; estado vale para a técnica do personagem.</t>
      </text>
    </comment>
    <comment ref="J981" authorId="0" shapeId="0">
      <text>
        <t>Cadastro de Família custom. Nome único; estado vale para a técnica do personagem.</t>
      </text>
    </comment>
    <comment ref="B982" authorId="0" shapeId="0">
      <text>
        <t>Cadastro de Família custom. Nome único; estado vale para a técnica do personagem.</t>
      </text>
    </comment>
    <comment ref="F982" authorId="0" shapeId="0">
      <text>
        <t>Cadastro de Família custom. Nome único; estado vale para a técnica do personagem.</t>
      </text>
    </comment>
    <comment ref="J982" authorId="0" shapeId="0">
      <text>
        <t>Cadastro de Família custom. Nome único; estado vale para a técnica do personagem.</t>
      </text>
    </comment>
    <comment ref="N982" authorId="0" shapeId="0">
      <text>
        <t>Cadastro de Família custom. Nome único; estado vale para a técnica do personagem.</t>
      </text>
    </comment>
    <comment ref="B983" authorId="0" shapeId="0">
      <text>
        <t>Cadastro de Família custom. Nome único; estado vale para a técnica do personagem.</t>
      </text>
    </comment>
    <comment ref="F983" authorId="0" shapeId="0">
      <text>
        <t>Lembrete marcado pelo jogador. Aprovação ocorre pelo bot no chat.</t>
      </text>
    </comment>
    <comment ref="J983" authorId="0" shapeId="0">
      <text>
        <t>Cadastro de Família custom. Nome único; estado vale para a técnica do personagem.</t>
      </text>
    </comment>
    <comment ref="N983" authorId="0" shapeId="0">
      <text>
        <t>Lembrete marcado pelo jogador. Aprovação ocorre pelo bot no chat.</t>
      </text>
    </comment>
    <comment ref="B984" authorId="0" shapeId="0">
      <text>
        <t>Cadastro de Família custom. Nome único; estado vale para a técnica do personagem.</t>
      </text>
    </comment>
    <comment ref="J984" authorId="0" shapeId="0">
      <text>
        <t>Cadastro de Família custom. Nome único; estado vale para a técnica do personagem.</t>
      </text>
    </comment>
    <comment ref="B985" authorId="0" shapeId="0">
      <text>
        <t>Cadastro de Família custom. Nome único; estado vale para a técnica do personagem.</t>
      </text>
    </comment>
    <comment ref="J985" authorId="0" shapeId="0">
      <text>
        <t>Cadastro de Família custom. Nome único; estado vale para a técnica do personagem.</t>
      </text>
    </comment>
    <comment ref="B986" authorId="0" shapeId="0">
      <text>
        <t>Cadastro de Família custom. Nome único; estado vale para a técnica do personagem.</t>
      </text>
    </comment>
    <comment ref="E986" authorId="0" shapeId="0">
      <text>
        <t>Cadastro de Família custom. Nome único; estado vale para a técnica do personagem.</t>
      </text>
    </comment>
    <comment ref="J986" authorId="0" shapeId="0">
      <text>
        <t>Cadastro de Família custom. Nome único; estado vale para a técnica do personagem.</t>
      </text>
    </comment>
    <comment ref="M986" authorId="0" shapeId="0">
      <text>
        <t>Cadastro de Família custom. Nome único; estado vale para a técnica do personagem.</t>
      </text>
    </comment>
    <comment ref="B987" authorId="0" shapeId="0">
      <text>
        <t>Cadastro de Família custom. Nome único; estado vale para a técnica do personagem.</t>
      </text>
    </comment>
    <comment ref="J987" authorId="0" shapeId="0">
      <text>
        <t>Cadastro de Família custom. Nome único; estado vale para a técnica do personagem.</t>
      </text>
    </comment>
    <comment ref="B988" authorId="0" shapeId="0">
      <text>
        <t>Tema e descrição da Família criada com o mestre.</t>
      </text>
    </comment>
    <comment ref="J988" authorId="0" shapeId="0">
      <text>
        <t>Tema e descrição da Família criada com o mestre.</t>
      </text>
    </comment>
    <comment ref="B993" authorId="0" shapeId="0">
      <text>
        <t>Cadastro de Família custom. Nome único; estado vale para a técnica do personagem.</t>
      </text>
    </comment>
    <comment ref="J993" authorId="0" shapeId="0">
      <text>
        <t>Cadastro de Família custom. Nome único; estado vale para a técnica do personagem.</t>
      </text>
    </comment>
    <comment ref="B995" authorId="0" shapeId="0">
      <text>
        <t>Cadastro de Família custom. Nome único; estado vale para a técnica do personagem.</t>
      </text>
    </comment>
    <comment ref="J995" authorId="0" shapeId="0">
      <text>
        <t>Cadastro de Família custom. Nome único; estado vale para a técnica do personagem.</t>
      </text>
    </comment>
    <comment ref="B996" authorId="0" shapeId="0">
      <text>
        <t>Cadastro de Família custom. Nome único; estado vale para a técnica do personagem.</t>
      </text>
    </comment>
    <comment ref="F996" authorId="0" shapeId="0">
      <text>
        <t>Cadastro de Família custom. Nome único; estado vale para a técnica do personagem.</t>
      </text>
    </comment>
    <comment ref="J996" authorId="0" shapeId="0">
      <text>
        <t>Cadastro de Família custom. Nome único; estado vale para a técnica do personagem.</t>
      </text>
    </comment>
    <comment ref="N996" authorId="0" shapeId="0">
      <text>
        <t>Cadastro de Família custom. Nome único; estado vale para a técnica do personagem.</t>
      </text>
    </comment>
    <comment ref="B997" authorId="0" shapeId="0">
      <text>
        <t>Cadastro de Família custom. Nome único; estado vale para a técnica do personagem.</t>
      </text>
    </comment>
    <comment ref="F997" authorId="0" shapeId="0">
      <text>
        <t>Lembrete marcado pelo jogador. Aprovação ocorre pelo bot no chat.</t>
      </text>
    </comment>
    <comment ref="J997" authorId="0" shapeId="0">
      <text>
        <t>Cadastro de Família custom. Nome único; estado vale para a técnica do personagem.</t>
      </text>
    </comment>
    <comment ref="N997" authorId="0" shapeId="0">
      <text>
        <t>Lembrete marcado pelo jogador. Aprovação ocorre pelo bot no chat.</t>
      </text>
    </comment>
    <comment ref="B998" authorId="0" shapeId="0">
      <text>
        <t>Cadastro de Família custom. Nome único; estado vale para a técnica do personagem.</t>
      </text>
    </comment>
    <comment ref="J998" authorId="0" shapeId="0">
      <text>
        <t>Cadastro de Família custom. Nome único; estado vale para a técnica do personagem.</t>
      </text>
    </comment>
    <comment ref="B999" authorId="0" shapeId="0">
      <text>
        <t>Cadastro de Família custom. Nome único; estado vale para a técnica do personagem.</t>
      </text>
    </comment>
    <comment ref="J999" authorId="0" shapeId="0">
      <text>
        <t>Cadastro de Família custom. Nome único; estado vale para a técnica do personagem.</t>
      </text>
    </comment>
    <comment ref="B1000" authorId="0" shapeId="0">
      <text>
        <t>Cadastro de Família custom. Nome único; estado vale para a técnica do personagem.</t>
      </text>
    </comment>
    <comment ref="E1000" authorId="0" shapeId="0">
      <text>
        <t>Cadastro de Família custom. Nome único; estado vale para a técnica do personagem.</t>
      </text>
    </comment>
    <comment ref="J1000" authorId="0" shapeId="0">
      <text>
        <t>Cadastro de Família custom. Nome único; estado vale para a técnica do personagem.</t>
      </text>
    </comment>
    <comment ref="M1000" authorId="0" shapeId="0">
      <text>
        <t>Cadastro de Família custom. Nome único; estado vale para a técnica do personagem.</t>
      </text>
    </comment>
    <comment ref="B1001" authorId="0" shapeId="0">
      <text>
        <t>Cadastro de Família custom. Nome único; estado vale para a técnica do personagem.</t>
      </text>
    </comment>
    <comment ref="J1001" authorId="0" shapeId="0">
      <text>
        <t>Cadastro de Família custom. Nome único; estado vale para a técnica do personagem.</t>
      </text>
    </comment>
    <comment ref="B1002" authorId="0" shapeId="0">
      <text>
        <t>Tema e descrição da Família criada com o mestre.</t>
      </text>
    </comment>
    <comment ref="J1002" authorId="0" shapeId="0">
      <text>
        <t>Tema e descrição da Família criada com o mestre.</t>
      </text>
    </comment>
    <comment ref="B1007" authorId="0" shapeId="0">
      <text>
        <t>Cadastro de Família custom. Nome único; estado vale para a técnica do personagem.</t>
      </text>
    </comment>
    <comment ref="J1007" authorId="0" shapeId="0">
      <text>
        <t>Cadastro de Família custom. Nome único; estado vale para a técnica do personagem.</t>
      </text>
    </comment>
    <comment ref="B1009" authorId="0" shapeId="0">
      <text>
        <t>Campo do cadastro custom. Em branco herda a base do livro, quando escolhida.</t>
      </text>
    </comment>
    <comment ref="B1011" authorId="0" shapeId="0">
      <text>
        <t>Campo do cadastro custom. Em branco herda a base do livro, quando escolhida.</t>
      </text>
    </comment>
    <comment ref="J1011" authorId="0" shapeId="0">
      <text>
        <t>Campo do cadastro custom. Em branco herda a base do livro, quando escolhida.</t>
      </text>
    </comment>
    <comment ref="B1012" authorId="0" shapeId="0">
      <text>
        <t>Campo do cadastro custom. Em branco herda a base do livro, quando escolhida.</t>
      </text>
    </comment>
    <comment ref="F1012" authorId="0" shapeId="0">
      <text>
        <t>Campo do cadastro custom. Em branco herda a base do livro, quando escolhida.</t>
      </text>
    </comment>
    <comment ref="J1012" authorId="0" shapeId="0">
      <text>
        <t>Campo do cadastro custom. Em branco herda a base do livro, quando escolhida.</t>
      </text>
    </comment>
    <comment ref="N1012" authorId="0" shapeId="0">
      <text>
        <t>Campo do cadastro custom. Em branco herda a base do livro, quando escolhida.</t>
      </text>
    </comment>
    <comment ref="B1013" authorId="0" shapeId="0">
      <text>
        <t>Condição usa este mesmo cadastro e orçamento de Melhoria. Família em branco usa a base ou Controle sem base; EXIGE TR deve ficar vazio ou Sim. Peso e efeito seguem os campos deste cartão. Texto não executa regras.</t>
      </text>
    </comment>
    <comment ref="F1013" authorId="0" shapeId="0">
      <text>
        <t>Lembrete marcado pelo jogador. Aprovação ocorre pelo bot no chat.</t>
      </text>
    </comment>
    <comment ref="J1013" authorId="0" shapeId="0">
      <text>
        <t>Condição usa este mesmo cadastro e orçamento de Melhoria. Família em branco usa a base ou Controle sem base; EXIGE TR deve ficar vazio ou Sim. Peso e efeito seguem os campos deste cartão. Texto não executa regras.</t>
      </text>
    </comment>
    <comment ref="N1013" authorId="0" shapeId="0">
      <text>
        <t>Lembrete marcado pelo jogador. Aprovação ocorre pelo bot no chat.</t>
      </text>
    </comment>
    <comment ref="B1014" authorId="0" shapeId="0">
      <text>
        <t>Campo do cadastro custom. Em branco herda a base do livro, quando escolhida.</t>
      </text>
    </comment>
    <comment ref="J1014" authorId="0" shapeId="0">
      <text>
        <t>Campo do cadastro custom. Em branco herda a base do livro, quando escolhida.</t>
      </text>
    </comment>
    <comment ref="B1015" authorId="0" shapeId="0">
      <text>
        <t>Campo do cadastro custom. Em branco herda a base do livro, quando escolhida.</t>
      </text>
    </comment>
    <comment ref="J1015" authorId="0" shapeId="0">
      <text>
        <t>Campo do cadastro custom. Em branco herda a base do livro, quando escolhida.</t>
      </text>
    </comment>
    <comment ref="B1016" authorId="0" shapeId="0">
      <text>
        <t>Opcional. Nenhuma cria do zero. Com base, campos em branco e verificações específicas herdam o livro. Texto livre não cria automações.</t>
      </text>
    </comment>
    <comment ref="E1016" authorId="0" shapeId="0">
      <text>
        <t>Opcional. Nenhuma cria do zero. Com base, campos em branco e verificações específicas herdam o livro. Texto livre não cria automações.</t>
      </text>
    </comment>
    <comment ref="J1016" authorId="0" shapeId="0">
      <text>
        <t>Opcional. Nenhuma cria do zero. Com base, campos em branco e verificações específicas herdam o livro. Texto livre não cria automações.</t>
      </text>
    </comment>
    <comment ref="M1016" authorId="0" shapeId="0">
      <text>
        <t>Opcional. Nenhuma cria do zero. Com base, campos em branco e verificações específicas herdam o livro. Texto livre não cria automações.</t>
      </text>
    </comment>
    <comment ref="B1017" authorId="0" shapeId="0">
      <text>
        <t>Em branco herda a base; Nenhuma remove a Família. A técnica usa o estado cadastrado; entidades usam suas próprias Famílias abertas.</t>
      </text>
    </comment>
    <comment ref="E1017" authorId="0" shapeId="0">
      <text>
        <t>Em branco herda a base; Nenhuma remove a Família. A técnica usa o estado cadastrado; entidades usam suas próprias Famílias abertas.</t>
      </text>
    </comment>
    <comment ref="J1017" authorId="0" shapeId="0">
      <text>
        <t>Em branco herda a base; Nenhuma remove a Família. A técnica usa o estado cadastrado; entidades usam suas próprias Famílias abertas.</t>
      </text>
    </comment>
    <comment ref="M1017" authorId="0" shapeId="0">
      <text>
        <t>Em branco herda a base; Nenhuma remove a Família. A técnica usa o estado cadastrado; entidades usam suas próprias Famílias abertas.</t>
      </text>
    </comment>
    <comment ref="B1018" authorId="0" shapeId="0">
      <text>
        <t>Em branco herda a base. Sem base, escolha Leve, Média ou Pesada. Preços e desconto seguem a Classe da ficha.</t>
      </text>
    </comment>
    <comment ref="E1018" authorId="0" shapeId="0">
      <text>
        <t>Em branco herda a base. Sem base, escolha Leve, Média ou Pesada. Preços e desconto seguem a Classe da ficha.</t>
      </text>
    </comment>
    <comment ref="J1018" authorId="0" shapeId="0">
      <text>
        <t>Em branco herda a base. Sem base, escolha Leve, Média ou Pesada. Preços e desconto seguem a Classe da ficha.</t>
      </text>
    </comment>
    <comment ref="M1018" authorId="0" shapeId="0">
      <text>
        <t>Em branco herda a base. Sem base, escolha Leve, Média ou Pesada. Preços e desconto seguem a Classe da ficha.</t>
      </text>
    </comment>
    <comment ref="B1019" authorId="0" shapeId="0">
      <text>
        <t>Em branco herda a base. Sim indica que o efeito exige TR, inclusive em Forma de ataque.</t>
      </text>
    </comment>
    <comment ref="E1019" authorId="0" shapeId="0">
      <text>
        <t>Em branco herda a base. Sim indica que o efeito exige TR, inclusive em Forma de ataque.</t>
      </text>
    </comment>
    <comment ref="J1019" authorId="0" shapeId="0">
      <text>
        <t>Em branco herda a base. Sim indica que o efeito exige TR, inclusive em Forma de ataque.</t>
      </text>
    </comment>
    <comment ref="M1019" authorId="0" shapeId="0">
      <text>
        <t>Em branco herda a base. Sim indica que o efeito exige TR, inclusive em Forma de ataque.</t>
      </text>
    </comment>
    <comment ref="B1021" authorId="0" shapeId="0">
      <text>
        <t>Campo do cadastro custom. Em branco herda a base do livro, quando escolhida.</t>
      </text>
    </comment>
    <comment ref="J1021" authorId="0" shapeId="0">
      <text>
        <t>Campo do cadastro custom. Em branco herda a base do livro, quando escolhida.</t>
      </text>
    </comment>
    <comment ref="B1022" authorId="0" shapeId="0">
      <text>
        <t>Descreva requisitos, incompatibilidades e limite de compras. Verificações da base continuam; texto livre é conferido pelo mestre e pelo bot.</t>
      </text>
    </comment>
    <comment ref="J1022" authorId="0" shapeId="0">
      <text>
        <t>Descreva requisitos, incompatibilidades e limite de compras. Verificações da base continuam; texto livre é conferido pelo mestre e pelo bot.</t>
      </text>
    </comment>
    <comment ref="B1027" authorId="0" shapeId="0">
      <text>
        <t>Campo do cadastro custom. Em branco herda a base do livro, quando escolhida.</t>
      </text>
    </comment>
    <comment ref="J1027" authorId="0" shapeId="0">
      <text>
        <t>Campo do cadastro custom. Em branco herda a base do livro, quando escolhida.</t>
      </text>
    </comment>
    <comment ref="B1028" authorId="0" shapeId="0">
      <text>
        <t>Efeito completo da Melhoria. Números do personagem sem campo próprio são registrados em BÔNUS E MUDANÇAS.</t>
      </text>
    </comment>
    <comment ref="J1028" authorId="0" shapeId="0">
      <text>
        <t>Efeito completo da Melhoria. Números do personagem sem campo próprio são registrados em BÔNUS E MUDANÇAS.</t>
      </text>
    </comment>
    <comment ref="B1034" authorId="0" shapeId="0">
      <text>
        <t>Campo do cadastro custom. Em branco herda a base do livro, quando escolhida.</t>
      </text>
    </comment>
    <comment ref="J1034" authorId="0" shapeId="0">
      <text>
        <t>Campo do cadastro custom. Em branco herda a base do livro, quando escolhida.</t>
      </text>
    </comment>
    <comment ref="B1037" authorId="0" shapeId="0">
      <text>
        <t>Campo do cadastro custom. Em branco herda a base do livro, quando escolhida.</t>
      </text>
    </comment>
    <comment ref="J1037" authorId="0" shapeId="0">
      <text>
        <t>Campo do cadastro custom. Em branco herda a base do livro, quando escolhida.</t>
      </text>
    </comment>
    <comment ref="B1038" authorId="0" shapeId="0">
      <text>
        <t>Campo do cadastro custom. Em branco herda a base do livro, quando escolhida.</t>
      </text>
    </comment>
    <comment ref="F1038" authorId="0" shapeId="0">
      <text>
        <t>Campo do cadastro custom. Em branco herda a base do livro, quando escolhida.</t>
      </text>
    </comment>
    <comment ref="J1038" authorId="0" shapeId="0">
      <text>
        <t>Campo do cadastro custom. Em branco herda a base do livro, quando escolhida.</t>
      </text>
    </comment>
    <comment ref="N1038" authorId="0" shapeId="0">
      <text>
        <t>Campo do cadastro custom. Em branco herda a base do livro, quando escolhida.</t>
      </text>
    </comment>
    <comment ref="B1039" authorId="0" shapeId="0">
      <text>
        <t>Condição usa este mesmo cadastro e orçamento de Melhoria. Família em branco usa a base ou Controle sem base; EXIGE TR deve ficar vazio ou Sim. Peso e efeito seguem os campos deste cartão. Texto não executa regras.</t>
      </text>
    </comment>
    <comment ref="F1039" authorId="0" shapeId="0">
      <text>
        <t>Lembrete marcado pelo jogador. Aprovação ocorre pelo bot no chat.</t>
      </text>
    </comment>
    <comment ref="J1039" authorId="0" shapeId="0">
      <text>
        <t>Condição usa este mesmo cadastro e orçamento de Melhoria. Família em branco usa a base ou Controle sem base; EXIGE TR deve ficar vazio ou Sim. Peso e efeito seguem os campos deste cartão. Texto não executa regras.</t>
      </text>
    </comment>
    <comment ref="N1039" authorId="0" shapeId="0">
      <text>
        <t>Lembrete marcado pelo jogador. Aprovação ocorre pelo bot no chat.</t>
      </text>
    </comment>
    <comment ref="B1040" authorId="0" shapeId="0">
      <text>
        <t>Campo do cadastro custom. Em branco herda a base do livro, quando escolhida.</t>
      </text>
    </comment>
    <comment ref="J1040" authorId="0" shapeId="0">
      <text>
        <t>Campo do cadastro custom. Em branco herda a base do livro, quando escolhida.</t>
      </text>
    </comment>
    <comment ref="B1041" authorId="0" shapeId="0">
      <text>
        <t>Campo do cadastro custom. Em branco herda a base do livro, quando escolhida.</t>
      </text>
    </comment>
    <comment ref="J1041" authorId="0" shapeId="0">
      <text>
        <t>Campo do cadastro custom. Em branco herda a base do livro, quando escolhida.</t>
      </text>
    </comment>
    <comment ref="B1042" authorId="0" shapeId="0">
      <text>
        <t>Opcional. Nenhuma cria do zero. Com base, campos em branco e verificações específicas herdam o livro. Texto livre não cria automações.</t>
      </text>
    </comment>
    <comment ref="E1042" authorId="0" shapeId="0">
      <text>
        <t>Opcional. Nenhuma cria do zero. Com base, campos em branco e verificações específicas herdam o livro. Texto livre não cria automações.</t>
      </text>
    </comment>
    <comment ref="J1042" authorId="0" shapeId="0">
      <text>
        <t>Opcional. Nenhuma cria do zero. Com base, campos em branco e verificações específicas herdam o livro. Texto livre não cria automações.</t>
      </text>
    </comment>
    <comment ref="M1042" authorId="0" shapeId="0">
      <text>
        <t>Opcional. Nenhuma cria do zero. Com base, campos em branco e verificações específicas herdam o livro. Texto livre não cria automações.</t>
      </text>
    </comment>
    <comment ref="B1043" authorId="0" shapeId="0">
      <text>
        <t>Em branco herda a base; Nenhuma remove a Família. A técnica usa o estado cadastrado; entidades usam suas próprias Famílias abertas.</t>
      </text>
    </comment>
    <comment ref="E1043" authorId="0" shapeId="0">
      <text>
        <t>Em branco herda a base; Nenhuma remove a Família. A técnica usa o estado cadastrado; entidades usam suas próprias Famílias abertas.</t>
      </text>
    </comment>
    <comment ref="J1043" authorId="0" shapeId="0">
      <text>
        <t>Em branco herda a base; Nenhuma remove a Família. A técnica usa o estado cadastrado; entidades usam suas próprias Famílias abertas.</t>
      </text>
    </comment>
    <comment ref="M1043" authorId="0" shapeId="0">
      <text>
        <t>Em branco herda a base; Nenhuma remove a Família. A técnica usa o estado cadastrado; entidades usam suas próprias Famílias abertas.</t>
      </text>
    </comment>
    <comment ref="B1044" authorId="0" shapeId="0">
      <text>
        <t>Em branco herda a base. Sem base, escolha Leve, Média ou Pesada. Preços e desconto seguem a Classe da ficha.</t>
      </text>
    </comment>
    <comment ref="E1044" authorId="0" shapeId="0">
      <text>
        <t>Em branco herda a base. Sem base, escolha Leve, Média ou Pesada. Preços e desconto seguem a Classe da ficha.</t>
      </text>
    </comment>
    <comment ref="J1044" authorId="0" shapeId="0">
      <text>
        <t>Em branco herda a base. Sem base, escolha Leve, Média ou Pesada. Preços e desconto seguem a Classe da ficha.</t>
      </text>
    </comment>
    <comment ref="M1044" authorId="0" shapeId="0">
      <text>
        <t>Em branco herda a base. Sem base, escolha Leve, Média ou Pesada. Preços e desconto seguem a Classe da ficha.</t>
      </text>
    </comment>
    <comment ref="B1045" authorId="0" shapeId="0">
      <text>
        <t>Em branco herda a base. Sim indica que o efeito exige TR, inclusive em Forma de ataque.</t>
      </text>
    </comment>
    <comment ref="E1045" authorId="0" shapeId="0">
      <text>
        <t>Em branco herda a base. Sim indica que o efeito exige TR, inclusive em Forma de ataque.</t>
      </text>
    </comment>
    <comment ref="J1045" authorId="0" shapeId="0">
      <text>
        <t>Em branco herda a base. Sim indica que o efeito exige TR, inclusive em Forma de ataque.</t>
      </text>
    </comment>
    <comment ref="M1045" authorId="0" shapeId="0">
      <text>
        <t>Em branco herda a base. Sim indica que o efeito exige TR, inclusive em Forma de ataque.</t>
      </text>
    </comment>
    <comment ref="B1047" authorId="0" shapeId="0">
      <text>
        <t>Campo do cadastro custom. Em branco herda a base do livro, quando escolhida.</t>
      </text>
    </comment>
    <comment ref="J1047" authorId="0" shapeId="0">
      <text>
        <t>Campo do cadastro custom. Em branco herda a base do livro, quando escolhida.</t>
      </text>
    </comment>
    <comment ref="B1048" authorId="0" shapeId="0">
      <text>
        <t>Descreva requisitos, incompatibilidades e limite de compras. Verificações da base continuam; texto livre é conferido pelo mestre e pelo bot.</t>
      </text>
    </comment>
    <comment ref="J1048" authorId="0" shapeId="0">
      <text>
        <t>Descreva requisitos, incompatibilidades e limite de compras. Verificações da base continuam; texto livre é conferido pelo mestre e pelo bot.</t>
      </text>
    </comment>
    <comment ref="B1053" authorId="0" shapeId="0">
      <text>
        <t>Campo do cadastro custom. Em branco herda a base do livro, quando escolhida.</t>
      </text>
    </comment>
    <comment ref="J1053" authorId="0" shapeId="0">
      <text>
        <t>Campo do cadastro custom. Em branco herda a base do livro, quando escolhida.</t>
      </text>
    </comment>
    <comment ref="B1054" authorId="0" shapeId="0">
      <text>
        <t>Efeito completo da Melhoria. Números do personagem sem campo próprio são registrados em BÔNUS E MUDANÇAS.</t>
      </text>
    </comment>
    <comment ref="J1054" authorId="0" shapeId="0">
      <text>
        <t>Efeito completo da Melhoria. Números do personagem sem campo próprio são registrados em BÔNUS E MUDANÇAS.</t>
      </text>
    </comment>
    <comment ref="B1060" authorId="0" shapeId="0">
      <text>
        <t>Campo do cadastro custom. Em branco herda a base do livro, quando escolhida.</t>
      </text>
    </comment>
    <comment ref="J1060" authorId="0" shapeId="0">
      <text>
        <t>Campo do cadastro custom. Em branco herda a base do livro, quando escolhida.</t>
      </text>
    </comment>
    <comment ref="B1063" authorId="0" shapeId="0">
      <text>
        <t>Campo do cadastro custom. Em branco herda a base do livro, quando escolhida.</t>
      </text>
    </comment>
    <comment ref="J1063" authorId="0" shapeId="0">
      <text>
        <t>Campo do cadastro custom. Em branco herda a base do livro, quando escolhida.</t>
      </text>
    </comment>
    <comment ref="B1064" authorId="0" shapeId="0">
      <text>
        <t>Campo do cadastro custom. Em branco herda a base do livro, quando escolhida.</t>
      </text>
    </comment>
    <comment ref="F1064" authorId="0" shapeId="0">
      <text>
        <t>Campo do cadastro custom. Em branco herda a base do livro, quando escolhida.</t>
      </text>
    </comment>
    <comment ref="J1064" authorId="0" shapeId="0">
      <text>
        <t>Campo do cadastro custom. Em branco herda a base do livro, quando escolhida.</t>
      </text>
    </comment>
    <comment ref="N1064" authorId="0" shapeId="0">
      <text>
        <t>Campo do cadastro custom. Em branco herda a base do livro, quando escolhida.</t>
      </text>
    </comment>
    <comment ref="B1065" authorId="0" shapeId="0">
      <text>
        <t>Condição usa este mesmo cadastro e orçamento de Melhoria. Família em branco usa a base ou Controle sem base; EXIGE TR deve ficar vazio ou Sim. Peso e efeito seguem os campos deste cartão. Texto não executa regras.</t>
      </text>
    </comment>
    <comment ref="F1065" authorId="0" shapeId="0">
      <text>
        <t>Lembrete marcado pelo jogador. Aprovação ocorre pelo bot no chat.</t>
      </text>
    </comment>
    <comment ref="J1065" authorId="0" shapeId="0">
      <text>
        <t>Condição usa este mesmo cadastro e orçamento de Melhoria. Família em branco usa a base ou Controle sem base; EXIGE TR deve ficar vazio ou Sim. Peso e efeito seguem os campos deste cartão. Texto não executa regras.</t>
      </text>
    </comment>
    <comment ref="N1065" authorId="0" shapeId="0">
      <text>
        <t>Lembrete marcado pelo jogador. Aprovação ocorre pelo bot no chat.</t>
      </text>
    </comment>
    <comment ref="B1066" authorId="0" shapeId="0">
      <text>
        <t>Campo do cadastro custom. Em branco herda a base do livro, quando escolhida.</t>
      </text>
    </comment>
    <comment ref="J1066" authorId="0" shapeId="0">
      <text>
        <t>Campo do cadastro custom. Em branco herda a base do livro, quando escolhida.</t>
      </text>
    </comment>
    <comment ref="B1067" authorId="0" shapeId="0">
      <text>
        <t>Campo do cadastro custom. Em branco herda a base do livro, quando escolhida.</t>
      </text>
    </comment>
    <comment ref="J1067" authorId="0" shapeId="0">
      <text>
        <t>Campo do cadastro custom. Em branco herda a base do livro, quando escolhida.</t>
      </text>
    </comment>
    <comment ref="B1068" authorId="0" shapeId="0">
      <text>
        <t>Opcional. Nenhuma cria do zero. Com base, campos em branco e verificações específicas herdam o livro. Texto livre não cria automações.</t>
      </text>
    </comment>
    <comment ref="E1068" authorId="0" shapeId="0">
      <text>
        <t>Opcional. Nenhuma cria do zero. Com base, campos em branco e verificações específicas herdam o livro. Texto livre não cria automações.</t>
      </text>
    </comment>
    <comment ref="J1068" authorId="0" shapeId="0">
      <text>
        <t>Opcional. Nenhuma cria do zero. Com base, campos em branco e verificações específicas herdam o livro. Texto livre não cria automações.</t>
      </text>
    </comment>
    <comment ref="M1068" authorId="0" shapeId="0">
      <text>
        <t>Opcional. Nenhuma cria do zero. Com base, campos em branco e verificações específicas herdam o livro. Texto livre não cria automações.</t>
      </text>
    </comment>
    <comment ref="B1069" authorId="0" shapeId="0">
      <text>
        <t>Em branco herda a base; Nenhuma remove a Família. A técnica usa o estado cadastrado; entidades usam suas próprias Famílias abertas.</t>
      </text>
    </comment>
    <comment ref="E1069" authorId="0" shapeId="0">
      <text>
        <t>Em branco herda a base; Nenhuma remove a Família. A técnica usa o estado cadastrado; entidades usam suas próprias Famílias abertas.</t>
      </text>
    </comment>
    <comment ref="J1069" authorId="0" shapeId="0">
      <text>
        <t>Em branco herda a base; Nenhuma remove a Família. A técnica usa o estado cadastrado; entidades usam suas próprias Famílias abertas.</t>
      </text>
    </comment>
    <comment ref="M1069" authorId="0" shapeId="0">
      <text>
        <t>Em branco herda a base; Nenhuma remove a Família. A técnica usa o estado cadastrado; entidades usam suas próprias Famílias abertas.</t>
      </text>
    </comment>
    <comment ref="B1070" authorId="0" shapeId="0">
      <text>
        <t>Em branco herda a base. Sem base, escolha Leve, Média ou Pesada. Preços e desconto seguem a Classe da ficha.</t>
      </text>
    </comment>
    <comment ref="E1070" authorId="0" shapeId="0">
      <text>
        <t>Em branco herda a base. Sem base, escolha Leve, Média ou Pesada. Preços e desconto seguem a Classe da ficha.</t>
      </text>
    </comment>
    <comment ref="J1070" authorId="0" shapeId="0">
      <text>
        <t>Em branco herda a base. Sem base, escolha Leve, Média ou Pesada. Preços e desconto seguem a Classe da ficha.</t>
      </text>
    </comment>
    <comment ref="M1070" authorId="0" shapeId="0">
      <text>
        <t>Em branco herda a base. Sem base, escolha Leve, Média ou Pesada. Preços e desconto seguem a Classe da ficha.</t>
      </text>
    </comment>
    <comment ref="B1071" authorId="0" shapeId="0">
      <text>
        <t>Em branco herda a base. Sim indica que o efeito exige TR, inclusive em Forma de ataque.</t>
      </text>
    </comment>
    <comment ref="E1071" authorId="0" shapeId="0">
      <text>
        <t>Em branco herda a base. Sim indica que o efeito exige TR, inclusive em Forma de ataque.</t>
      </text>
    </comment>
    <comment ref="J1071" authorId="0" shapeId="0">
      <text>
        <t>Em branco herda a base. Sim indica que o efeito exige TR, inclusive em Forma de ataque.</t>
      </text>
    </comment>
    <comment ref="M1071" authorId="0" shapeId="0">
      <text>
        <t>Em branco herda a base. Sim indica que o efeito exige TR, inclusive em Forma de ataque.</t>
      </text>
    </comment>
    <comment ref="B1073" authorId="0" shapeId="0">
      <text>
        <t>Campo do cadastro custom. Em branco herda a base do livro, quando escolhida.</t>
      </text>
    </comment>
    <comment ref="J1073" authorId="0" shapeId="0">
      <text>
        <t>Campo do cadastro custom. Em branco herda a base do livro, quando escolhida.</t>
      </text>
    </comment>
    <comment ref="B1074" authorId="0" shapeId="0">
      <text>
        <t>Descreva requisitos, incompatibilidades e limite de compras. Verificações da base continuam; texto livre é conferido pelo mestre e pelo bot.</t>
      </text>
    </comment>
    <comment ref="J1074" authorId="0" shapeId="0">
      <text>
        <t>Descreva requisitos, incompatibilidades e limite de compras. Verificações da base continuam; texto livre é conferido pelo mestre e pelo bot.</t>
      </text>
    </comment>
    <comment ref="B1079" authorId="0" shapeId="0">
      <text>
        <t>Campo do cadastro custom. Em branco herda a base do livro, quando escolhida.</t>
      </text>
    </comment>
    <comment ref="J1079" authorId="0" shapeId="0">
      <text>
        <t>Campo do cadastro custom. Em branco herda a base do livro, quando escolhida.</t>
      </text>
    </comment>
    <comment ref="B1080" authorId="0" shapeId="0">
      <text>
        <t>Efeito completo da Melhoria. Números do personagem sem campo próprio são registrados em BÔNUS E MUDANÇAS.</t>
      </text>
    </comment>
    <comment ref="J1080" authorId="0" shapeId="0">
      <text>
        <t>Efeito completo da Melhoria. Números do personagem sem campo próprio são registrados em BÔNUS E MUDANÇAS.</t>
      </text>
    </comment>
    <comment ref="B1086" authorId="0" shapeId="0">
      <text>
        <t>Campo do cadastro custom. Em branco herda a base do livro, quando escolhida.</t>
      </text>
    </comment>
    <comment ref="J1086" authorId="0" shapeId="0">
      <text>
        <t>Campo do cadastro custom. Em branco herda a base do livro, quando escolhida.</t>
      </text>
    </comment>
    <comment ref="B1089" authorId="0" shapeId="0">
      <text>
        <t>Campo do cadastro custom. Em branco herda a base do livro, quando escolhida.</t>
      </text>
    </comment>
    <comment ref="J1089" authorId="0" shapeId="0">
      <text>
        <t>Campo do cadastro custom. Em branco herda a base do livro, quando escolhida.</t>
      </text>
    </comment>
    <comment ref="B1090" authorId="0" shapeId="0">
      <text>
        <t>Campo do cadastro custom. Em branco herda a base do livro, quando escolhida.</t>
      </text>
    </comment>
    <comment ref="F1090" authorId="0" shapeId="0">
      <text>
        <t>Campo do cadastro custom. Em branco herda a base do livro, quando escolhida.</t>
      </text>
    </comment>
    <comment ref="J1090" authorId="0" shapeId="0">
      <text>
        <t>Campo do cadastro custom. Em branco herda a base do livro, quando escolhida.</t>
      </text>
    </comment>
    <comment ref="N1090" authorId="0" shapeId="0">
      <text>
        <t>Campo do cadastro custom. Em branco herda a base do livro, quando escolhida.</t>
      </text>
    </comment>
    <comment ref="B1091" authorId="0" shapeId="0">
      <text>
        <t>Condição usa este mesmo cadastro e orçamento de Melhoria. Família em branco usa a base ou Controle sem base; EXIGE TR deve ficar vazio ou Sim. Peso e efeito seguem os campos deste cartão. Texto não executa regras.</t>
      </text>
    </comment>
    <comment ref="F1091" authorId="0" shapeId="0">
      <text>
        <t>Lembrete marcado pelo jogador. Aprovação ocorre pelo bot no chat.</t>
      </text>
    </comment>
    <comment ref="J1091" authorId="0" shapeId="0">
      <text>
        <t>Condição usa este mesmo cadastro e orçamento de Melhoria. Família em branco usa a base ou Controle sem base; EXIGE TR deve ficar vazio ou Sim. Peso e efeito seguem os campos deste cartão. Texto não executa regras.</t>
      </text>
    </comment>
    <comment ref="N1091" authorId="0" shapeId="0">
      <text>
        <t>Lembrete marcado pelo jogador. Aprovação ocorre pelo bot no chat.</t>
      </text>
    </comment>
    <comment ref="B1092" authorId="0" shapeId="0">
      <text>
        <t>Campo do cadastro custom. Em branco herda a base do livro, quando escolhida.</t>
      </text>
    </comment>
    <comment ref="J1092" authorId="0" shapeId="0">
      <text>
        <t>Campo do cadastro custom. Em branco herda a base do livro, quando escolhida.</t>
      </text>
    </comment>
    <comment ref="B1093" authorId="0" shapeId="0">
      <text>
        <t>Campo do cadastro custom. Em branco herda a base do livro, quando escolhida.</t>
      </text>
    </comment>
    <comment ref="J1093" authorId="0" shapeId="0">
      <text>
        <t>Campo do cadastro custom. Em branco herda a base do livro, quando escolhida.</t>
      </text>
    </comment>
    <comment ref="B1094" authorId="0" shapeId="0">
      <text>
        <t>Opcional. Nenhuma cria do zero. Com base, campos em branco e verificações específicas herdam o livro. Texto livre não cria automações.</t>
      </text>
    </comment>
    <comment ref="E1094" authorId="0" shapeId="0">
      <text>
        <t>Opcional. Nenhuma cria do zero. Com base, campos em branco e verificações específicas herdam o livro. Texto livre não cria automações.</t>
      </text>
    </comment>
    <comment ref="J1094" authorId="0" shapeId="0">
      <text>
        <t>Opcional. Nenhuma cria do zero. Com base, campos em branco e verificações específicas herdam o livro. Texto livre não cria automações.</t>
      </text>
    </comment>
    <comment ref="M1094" authorId="0" shapeId="0">
      <text>
        <t>Opcional. Nenhuma cria do zero. Com base, campos em branco e verificações específicas herdam o livro. Texto livre não cria automações.</t>
      </text>
    </comment>
    <comment ref="B1095" authorId="0" shapeId="0">
      <text>
        <t>Em branco herda a base; Nenhuma remove a Família. A técnica usa o estado cadastrado; entidades usam suas próprias Famílias abertas.</t>
      </text>
    </comment>
    <comment ref="E1095" authorId="0" shapeId="0">
      <text>
        <t>Em branco herda a base; Nenhuma remove a Família. A técnica usa o estado cadastrado; entidades usam suas próprias Famílias abertas.</t>
      </text>
    </comment>
    <comment ref="J1095" authorId="0" shapeId="0">
      <text>
        <t>Em branco herda a base; Nenhuma remove a Família. A técnica usa o estado cadastrado; entidades usam suas próprias Famílias abertas.</t>
      </text>
    </comment>
    <comment ref="M1095" authorId="0" shapeId="0">
      <text>
        <t>Em branco herda a base; Nenhuma remove a Família. A técnica usa o estado cadastrado; entidades usam suas próprias Famílias abertas.</t>
      </text>
    </comment>
    <comment ref="B1096" authorId="0" shapeId="0">
      <text>
        <t>Em branco herda a base. Sem base, escolha Leve, Média ou Pesada. Preços e desconto seguem a Classe da ficha.</t>
      </text>
    </comment>
    <comment ref="E1096" authorId="0" shapeId="0">
      <text>
        <t>Em branco herda a base. Sem base, escolha Leve, Média ou Pesada. Preços e desconto seguem a Classe da ficha.</t>
      </text>
    </comment>
    <comment ref="J1096" authorId="0" shapeId="0">
      <text>
        <t>Em branco herda a base. Sem base, escolha Leve, Média ou Pesada. Preços e desconto seguem a Classe da ficha.</t>
      </text>
    </comment>
    <comment ref="M1096" authorId="0" shapeId="0">
      <text>
        <t>Em branco herda a base. Sem base, escolha Leve, Média ou Pesada. Preços e desconto seguem a Classe da ficha.</t>
      </text>
    </comment>
    <comment ref="B1097" authorId="0" shapeId="0">
      <text>
        <t>Em branco herda a base. Sim indica que o efeito exige TR, inclusive em Forma de ataque.</t>
      </text>
    </comment>
    <comment ref="E1097" authorId="0" shapeId="0">
      <text>
        <t>Em branco herda a base. Sim indica que o efeito exige TR, inclusive em Forma de ataque.</t>
      </text>
    </comment>
    <comment ref="J1097" authorId="0" shapeId="0">
      <text>
        <t>Em branco herda a base. Sim indica que o efeito exige TR, inclusive em Forma de ataque.</t>
      </text>
    </comment>
    <comment ref="M1097" authorId="0" shapeId="0">
      <text>
        <t>Em branco herda a base. Sim indica que o efeito exige TR, inclusive em Forma de ataque.</t>
      </text>
    </comment>
    <comment ref="B1099" authorId="0" shapeId="0">
      <text>
        <t>Campo do cadastro custom. Em branco herda a base do livro, quando escolhida.</t>
      </text>
    </comment>
    <comment ref="J1099" authorId="0" shapeId="0">
      <text>
        <t>Campo do cadastro custom. Em branco herda a base do livro, quando escolhida.</t>
      </text>
    </comment>
    <comment ref="B1100" authorId="0" shapeId="0">
      <text>
        <t>Descreva requisitos, incompatibilidades e limite de compras. Verificações da base continuam; texto livre é conferido pelo mestre e pelo bot.</t>
      </text>
    </comment>
    <comment ref="J1100" authorId="0" shapeId="0">
      <text>
        <t>Descreva requisitos, incompatibilidades e limite de compras. Verificações da base continuam; texto livre é conferido pelo mestre e pelo bot.</t>
      </text>
    </comment>
    <comment ref="B1105" authorId="0" shapeId="0">
      <text>
        <t>Campo do cadastro custom. Em branco herda a base do livro, quando escolhida.</t>
      </text>
    </comment>
    <comment ref="J1105" authorId="0" shapeId="0">
      <text>
        <t>Campo do cadastro custom. Em branco herda a base do livro, quando escolhida.</t>
      </text>
    </comment>
    <comment ref="B1106" authorId="0" shapeId="0">
      <text>
        <t>Efeito completo da Melhoria. Números do personagem sem campo próprio são registrados em BÔNUS E MUDANÇAS.</t>
      </text>
    </comment>
    <comment ref="J1106" authorId="0" shapeId="0">
      <text>
        <t>Efeito completo da Melhoria. Números do personagem sem campo próprio são registrados em BÔNUS E MUDANÇAS.</t>
      </text>
    </comment>
    <comment ref="B1112" authorId="0" shapeId="0">
      <text>
        <t>Campo do cadastro custom. Em branco herda a base do livro, quando escolhida.</t>
      </text>
    </comment>
    <comment ref="J1112" authorId="0" shapeId="0">
      <text>
        <t>Campo do cadastro custom. Em branco herda a base do livro, quando escolhida.</t>
      </text>
    </comment>
    <comment ref="B1115" authorId="0" shapeId="0">
      <text>
        <t>Campo do cadastro custom. Em branco herda a base do livro, quando escolhida.</t>
      </text>
    </comment>
    <comment ref="J1115" authorId="0" shapeId="0">
      <text>
        <t>Campo do cadastro custom. Em branco herda a base do livro, quando escolhida.</t>
      </text>
    </comment>
    <comment ref="B1116" authorId="0" shapeId="0">
      <text>
        <t>Campo do cadastro custom. Em branco herda a base do livro, quando escolhida.</t>
      </text>
    </comment>
    <comment ref="F1116" authorId="0" shapeId="0">
      <text>
        <t>Campo do cadastro custom. Em branco herda a base do livro, quando escolhida.</t>
      </text>
    </comment>
    <comment ref="J1116" authorId="0" shapeId="0">
      <text>
        <t>Campo do cadastro custom. Em branco herda a base do livro, quando escolhida.</t>
      </text>
    </comment>
    <comment ref="N1116" authorId="0" shapeId="0">
      <text>
        <t>Campo do cadastro custom. Em branco herda a base do livro, quando escolhida.</t>
      </text>
    </comment>
    <comment ref="B1117" authorId="0" shapeId="0">
      <text>
        <t>Condição usa este mesmo cadastro e orçamento de Melhoria. Família em branco usa a base ou Controle sem base; EXIGE TR deve ficar vazio ou Sim. Peso e efeito seguem os campos deste cartão. Texto não executa regras.</t>
      </text>
    </comment>
    <comment ref="F1117" authorId="0" shapeId="0">
      <text>
        <t>Lembrete marcado pelo jogador. Aprovação ocorre pelo bot no chat.</t>
      </text>
    </comment>
    <comment ref="J1117" authorId="0" shapeId="0">
      <text>
        <t>Condição usa este mesmo cadastro e orçamento de Melhoria. Família em branco usa a base ou Controle sem base; EXIGE TR deve ficar vazio ou Sim. Peso e efeito seguem os campos deste cartão. Texto não executa regras.</t>
      </text>
    </comment>
    <comment ref="N1117" authorId="0" shapeId="0">
      <text>
        <t>Lembrete marcado pelo jogador. Aprovação ocorre pelo bot no chat.</t>
      </text>
    </comment>
    <comment ref="B1118" authorId="0" shapeId="0">
      <text>
        <t>Campo do cadastro custom. Em branco herda a base do livro, quando escolhida.</t>
      </text>
    </comment>
    <comment ref="J1118" authorId="0" shapeId="0">
      <text>
        <t>Campo do cadastro custom. Em branco herda a base do livro, quando escolhida.</t>
      </text>
    </comment>
    <comment ref="B1119" authorId="0" shapeId="0">
      <text>
        <t>Campo do cadastro custom. Em branco herda a base do livro, quando escolhida.</t>
      </text>
    </comment>
    <comment ref="J1119" authorId="0" shapeId="0">
      <text>
        <t>Campo do cadastro custom. Em branco herda a base do livro, quando escolhida.</t>
      </text>
    </comment>
    <comment ref="B1120" authorId="0" shapeId="0">
      <text>
        <t>Opcional. Nenhuma cria do zero. Com base, campos em branco e verificações específicas herdam o livro. Texto livre não cria automações.</t>
      </text>
    </comment>
    <comment ref="E1120" authorId="0" shapeId="0">
      <text>
        <t>Opcional. Nenhuma cria do zero. Com base, campos em branco e verificações específicas herdam o livro. Texto livre não cria automações.</t>
      </text>
    </comment>
    <comment ref="J1120" authorId="0" shapeId="0">
      <text>
        <t>Opcional. Nenhuma cria do zero. Com base, campos em branco e verificações específicas herdam o livro. Texto livre não cria automações.</t>
      </text>
    </comment>
    <comment ref="M1120" authorId="0" shapeId="0">
      <text>
        <t>Opcional. Nenhuma cria do zero. Com base, campos em branco e verificações específicas herdam o livro. Texto livre não cria automações.</t>
      </text>
    </comment>
    <comment ref="B1121" authorId="0" shapeId="0">
      <text>
        <t>Em branco herda a base; Nenhuma remove a Família. A técnica usa o estado cadastrado; entidades usam suas próprias Famílias abertas.</t>
      </text>
    </comment>
    <comment ref="E1121" authorId="0" shapeId="0">
      <text>
        <t>Em branco herda a base; Nenhuma remove a Família. A técnica usa o estado cadastrado; entidades usam suas próprias Famílias abertas.</t>
      </text>
    </comment>
    <comment ref="J1121" authorId="0" shapeId="0">
      <text>
        <t>Em branco herda a base; Nenhuma remove a Família. A técnica usa o estado cadastrado; entidades usam suas próprias Famílias abertas.</t>
      </text>
    </comment>
    <comment ref="M1121" authorId="0" shapeId="0">
      <text>
        <t>Em branco herda a base; Nenhuma remove a Família. A técnica usa o estado cadastrado; entidades usam suas próprias Famílias abertas.</t>
      </text>
    </comment>
    <comment ref="B1122" authorId="0" shapeId="0">
      <text>
        <t>Em branco herda a base. Sem base, escolha Leve, Média ou Pesada. Preços e desconto seguem a Classe da ficha.</t>
      </text>
    </comment>
    <comment ref="E1122" authorId="0" shapeId="0">
      <text>
        <t>Em branco herda a base. Sem base, escolha Leve, Média ou Pesada. Preços e desconto seguem a Classe da ficha.</t>
      </text>
    </comment>
    <comment ref="J1122" authorId="0" shapeId="0">
      <text>
        <t>Em branco herda a base. Sem base, escolha Leve, Média ou Pesada. Preços e desconto seguem a Classe da ficha.</t>
      </text>
    </comment>
    <comment ref="M1122" authorId="0" shapeId="0">
      <text>
        <t>Em branco herda a base. Sem base, escolha Leve, Média ou Pesada. Preços e desconto seguem a Classe da ficha.</t>
      </text>
    </comment>
    <comment ref="B1123" authorId="0" shapeId="0">
      <text>
        <t>Em branco herda a base. Sim indica que o efeito exige TR, inclusive em Forma de ataque.</t>
      </text>
    </comment>
    <comment ref="E1123" authorId="0" shapeId="0">
      <text>
        <t>Em branco herda a base. Sim indica que o efeito exige TR, inclusive em Forma de ataque.</t>
      </text>
    </comment>
    <comment ref="J1123" authorId="0" shapeId="0">
      <text>
        <t>Em branco herda a base. Sim indica que o efeito exige TR, inclusive em Forma de ataque.</t>
      </text>
    </comment>
    <comment ref="M1123" authorId="0" shapeId="0">
      <text>
        <t>Em branco herda a base. Sim indica que o efeito exige TR, inclusive em Forma de ataque.</t>
      </text>
    </comment>
    <comment ref="B1125" authorId="0" shapeId="0">
      <text>
        <t>Campo do cadastro custom. Em branco herda a base do livro, quando escolhida.</t>
      </text>
    </comment>
    <comment ref="J1125" authorId="0" shapeId="0">
      <text>
        <t>Campo do cadastro custom. Em branco herda a base do livro, quando escolhida.</t>
      </text>
    </comment>
    <comment ref="B1126" authorId="0" shapeId="0">
      <text>
        <t>Descreva requisitos, incompatibilidades e limite de compras. Verificações da base continuam; texto livre é conferido pelo mestre e pelo bot.</t>
      </text>
    </comment>
    <comment ref="J1126" authorId="0" shapeId="0">
      <text>
        <t>Descreva requisitos, incompatibilidades e limite de compras. Verificações da base continuam; texto livre é conferido pelo mestre e pelo bot.</t>
      </text>
    </comment>
    <comment ref="B1131" authorId="0" shapeId="0">
      <text>
        <t>Campo do cadastro custom. Em branco herda a base do livro, quando escolhida.</t>
      </text>
    </comment>
    <comment ref="J1131" authorId="0" shapeId="0">
      <text>
        <t>Campo do cadastro custom. Em branco herda a base do livro, quando escolhida.</t>
      </text>
    </comment>
    <comment ref="B1132" authorId="0" shapeId="0">
      <text>
        <t>Efeito completo da Melhoria. Números do personagem sem campo próprio são registrados em BÔNUS E MUDANÇAS.</t>
      </text>
    </comment>
    <comment ref="J1132" authorId="0" shapeId="0">
      <text>
        <t>Efeito completo da Melhoria. Números do personagem sem campo próprio são registrados em BÔNUS E MUDANÇAS.</t>
      </text>
    </comment>
    <comment ref="B1138" authorId="0" shapeId="0">
      <text>
        <t>Campo do cadastro custom. Em branco herda a base do livro, quando escolhida.</t>
      </text>
    </comment>
    <comment ref="J1138" authorId="0" shapeId="0">
      <text>
        <t>Campo do cadastro custom. Em branco herda a base do livro, quando escolhida.</t>
      </text>
    </comment>
    <comment ref="B1141" authorId="0" shapeId="0">
      <text>
        <t>Campo do cadastro custom. Em branco herda a base do livro, quando escolhida.</t>
      </text>
    </comment>
    <comment ref="J1141" authorId="0" shapeId="0">
      <text>
        <t>Campo do cadastro custom. Em branco herda a base do livro, quando escolhida.</t>
      </text>
    </comment>
    <comment ref="B1142" authorId="0" shapeId="0">
      <text>
        <t>Campo do cadastro custom. Em branco herda a base do livro, quando escolhida.</t>
      </text>
    </comment>
    <comment ref="F1142" authorId="0" shapeId="0">
      <text>
        <t>Campo do cadastro custom. Em branco herda a base do livro, quando escolhida.</t>
      </text>
    </comment>
    <comment ref="J1142" authorId="0" shapeId="0">
      <text>
        <t>Campo do cadastro custom. Em branco herda a base do livro, quando escolhida.</t>
      </text>
    </comment>
    <comment ref="N1142" authorId="0" shapeId="0">
      <text>
        <t>Campo do cadastro custom. Em branco herda a base do livro, quando escolhida.</t>
      </text>
    </comment>
    <comment ref="B1143" authorId="0" shapeId="0">
      <text>
        <t>Condição usa este mesmo cadastro e orçamento de Melhoria. Família em branco usa a base ou Controle sem base; EXIGE TR deve ficar vazio ou Sim. Peso e efeito seguem os campos deste cartão. Texto não executa regras.</t>
      </text>
    </comment>
    <comment ref="F1143" authorId="0" shapeId="0">
      <text>
        <t>Lembrete marcado pelo jogador. Aprovação ocorre pelo bot no chat.</t>
      </text>
    </comment>
    <comment ref="J1143" authorId="0" shapeId="0">
      <text>
        <t>Condição usa este mesmo cadastro e orçamento de Melhoria. Família em branco usa a base ou Controle sem base; EXIGE TR deve ficar vazio ou Sim. Peso e efeito seguem os campos deste cartão. Texto não executa regras.</t>
      </text>
    </comment>
    <comment ref="N1143" authorId="0" shapeId="0">
      <text>
        <t>Lembrete marcado pelo jogador. Aprovação ocorre pelo bot no chat.</t>
      </text>
    </comment>
    <comment ref="B1144" authorId="0" shapeId="0">
      <text>
        <t>Campo do cadastro custom. Em branco herda a base do livro, quando escolhida.</t>
      </text>
    </comment>
    <comment ref="J1144" authorId="0" shapeId="0">
      <text>
        <t>Campo do cadastro custom. Em branco herda a base do livro, quando escolhida.</t>
      </text>
    </comment>
    <comment ref="B1145" authorId="0" shapeId="0">
      <text>
        <t>Campo do cadastro custom. Em branco herda a base do livro, quando escolhida.</t>
      </text>
    </comment>
    <comment ref="J1145" authorId="0" shapeId="0">
      <text>
        <t>Campo do cadastro custom. Em branco herda a base do livro, quando escolhida.</t>
      </text>
    </comment>
    <comment ref="B1146" authorId="0" shapeId="0">
      <text>
        <t>Opcional. Nenhuma cria do zero. Com base, campos em branco e verificações específicas herdam o livro. Texto livre não cria automações.</t>
      </text>
    </comment>
    <comment ref="E1146" authorId="0" shapeId="0">
      <text>
        <t>Opcional. Nenhuma cria do zero. Com base, campos em branco e verificações específicas herdam o livro. Texto livre não cria automações.</t>
      </text>
    </comment>
    <comment ref="J1146" authorId="0" shapeId="0">
      <text>
        <t>Opcional. Nenhuma cria do zero. Com base, campos em branco e verificações específicas herdam o livro. Texto livre não cria automações.</t>
      </text>
    </comment>
    <comment ref="M1146" authorId="0" shapeId="0">
      <text>
        <t>Opcional. Nenhuma cria do zero. Com base, campos em branco e verificações específicas herdam o livro. Texto livre não cria automações.</t>
      </text>
    </comment>
    <comment ref="B1147" authorId="0" shapeId="0">
      <text>
        <t>Em branco herda a base; Nenhuma remove a Família. A técnica usa o estado cadastrado; entidades usam suas próprias Famílias abertas.</t>
      </text>
    </comment>
    <comment ref="E1147" authorId="0" shapeId="0">
      <text>
        <t>Em branco herda a base; Nenhuma remove a Família. A técnica usa o estado cadastrado; entidades usam suas próprias Famílias abertas.</t>
      </text>
    </comment>
    <comment ref="J1147" authorId="0" shapeId="0">
      <text>
        <t>Em branco herda a base; Nenhuma remove a Família. A técnica usa o estado cadastrado; entidades usam suas próprias Famílias abertas.</t>
      </text>
    </comment>
    <comment ref="M1147" authorId="0" shapeId="0">
      <text>
        <t>Em branco herda a base; Nenhuma remove a Família. A técnica usa o estado cadastrado; entidades usam suas próprias Famílias abertas.</t>
      </text>
    </comment>
    <comment ref="B1148" authorId="0" shapeId="0">
      <text>
        <t>Em branco herda a base. Sem base, escolha Leve, Média ou Pesada. Preços e desconto seguem a Classe da ficha.</t>
      </text>
    </comment>
    <comment ref="E1148" authorId="0" shapeId="0">
      <text>
        <t>Em branco herda a base. Sem base, escolha Leve, Média ou Pesada. Preços e desconto seguem a Classe da ficha.</t>
      </text>
    </comment>
    <comment ref="J1148" authorId="0" shapeId="0">
      <text>
        <t>Em branco herda a base. Sem base, escolha Leve, Média ou Pesada. Preços e desconto seguem a Classe da ficha.</t>
      </text>
    </comment>
    <comment ref="M1148" authorId="0" shapeId="0">
      <text>
        <t>Em branco herda a base. Sem base, escolha Leve, Média ou Pesada. Preços e desconto seguem a Classe da ficha.</t>
      </text>
    </comment>
    <comment ref="B1149" authorId="0" shapeId="0">
      <text>
        <t>Em branco herda a base. Sim indica que o efeito exige TR, inclusive em Forma de ataque.</t>
      </text>
    </comment>
    <comment ref="E1149" authorId="0" shapeId="0">
      <text>
        <t>Em branco herda a base. Sim indica que o efeito exige TR, inclusive em Forma de ataque.</t>
      </text>
    </comment>
    <comment ref="J1149" authorId="0" shapeId="0">
      <text>
        <t>Em branco herda a base. Sim indica que o efeito exige TR, inclusive em Forma de ataque.</t>
      </text>
    </comment>
    <comment ref="M1149" authorId="0" shapeId="0">
      <text>
        <t>Em branco herda a base. Sim indica que o efeito exige TR, inclusive em Forma de ataque.</t>
      </text>
    </comment>
    <comment ref="B1151" authorId="0" shapeId="0">
      <text>
        <t>Campo do cadastro custom. Em branco herda a base do livro, quando escolhida.</t>
      </text>
    </comment>
    <comment ref="J1151" authorId="0" shapeId="0">
      <text>
        <t>Campo do cadastro custom. Em branco herda a base do livro, quando escolhida.</t>
      </text>
    </comment>
    <comment ref="B1152" authorId="0" shapeId="0">
      <text>
        <t>Descreva requisitos, incompatibilidades e limite de compras. Verificações da base continuam; texto livre é conferido pelo mestre e pelo bot.</t>
      </text>
    </comment>
    <comment ref="J1152" authorId="0" shapeId="0">
      <text>
        <t>Descreva requisitos, incompatibilidades e limite de compras. Verificações da base continuam; texto livre é conferido pelo mestre e pelo bot.</t>
      </text>
    </comment>
    <comment ref="B1157" authorId="0" shapeId="0">
      <text>
        <t>Campo do cadastro custom. Em branco herda a base do livro, quando escolhida.</t>
      </text>
    </comment>
    <comment ref="J1157" authorId="0" shapeId="0">
      <text>
        <t>Campo do cadastro custom. Em branco herda a base do livro, quando escolhida.</t>
      </text>
    </comment>
    <comment ref="B1158" authorId="0" shapeId="0">
      <text>
        <t>Efeito completo da Melhoria. Números do personagem sem campo próprio são registrados em BÔNUS E MUDANÇAS.</t>
      </text>
    </comment>
    <comment ref="J1158" authorId="0" shapeId="0">
      <text>
        <t>Efeito completo da Melhoria. Números do personagem sem campo próprio são registrados em BÔNUS E MUDANÇAS.</t>
      </text>
    </comment>
    <comment ref="B1164" authorId="0" shapeId="0">
      <text>
        <t>Campo do cadastro custom. Em branco herda a base do livro, quando escolhida.</t>
      </text>
    </comment>
    <comment ref="J1164" authorId="0" shapeId="0">
      <text>
        <t>Campo do cadastro custom. Em branco herda a base do livro, quando escolhida.</t>
      </text>
    </comment>
    <comment ref="B1167" authorId="0" shapeId="0">
      <text>
        <t>Campo do cadastro custom. Em branco herda a base do livro, quando escolhida.</t>
      </text>
    </comment>
    <comment ref="J1167" authorId="0" shapeId="0">
      <text>
        <t>Campo do cadastro custom. Em branco herda a base do livro, quando escolhida.</t>
      </text>
    </comment>
    <comment ref="B1168" authorId="0" shapeId="0">
      <text>
        <t>Campo do cadastro custom. Em branco herda a base do livro, quando escolhida.</t>
      </text>
    </comment>
    <comment ref="F1168" authorId="0" shapeId="0">
      <text>
        <t>Campo do cadastro custom. Em branco herda a base do livro, quando escolhida.</t>
      </text>
    </comment>
    <comment ref="J1168" authorId="0" shapeId="0">
      <text>
        <t>Campo do cadastro custom. Em branco herda a base do livro, quando escolhida.</t>
      </text>
    </comment>
    <comment ref="N1168" authorId="0" shapeId="0">
      <text>
        <t>Campo do cadastro custom. Em branco herda a base do livro, quando escolhida.</t>
      </text>
    </comment>
    <comment ref="B1169" authorId="0" shapeId="0">
      <text>
        <t>Condição usa este mesmo cadastro e orçamento de Melhoria. Família em branco usa a base ou Controle sem base; EXIGE TR deve ficar vazio ou Sim. Peso e efeito seguem os campos deste cartão. Texto não executa regras.</t>
      </text>
    </comment>
    <comment ref="F1169" authorId="0" shapeId="0">
      <text>
        <t>Lembrete marcado pelo jogador. Aprovação ocorre pelo bot no chat.</t>
      </text>
    </comment>
    <comment ref="J1169" authorId="0" shapeId="0">
      <text>
        <t>Condição usa este mesmo cadastro e orçamento de Melhoria. Família em branco usa a base ou Controle sem base; EXIGE TR deve ficar vazio ou Sim. Peso e efeito seguem os campos deste cartão. Texto não executa regras.</t>
      </text>
    </comment>
    <comment ref="N1169" authorId="0" shapeId="0">
      <text>
        <t>Lembrete marcado pelo jogador. Aprovação ocorre pelo bot no chat.</t>
      </text>
    </comment>
    <comment ref="B1170" authorId="0" shapeId="0">
      <text>
        <t>Campo do cadastro custom. Em branco herda a base do livro, quando escolhida.</t>
      </text>
    </comment>
    <comment ref="J1170" authorId="0" shapeId="0">
      <text>
        <t>Campo do cadastro custom. Em branco herda a base do livro, quando escolhida.</t>
      </text>
    </comment>
    <comment ref="B1171" authorId="0" shapeId="0">
      <text>
        <t>Campo do cadastro custom. Em branco herda a base do livro, quando escolhida.</t>
      </text>
    </comment>
    <comment ref="J1171" authorId="0" shapeId="0">
      <text>
        <t>Campo do cadastro custom. Em branco herda a base do livro, quando escolhida.</t>
      </text>
    </comment>
    <comment ref="B1172" authorId="0" shapeId="0">
      <text>
        <t>Opcional. Nenhuma cria do zero. Com base, campos em branco e verificações específicas herdam o livro. Texto livre não cria automações.</t>
      </text>
    </comment>
    <comment ref="E1172" authorId="0" shapeId="0">
      <text>
        <t>Opcional. Nenhuma cria do zero. Com base, campos em branco e verificações específicas herdam o livro. Texto livre não cria automações.</t>
      </text>
    </comment>
    <comment ref="J1172" authorId="0" shapeId="0">
      <text>
        <t>Opcional. Nenhuma cria do zero. Com base, campos em branco e verificações específicas herdam o livro. Texto livre não cria automações.</t>
      </text>
    </comment>
    <comment ref="M1172" authorId="0" shapeId="0">
      <text>
        <t>Opcional. Nenhuma cria do zero. Com base, campos em branco e verificações específicas herdam o livro. Texto livre não cria automações.</t>
      </text>
    </comment>
    <comment ref="B1173" authorId="0" shapeId="0">
      <text>
        <t>Em branco herda a base; Nenhuma remove a Família. A técnica usa o estado cadastrado; entidades usam suas próprias Famílias abertas.</t>
      </text>
    </comment>
    <comment ref="E1173" authorId="0" shapeId="0">
      <text>
        <t>Em branco herda a base; Nenhuma remove a Família. A técnica usa o estado cadastrado; entidades usam suas próprias Famílias abertas.</t>
      </text>
    </comment>
    <comment ref="J1173" authorId="0" shapeId="0">
      <text>
        <t>Em branco herda a base; Nenhuma remove a Família. A técnica usa o estado cadastrado; entidades usam suas próprias Famílias abertas.</t>
      </text>
    </comment>
    <comment ref="M1173" authorId="0" shapeId="0">
      <text>
        <t>Em branco herda a base; Nenhuma remove a Família. A técnica usa o estado cadastrado; entidades usam suas próprias Famílias abertas.</t>
      </text>
    </comment>
    <comment ref="B1174" authorId="0" shapeId="0">
      <text>
        <t>Em branco herda a base. Sem base, escolha Leve, Média ou Pesada. Preços e desconto seguem a Classe da ficha.</t>
      </text>
    </comment>
    <comment ref="E1174" authorId="0" shapeId="0">
      <text>
        <t>Em branco herda a base. Sem base, escolha Leve, Média ou Pesada. Preços e desconto seguem a Classe da ficha.</t>
      </text>
    </comment>
    <comment ref="J1174" authorId="0" shapeId="0">
      <text>
        <t>Em branco herda a base. Sem base, escolha Leve, Média ou Pesada. Preços e desconto seguem a Classe da ficha.</t>
      </text>
    </comment>
    <comment ref="M1174" authorId="0" shapeId="0">
      <text>
        <t>Em branco herda a base. Sem base, escolha Leve, Média ou Pesada. Preços e desconto seguem a Classe da ficha.</t>
      </text>
    </comment>
    <comment ref="B1175" authorId="0" shapeId="0">
      <text>
        <t>Em branco herda a base. Sim indica que o efeito exige TR, inclusive em Forma de ataque.</t>
      </text>
    </comment>
    <comment ref="E1175" authorId="0" shapeId="0">
      <text>
        <t>Em branco herda a base. Sim indica que o efeito exige TR, inclusive em Forma de ataque.</t>
      </text>
    </comment>
    <comment ref="J1175" authorId="0" shapeId="0">
      <text>
        <t>Em branco herda a base. Sim indica que o efeito exige TR, inclusive em Forma de ataque.</t>
      </text>
    </comment>
    <comment ref="M1175" authorId="0" shapeId="0">
      <text>
        <t>Em branco herda a base. Sim indica que o efeito exige TR, inclusive em Forma de ataque.</t>
      </text>
    </comment>
    <comment ref="B1177" authorId="0" shapeId="0">
      <text>
        <t>Campo do cadastro custom. Em branco herda a base do livro, quando escolhida.</t>
      </text>
    </comment>
    <comment ref="J1177" authorId="0" shapeId="0">
      <text>
        <t>Campo do cadastro custom. Em branco herda a base do livro, quando escolhida.</t>
      </text>
    </comment>
    <comment ref="B1178" authorId="0" shapeId="0">
      <text>
        <t>Descreva requisitos, incompatibilidades e limite de compras. Verificações da base continuam; texto livre é conferido pelo mestre e pelo bot.</t>
      </text>
    </comment>
    <comment ref="J1178" authorId="0" shapeId="0">
      <text>
        <t>Descreva requisitos, incompatibilidades e limite de compras. Verificações da base continuam; texto livre é conferido pelo mestre e pelo bot.</t>
      </text>
    </comment>
    <comment ref="B1183" authorId="0" shapeId="0">
      <text>
        <t>Campo do cadastro custom. Em branco herda a base do livro, quando escolhida.</t>
      </text>
    </comment>
    <comment ref="J1183" authorId="0" shapeId="0">
      <text>
        <t>Campo do cadastro custom. Em branco herda a base do livro, quando escolhida.</t>
      </text>
    </comment>
    <comment ref="B1184" authorId="0" shapeId="0">
      <text>
        <t>Efeito completo da Melhoria. Números do personagem sem campo próprio são registrados em BÔNUS E MUDANÇAS.</t>
      </text>
    </comment>
    <comment ref="J1184" authorId="0" shapeId="0">
      <text>
        <t>Efeito completo da Melhoria. Números do personagem sem campo próprio são registrados em BÔNUS E MUDANÇAS.</t>
      </text>
    </comment>
    <comment ref="B1190" authorId="0" shapeId="0">
      <text>
        <t>Campo do cadastro custom. Em branco herda a base do livro, quando escolhida.</t>
      </text>
    </comment>
    <comment ref="J1190" authorId="0" shapeId="0">
      <text>
        <t>Campo do cadastro custom. Em branco herda a base do livro, quando escolhida.</t>
      </text>
    </comment>
    <comment ref="B1193" authorId="0" shapeId="0">
      <text>
        <t>Campo do cadastro custom. Em branco herda a base do livro, quando escolhida.</t>
      </text>
    </comment>
    <comment ref="J1193" authorId="0" shapeId="0">
      <text>
        <t>Campo do cadastro custom. Em branco herda a base do livro, quando escolhida.</t>
      </text>
    </comment>
    <comment ref="B1194" authorId="0" shapeId="0">
      <text>
        <t>Campo do cadastro custom. Em branco herda a base do livro, quando escolhida.</t>
      </text>
    </comment>
    <comment ref="F1194" authorId="0" shapeId="0">
      <text>
        <t>Campo do cadastro custom. Em branco herda a base do livro, quando escolhida.</t>
      </text>
    </comment>
    <comment ref="J1194" authorId="0" shapeId="0">
      <text>
        <t>Campo do cadastro custom. Em branco herda a base do livro, quando escolhida.</t>
      </text>
    </comment>
    <comment ref="N1194" authorId="0" shapeId="0">
      <text>
        <t>Campo do cadastro custom. Em branco herda a base do livro, quando escolhida.</t>
      </text>
    </comment>
    <comment ref="B1195" authorId="0" shapeId="0">
      <text>
        <t>Condição usa este mesmo cadastro e orçamento de Melhoria. Família em branco usa a base ou Controle sem base; EXIGE TR deve ficar vazio ou Sim. Peso e efeito seguem os campos deste cartão. Texto não executa regras.</t>
      </text>
    </comment>
    <comment ref="F1195" authorId="0" shapeId="0">
      <text>
        <t>Lembrete marcado pelo jogador. Aprovação ocorre pelo bot no chat.</t>
      </text>
    </comment>
    <comment ref="J1195" authorId="0" shapeId="0">
      <text>
        <t>Condição usa este mesmo cadastro e orçamento de Melhoria. Família em branco usa a base ou Controle sem base; EXIGE TR deve ficar vazio ou Sim. Peso e efeito seguem os campos deste cartão. Texto não executa regras.</t>
      </text>
    </comment>
    <comment ref="N1195" authorId="0" shapeId="0">
      <text>
        <t>Lembrete marcado pelo jogador. Aprovação ocorre pelo bot no chat.</t>
      </text>
    </comment>
    <comment ref="B1196" authorId="0" shapeId="0">
      <text>
        <t>Campo do cadastro custom. Em branco herda a base do livro, quando escolhida.</t>
      </text>
    </comment>
    <comment ref="J1196" authorId="0" shapeId="0">
      <text>
        <t>Campo do cadastro custom. Em branco herda a base do livro, quando escolhida.</t>
      </text>
    </comment>
    <comment ref="B1197" authorId="0" shapeId="0">
      <text>
        <t>Campo do cadastro custom. Em branco herda a base do livro, quando escolhida.</t>
      </text>
    </comment>
    <comment ref="J1197" authorId="0" shapeId="0">
      <text>
        <t>Campo do cadastro custom. Em branco herda a base do livro, quando escolhida.</t>
      </text>
    </comment>
    <comment ref="B1198" authorId="0" shapeId="0">
      <text>
        <t>Opcional. Nenhuma cria do zero. Com base, campos em branco e verificações específicas herdam o livro. Texto livre não cria automações.</t>
      </text>
    </comment>
    <comment ref="E1198" authorId="0" shapeId="0">
      <text>
        <t>Opcional. Nenhuma cria do zero. Com base, campos em branco e verificações específicas herdam o livro. Texto livre não cria automações.</t>
      </text>
    </comment>
    <comment ref="J1198" authorId="0" shapeId="0">
      <text>
        <t>Opcional. Nenhuma cria do zero. Com base, campos em branco e verificações específicas herdam o livro. Texto livre não cria automações.</t>
      </text>
    </comment>
    <comment ref="M1198" authorId="0" shapeId="0">
      <text>
        <t>Opcional. Nenhuma cria do zero. Com base, campos em branco e verificações específicas herdam o livro. Texto livre não cria automações.</t>
      </text>
    </comment>
    <comment ref="B1199" authorId="0" shapeId="0">
      <text>
        <t>Em branco herda a base; Nenhuma remove a Família. A técnica usa o estado cadastrado; entidades usam suas próprias Famílias abertas.</t>
      </text>
    </comment>
    <comment ref="E1199" authorId="0" shapeId="0">
      <text>
        <t>Em branco herda a base; Nenhuma remove a Família. A técnica usa o estado cadastrado; entidades usam suas próprias Famílias abertas.</t>
      </text>
    </comment>
    <comment ref="J1199" authorId="0" shapeId="0">
      <text>
        <t>Em branco herda a base; Nenhuma remove a Família. A técnica usa o estado cadastrado; entidades usam suas próprias Famílias abertas.</t>
      </text>
    </comment>
    <comment ref="M1199" authorId="0" shapeId="0">
      <text>
        <t>Em branco herda a base; Nenhuma remove a Família. A técnica usa o estado cadastrado; entidades usam suas próprias Famílias abertas.</t>
      </text>
    </comment>
    <comment ref="B1200" authorId="0" shapeId="0">
      <text>
        <t>Em branco herda a base. Sem base, escolha Leve, Média ou Pesada. Preços e desconto seguem a Classe da ficha.</t>
      </text>
    </comment>
    <comment ref="E1200" authorId="0" shapeId="0">
      <text>
        <t>Em branco herda a base. Sem base, escolha Leve, Média ou Pesada. Preços e desconto seguem a Classe da ficha.</t>
      </text>
    </comment>
    <comment ref="J1200" authorId="0" shapeId="0">
      <text>
        <t>Em branco herda a base. Sem base, escolha Leve, Média ou Pesada. Preços e desconto seguem a Classe da ficha.</t>
      </text>
    </comment>
    <comment ref="M1200" authorId="0" shapeId="0">
      <text>
        <t>Em branco herda a base. Sem base, escolha Leve, Média ou Pesada. Preços e desconto seguem a Classe da ficha.</t>
      </text>
    </comment>
    <comment ref="B1201" authorId="0" shapeId="0">
      <text>
        <t>Em branco herda a base. Sim indica que o efeito exige TR, inclusive em Forma de ataque.</t>
      </text>
    </comment>
    <comment ref="E1201" authorId="0" shapeId="0">
      <text>
        <t>Em branco herda a base. Sim indica que o efeito exige TR, inclusive em Forma de ataque.</t>
      </text>
    </comment>
    <comment ref="J1201" authorId="0" shapeId="0">
      <text>
        <t>Em branco herda a base. Sim indica que o efeito exige TR, inclusive em Forma de ataque.</t>
      </text>
    </comment>
    <comment ref="M1201" authorId="0" shapeId="0">
      <text>
        <t>Em branco herda a base. Sim indica que o efeito exige TR, inclusive em Forma de ataque.</t>
      </text>
    </comment>
    <comment ref="B1203" authorId="0" shapeId="0">
      <text>
        <t>Campo do cadastro custom. Em branco herda a base do livro, quando escolhida.</t>
      </text>
    </comment>
    <comment ref="J1203" authorId="0" shapeId="0">
      <text>
        <t>Campo do cadastro custom. Em branco herda a base do livro, quando escolhida.</t>
      </text>
    </comment>
    <comment ref="B1204" authorId="0" shapeId="0">
      <text>
        <t>Descreva requisitos, incompatibilidades e limite de compras. Verificações da base continuam; texto livre é conferido pelo mestre e pelo bot.</t>
      </text>
    </comment>
    <comment ref="J1204" authorId="0" shapeId="0">
      <text>
        <t>Descreva requisitos, incompatibilidades e limite de compras. Verificações da base continuam; texto livre é conferido pelo mestre e pelo bot.</t>
      </text>
    </comment>
    <comment ref="B1209" authorId="0" shapeId="0">
      <text>
        <t>Campo do cadastro custom. Em branco herda a base do livro, quando escolhida.</t>
      </text>
    </comment>
    <comment ref="J1209" authorId="0" shapeId="0">
      <text>
        <t>Campo do cadastro custom. Em branco herda a base do livro, quando escolhida.</t>
      </text>
    </comment>
    <comment ref="B1210" authorId="0" shapeId="0">
      <text>
        <t>Efeito completo da Melhoria. Números do personagem sem campo próprio são registrados em BÔNUS E MUDANÇAS.</t>
      </text>
    </comment>
    <comment ref="J1210" authorId="0" shapeId="0">
      <text>
        <t>Efeito completo da Melhoria. Números do personagem sem campo próprio são registrados em BÔNUS E MUDANÇAS.</t>
      </text>
    </comment>
    <comment ref="B1216" authorId="0" shapeId="0">
      <text>
        <t>Campo do cadastro custom. Em branco herda a base do livro, quando escolhida.</t>
      </text>
    </comment>
    <comment ref="J1216" authorId="0" shapeId="0">
      <text>
        <t>Campo do cadastro custom. Em branco herda a base do livro, quando escolhida.</t>
      </text>
    </comment>
    <comment ref="B1219" authorId="0" shapeId="0">
      <text>
        <t>Campo do cadastro custom. Em branco herda a base do livro, quando escolhida.</t>
      </text>
    </comment>
    <comment ref="J1219" authorId="0" shapeId="0">
      <text>
        <t>Campo do cadastro custom. Em branco herda a base do livro, quando escolhida.</t>
      </text>
    </comment>
    <comment ref="B1220" authorId="0" shapeId="0">
      <text>
        <t>Campo do cadastro custom. Em branco herda a base do livro, quando escolhida.</t>
      </text>
    </comment>
    <comment ref="F1220" authorId="0" shapeId="0">
      <text>
        <t>Campo do cadastro custom. Em branco herda a base do livro, quando escolhida.</t>
      </text>
    </comment>
    <comment ref="J1220" authorId="0" shapeId="0">
      <text>
        <t>Campo do cadastro custom. Em branco herda a base do livro, quando escolhida.</t>
      </text>
    </comment>
    <comment ref="N1220" authorId="0" shapeId="0">
      <text>
        <t>Campo do cadastro custom. Em branco herda a base do livro, quando escolhida.</t>
      </text>
    </comment>
    <comment ref="B1221" authorId="0" shapeId="0">
      <text>
        <t>Condição usa este mesmo cadastro e orçamento de Melhoria. Família em branco usa a base ou Controle sem base; EXIGE TR deve ficar vazio ou Sim. Peso e efeito seguem os campos deste cartão. Texto não executa regras.</t>
      </text>
    </comment>
    <comment ref="F1221" authorId="0" shapeId="0">
      <text>
        <t>Lembrete marcado pelo jogador. Aprovação ocorre pelo bot no chat.</t>
      </text>
    </comment>
    <comment ref="J1221" authorId="0" shapeId="0">
      <text>
        <t>Condição usa este mesmo cadastro e orçamento de Melhoria. Família em branco usa a base ou Controle sem base; EXIGE TR deve ficar vazio ou Sim. Peso e efeito seguem os campos deste cartão. Texto não executa regras.</t>
      </text>
    </comment>
    <comment ref="N1221" authorId="0" shapeId="0">
      <text>
        <t>Lembrete marcado pelo jogador. Aprovação ocorre pelo bot no chat.</t>
      </text>
    </comment>
    <comment ref="B1222" authorId="0" shapeId="0">
      <text>
        <t>Campo do cadastro custom. Em branco herda a base do livro, quando escolhida.</t>
      </text>
    </comment>
    <comment ref="J1222" authorId="0" shapeId="0">
      <text>
        <t>Campo do cadastro custom. Em branco herda a base do livro, quando escolhida.</t>
      </text>
    </comment>
    <comment ref="B1223" authorId="0" shapeId="0">
      <text>
        <t>Campo do cadastro custom. Em branco herda a base do livro, quando escolhida.</t>
      </text>
    </comment>
    <comment ref="J1223" authorId="0" shapeId="0">
      <text>
        <t>Campo do cadastro custom. Em branco herda a base do livro, quando escolhida.</t>
      </text>
    </comment>
    <comment ref="B1224" authorId="0" shapeId="0">
      <text>
        <t>Opcional. Nenhuma cria do zero. Com base, campos em branco e verificações específicas herdam o livro. Texto livre não cria automações.</t>
      </text>
    </comment>
    <comment ref="E1224" authorId="0" shapeId="0">
      <text>
        <t>Opcional. Nenhuma cria do zero. Com base, campos em branco e verificações específicas herdam o livro. Texto livre não cria automações.</t>
      </text>
    </comment>
    <comment ref="J1224" authorId="0" shapeId="0">
      <text>
        <t>Opcional. Nenhuma cria do zero. Com base, campos em branco e verificações específicas herdam o livro. Texto livre não cria automações.</t>
      </text>
    </comment>
    <comment ref="M1224" authorId="0" shapeId="0">
      <text>
        <t>Opcional. Nenhuma cria do zero. Com base, campos em branco e verificações específicas herdam o livro. Texto livre não cria automações.</t>
      </text>
    </comment>
    <comment ref="B1225" authorId="0" shapeId="0">
      <text>
        <t>Em branco herda a base; Nenhuma remove a Família. A técnica usa o estado cadastrado; entidades usam suas próprias Famílias abertas.</t>
      </text>
    </comment>
    <comment ref="E1225" authorId="0" shapeId="0">
      <text>
        <t>Em branco herda a base; Nenhuma remove a Família. A técnica usa o estado cadastrado; entidades usam suas próprias Famílias abertas.</t>
      </text>
    </comment>
    <comment ref="J1225" authorId="0" shapeId="0">
      <text>
        <t>Em branco herda a base; Nenhuma remove a Família. A técnica usa o estado cadastrado; entidades usam suas próprias Famílias abertas.</t>
      </text>
    </comment>
    <comment ref="M1225" authorId="0" shapeId="0">
      <text>
        <t>Em branco herda a base; Nenhuma remove a Família. A técnica usa o estado cadastrado; entidades usam suas próprias Famílias abertas.</t>
      </text>
    </comment>
    <comment ref="B1226" authorId="0" shapeId="0">
      <text>
        <t>Em branco herda a base. Sem base, escolha Leve, Média ou Pesada. Preços e desconto seguem a Classe da ficha.</t>
      </text>
    </comment>
    <comment ref="E1226" authorId="0" shapeId="0">
      <text>
        <t>Em branco herda a base. Sem base, escolha Leve, Média ou Pesada. Preços e desconto seguem a Classe da ficha.</t>
      </text>
    </comment>
    <comment ref="J1226" authorId="0" shapeId="0">
      <text>
        <t>Em branco herda a base. Sem base, escolha Leve, Média ou Pesada. Preços e desconto seguem a Classe da ficha.</t>
      </text>
    </comment>
    <comment ref="M1226" authorId="0" shapeId="0">
      <text>
        <t>Em branco herda a base. Sem base, escolha Leve, Média ou Pesada. Preços e desconto seguem a Classe da ficha.</t>
      </text>
    </comment>
    <comment ref="B1227" authorId="0" shapeId="0">
      <text>
        <t>Em branco herda a base. Sim indica que o efeito exige TR, inclusive em Forma de ataque.</t>
      </text>
    </comment>
    <comment ref="E1227" authorId="0" shapeId="0">
      <text>
        <t>Em branco herda a base. Sim indica que o efeito exige TR, inclusive em Forma de ataque.</t>
      </text>
    </comment>
    <comment ref="J1227" authorId="0" shapeId="0">
      <text>
        <t>Em branco herda a base. Sim indica que o efeito exige TR, inclusive em Forma de ataque.</t>
      </text>
    </comment>
    <comment ref="M1227" authorId="0" shapeId="0">
      <text>
        <t>Em branco herda a base. Sim indica que o efeito exige TR, inclusive em Forma de ataque.</t>
      </text>
    </comment>
    <comment ref="B1229" authorId="0" shapeId="0">
      <text>
        <t>Campo do cadastro custom. Em branco herda a base do livro, quando escolhida.</t>
      </text>
    </comment>
    <comment ref="J1229" authorId="0" shapeId="0">
      <text>
        <t>Campo do cadastro custom. Em branco herda a base do livro, quando escolhida.</t>
      </text>
    </comment>
    <comment ref="B1230" authorId="0" shapeId="0">
      <text>
        <t>Descreva requisitos, incompatibilidades e limite de compras. Verificações da base continuam; texto livre é conferido pelo mestre e pelo bot.</t>
      </text>
    </comment>
    <comment ref="J1230" authorId="0" shapeId="0">
      <text>
        <t>Descreva requisitos, incompatibilidades e limite de compras. Verificações da base continuam; texto livre é conferido pelo mestre e pelo bot.</t>
      </text>
    </comment>
    <comment ref="B1235" authorId="0" shapeId="0">
      <text>
        <t>Campo do cadastro custom. Em branco herda a base do livro, quando escolhida.</t>
      </text>
    </comment>
    <comment ref="J1235" authorId="0" shapeId="0">
      <text>
        <t>Campo do cadastro custom. Em branco herda a base do livro, quando escolhida.</t>
      </text>
    </comment>
    <comment ref="B1236" authorId="0" shapeId="0">
      <text>
        <t>Efeito completo da Melhoria. Números do personagem sem campo próprio são registrados em BÔNUS E MUDANÇAS.</t>
      </text>
    </comment>
    <comment ref="J1236" authorId="0" shapeId="0">
      <text>
        <t>Efeito completo da Melhoria. Números do personagem sem campo próprio são registrados em BÔNUS E MUDANÇAS.</t>
      </text>
    </comment>
    <comment ref="B1242" authorId="0" shapeId="0">
      <text>
        <t>Campo do cadastro custom. Em branco herda a base do livro, quando escolhida.</t>
      </text>
    </comment>
    <comment ref="J1242" authorId="0" shapeId="0">
      <text>
        <t>Campo do cadastro custom. Em branco herda a base do livro, quando escolhida.</t>
      </text>
    </comment>
    <comment ref="B1245" authorId="0" shapeId="0">
      <text>
        <t>Campo do cadastro custom. Em branco herda a base do livro, quando escolhida.</t>
      </text>
    </comment>
    <comment ref="J1245" authorId="0" shapeId="0">
      <text>
        <t>Campo do cadastro custom. Em branco herda a base do livro, quando escolhida.</t>
      </text>
    </comment>
    <comment ref="B1246" authorId="0" shapeId="0">
      <text>
        <t>Campo do cadastro custom. Em branco herda a base do livro, quando escolhida.</t>
      </text>
    </comment>
    <comment ref="F1246" authorId="0" shapeId="0">
      <text>
        <t>Campo do cadastro custom. Em branco herda a base do livro, quando escolhida.</t>
      </text>
    </comment>
    <comment ref="J1246" authorId="0" shapeId="0">
      <text>
        <t>Campo do cadastro custom. Em branco herda a base do livro, quando escolhida.</t>
      </text>
    </comment>
    <comment ref="N1246" authorId="0" shapeId="0">
      <text>
        <t>Campo do cadastro custom. Em branco herda a base do livro, quando escolhida.</t>
      </text>
    </comment>
    <comment ref="B1247" authorId="0" shapeId="0">
      <text>
        <t>Condição usa este mesmo cadastro e orçamento de Melhoria. Família em branco usa a base ou Controle sem base; EXIGE TR deve ficar vazio ou Sim. Peso e efeito seguem os campos deste cartão. Texto não executa regras.</t>
      </text>
    </comment>
    <comment ref="F1247" authorId="0" shapeId="0">
      <text>
        <t>Lembrete marcado pelo jogador. Aprovação ocorre pelo bot no chat.</t>
      </text>
    </comment>
    <comment ref="J1247" authorId="0" shapeId="0">
      <text>
        <t>Condição usa este mesmo cadastro e orçamento de Melhoria. Família em branco usa a base ou Controle sem base; EXIGE TR deve ficar vazio ou Sim. Peso e efeito seguem os campos deste cartão. Texto não executa regras.</t>
      </text>
    </comment>
    <comment ref="N1247" authorId="0" shapeId="0">
      <text>
        <t>Lembrete marcado pelo jogador. Aprovação ocorre pelo bot no chat.</t>
      </text>
    </comment>
    <comment ref="B1248" authorId="0" shapeId="0">
      <text>
        <t>Campo do cadastro custom. Em branco herda a base do livro, quando escolhida.</t>
      </text>
    </comment>
    <comment ref="J1248" authorId="0" shapeId="0">
      <text>
        <t>Campo do cadastro custom. Em branco herda a base do livro, quando escolhida.</t>
      </text>
    </comment>
    <comment ref="B1249" authorId="0" shapeId="0">
      <text>
        <t>Campo do cadastro custom. Em branco herda a base do livro, quando escolhida.</t>
      </text>
    </comment>
    <comment ref="J1249" authorId="0" shapeId="0">
      <text>
        <t>Campo do cadastro custom. Em branco herda a base do livro, quando escolhida.</t>
      </text>
    </comment>
    <comment ref="B1250" authorId="0" shapeId="0">
      <text>
        <t>Opcional. Nenhuma cria do zero. Com base, campos em branco e verificações específicas herdam o livro. Texto livre não cria automações.</t>
      </text>
    </comment>
    <comment ref="E1250" authorId="0" shapeId="0">
      <text>
        <t>Opcional. Nenhuma cria do zero. Com base, campos em branco e verificações específicas herdam o livro. Texto livre não cria automações.</t>
      </text>
    </comment>
    <comment ref="J1250" authorId="0" shapeId="0">
      <text>
        <t>Opcional. Nenhuma cria do zero. Com base, campos em branco e verificações específicas herdam o livro. Texto livre não cria automações.</t>
      </text>
    </comment>
    <comment ref="M1250" authorId="0" shapeId="0">
      <text>
        <t>Opcional. Nenhuma cria do zero. Com base, campos em branco e verificações específicas herdam o livro. Texto livre não cria automações.</t>
      </text>
    </comment>
    <comment ref="B1251" authorId="0" shapeId="0">
      <text>
        <t>Em branco herda a base; Nenhuma remove a Família. A técnica usa o estado cadastrado; entidades usam suas próprias Famílias abertas.</t>
      </text>
    </comment>
    <comment ref="E1251" authorId="0" shapeId="0">
      <text>
        <t>Em branco herda a base; Nenhuma remove a Família. A técnica usa o estado cadastrado; entidades usam suas próprias Famílias abertas.</t>
      </text>
    </comment>
    <comment ref="J1251" authorId="0" shapeId="0">
      <text>
        <t>Em branco herda a base; Nenhuma remove a Família. A técnica usa o estado cadastrado; entidades usam suas próprias Famílias abertas.</t>
      </text>
    </comment>
    <comment ref="M1251" authorId="0" shapeId="0">
      <text>
        <t>Em branco herda a base; Nenhuma remove a Família. A técnica usa o estado cadastrado; entidades usam suas próprias Famílias abertas.</t>
      </text>
    </comment>
    <comment ref="B1252" authorId="0" shapeId="0">
      <text>
        <t>Em branco herda a base. Sem base, escolha Leve, Média ou Pesada. Preços e desconto seguem a Classe da ficha.</t>
      </text>
    </comment>
    <comment ref="E1252" authorId="0" shapeId="0">
      <text>
        <t>Em branco herda a base. Sem base, escolha Leve, Média ou Pesada. Preços e desconto seguem a Classe da ficha.</t>
      </text>
    </comment>
    <comment ref="J1252" authorId="0" shapeId="0">
      <text>
        <t>Em branco herda a base. Sem base, escolha Leve, Média ou Pesada. Preços e desconto seguem a Classe da ficha.</t>
      </text>
    </comment>
    <comment ref="M1252" authorId="0" shapeId="0">
      <text>
        <t>Em branco herda a base. Sem base, escolha Leve, Média ou Pesada. Preços e desconto seguem a Classe da ficha.</t>
      </text>
    </comment>
    <comment ref="B1253" authorId="0" shapeId="0">
      <text>
        <t>Em branco herda a base. Sim indica que o efeito exige TR, inclusive em Forma de ataque.</t>
      </text>
    </comment>
    <comment ref="E1253" authorId="0" shapeId="0">
      <text>
        <t>Em branco herda a base. Sim indica que o efeito exige TR, inclusive em Forma de ataque.</t>
      </text>
    </comment>
    <comment ref="J1253" authorId="0" shapeId="0">
      <text>
        <t>Em branco herda a base. Sim indica que o efeito exige TR, inclusive em Forma de ataque.</t>
      </text>
    </comment>
    <comment ref="M1253" authorId="0" shapeId="0">
      <text>
        <t>Em branco herda a base. Sim indica que o efeito exige TR, inclusive em Forma de ataque.</t>
      </text>
    </comment>
    <comment ref="B1255" authorId="0" shapeId="0">
      <text>
        <t>Campo do cadastro custom. Em branco herda a base do livro, quando escolhida.</t>
      </text>
    </comment>
    <comment ref="J1255" authorId="0" shapeId="0">
      <text>
        <t>Campo do cadastro custom. Em branco herda a base do livro, quando escolhida.</t>
      </text>
    </comment>
    <comment ref="B1256" authorId="0" shapeId="0">
      <text>
        <t>Descreva requisitos, incompatibilidades e limite de compras. Verificações da base continuam; texto livre é conferido pelo mestre e pelo bot.</t>
      </text>
    </comment>
    <comment ref="J1256" authorId="0" shapeId="0">
      <text>
        <t>Descreva requisitos, incompatibilidades e limite de compras. Verificações da base continuam; texto livre é conferido pelo mestre e pelo bot.</t>
      </text>
    </comment>
    <comment ref="B1261" authorId="0" shapeId="0">
      <text>
        <t>Campo do cadastro custom. Em branco herda a base do livro, quando escolhida.</t>
      </text>
    </comment>
    <comment ref="J1261" authorId="0" shapeId="0">
      <text>
        <t>Campo do cadastro custom. Em branco herda a base do livro, quando escolhida.</t>
      </text>
    </comment>
    <comment ref="B1262" authorId="0" shapeId="0">
      <text>
        <t>Efeito completo da Melhoria. Números do personagem sem campo próprio são registrados em BÔNUS E MUDANÇAS.</t>
      </text>
    </comment>
    <comment ref="J1262" authorId="0" shapeId="0">
      <text>
        <t>Efeito completo da Melhoria. Números do personagem sem campo próprio são registrados em BÔNUS E MUDANÇAS.</t>
      </text>
    </comment>
    <comment ref="B1268" authorId="0" shapeId="0">
      <text>
        <t>Campo do cadastro custom. Em branco herda a base do livro, quando escolhida.</t>
      </text>
    </comment>
    <comment ref="J1268" authorId="0" shapeId="0">
      <text>
        <t>Campo do cadastro custom. Em branco herda a base do livro, quando escolhida.</t>
      </text>
    </comment>
    <comment ref="B1271" authorId="0" shapeId="0">
      <text>
        <t>Campo do cadastro custom. Em branco herda a base do livro, quando escolhida.</t>
      </text>
    </comment>
    <comment ref="J1271" authorId="0" shapeId="0">
      <text>
        <t>Campo do cadastro custom. Em branco herda a base do livro, quando escolhida.</t>
      </text>
    </comment>
    <comment ref="B1272" authorId="0" shapeId="0">
      <text>
        <t>Campo do cadastro custom. Em branco herda a base do livro, quando escolhida.</t>
      </text>
    </comment>
    <comment ref="F1272" authorId="0" shapeId="0">
      <text>
        <t>Campo do cadastro custom. Em branco herda a base do livro, quando escolhida.</t>
      </text>
    </comment>
    <comment ref="J1272" authorId="0" shapeId="0">
      <text>
        <t>Campo do cadastro custom. Em branco herda a base do livro, quando escolhida.</t>
      </text>
    </comment>
    <comment ref="N1272" authorId="0" shapeId="0">
      <text>
        <t>Campo do cadastro custom. Em branco herda a base do livro, quando escolhida.</t>
      </text>
    </comment>
    <comment ref="B1273" authorId="0" shapeId="0">
      <text>
        <t>Condição usa este mesmo cadastro e orçamento de Melhoria. Família em branco usa a base ou Controle sem base; EXIGE TR deve ficar vazio ou Sim. Peso e efeito seguem os campos deste cartão. Texto não executa regras.</t>
      </text>
    </comment>
    <comment ref="F1273" authorId="0" shapeId="0">
      <text>
        <t>Lembrete marcado pelo jogador. Aprovação ocorre pelo bot no chat.</t>
      </text>
    </comment>
    <comment ref="J1273" authorId="0" shapeId="0">
      <text>
        <t>Condição usa este mesmo cadastro e orçamento de Melhoria. Família em branco usa a base ou Controle sem base; EXIGE TR deve ficar vazio ou Sim. Peso e efeito seguem os campos deste cartão. Texto não executa regras.</t>
      </text>
    </comment>
    <comment ref="N1273" authorId="0" shapeId="0">
      <text>
        <t>Lembrete marcado pelo jogador. Aprovação ocorre pelo bot no chat.</t>
      </text>
    </comment>
    <comment ref="B1274" authorId="0" shapeId="0">
      <text>
        <t>Campo do cadastro custom. Em branco herda a base do livro, quando escolhida.</t>
      </text>
    </comment>
    <comment ref="J1274" authorId="0" shapeId="0">
      <text>
        <t>Campo do cadastro custom. Em branco herda a base do livro, quando escolhida.</t>
      </text>
    </comment>
    <comment ref="B1275" authorId="0" shapeId="0">
      <text>
        <t>Campo do cadastro custom. Em branco herda a base do livro, quando escolhida.</t>
      </text>
    </comment>
    <comment ref="J1275" authorId="0" shapeId="0">
      <text>
        <t>Campo do cadastro custom. Em branco herda a base do livro, quando escolhida.</t>
      </text>
    </comment>
    <comment ref="B1276" authorId="0" shapeId="0">
      <text>
        <t>Opcional. Nenhuma cria do zero. Com base, campos em branco e verificações específicas herdam o livro. Texto livre não cria automações.</t>
      </text>
    </comment>
    <comment ref="E1276" authorId="0" shapeId="0">
      <text>
        <t>Opcional. Nenhuma cria do zero. Com base, campos em branco e verificações específicas herdam o livro. Texto livre não cria automações.</t>
      </text>
    </comment>
    <comment ref="J1276" authorId="0" shapeId="0">
      <text>
        <t>Opcional. Nenhuma cria do zero. Com base, campos em branco e verificações específicas herdam o livro. Texto livre não cria automações.</t>
      </text>
    </comment>
    <comment ref="M1276" authorId="0" shapeId="0">
      <text>
        <t>Opcional. Nenhuma cria do zero. Com base, campos em branco e verificações específicas herdam o livro. Texto livre não cria automações.</t>
      </text>
    </comment>
    <comment ref="B1277" authorId="0" shapeId="0">
      <text>
        <t>Em branco herda a base; Nenhuma remove a Família. A técnica usa o estado cadastrado; entidades usam suas próprias Famílias abertas.</t>
      </text>
    </comment>
    <comment ref="E1277" authorId="0" shapeId="0">
      <text>
        <t>Em branco herda a base; Nenhuma remove a Família. A técnica usa o estado cadastrado; entidades usam suas próprias Famílias abertas.</t>
      </text>
    </comment>
    <comment ref="J1277" authorId="0" shapeId="0">
      <text>
        <t>Em branco herda a base; Nenhuma remove a Família. A técnica usa o estado cadastrado; entidades usam suas próprias Famílias abertas.</t>
      </text>
    </comment>
    <comment ref="M1277" authorId="0" shapeId="0">
      <text>
        <t>Em branco herda a base; Nenhuma remove a Família. A técnica usa o estado cadastrado; entidades usam suas próprias Famílias abertas.</t>
      </text>
    </comment>
    <comment ref="B1278" authorId="0" shapeId="0">
      <text>
        <t>Em branco herda a base. Sem base, escolha Leve, Média ou Pesada. Preços e desconto seguem a Classe da ficha.</t>
      </text>
    </comment>
    <comment ref="E1278" authorId="0" shapeId="0">
      <text>
        <t>Em branco herda a base. Sem base, escolha Leve, Média ou Pesada. Preços e desconto seguem a Classe da ficha.</t>
      </text>
    </comment>
    <comment ref="J1278" authorId="0" shapeId="0">
      <text>
        <t>Em branco herda a base. Sem base, escolha Leve, Média ou Pesada. Preços e desconto seguem a Classe da ficha.</t>
      </text>
    </comment>
    <comment ref="M1278" authorId="0" shapeId="0">
      <text>
        <t>Em branco herda a base. Sem base, escolha Leve, Média ou Pesada. Preços e desconto seguem a Classe da ficha.</t>
      </text>
    </comment>
    <comment ref="B1279" authorId="0" shapeId="0">
      <text>
        <t>Em branco herda a base. Sim indica que o efeito exige TR, inclusive em Forma de ataque.</t>
      </text>
    </comment>
    <comment ref="E1279" authorId="0" shapeId="0">
      <text>
        <t>Em branco herda a base. Sim indica que o efeito exige TR, inclusive em Forma de ataque.</t>
      </text>
    </comment>
    <comment ref="J1279" authorId="0" shapeId="0">
      <text>
        <t>Em branco herda a base. Sim indica que o efeito exige TR, inclusive em Forma de ataque.</t>
      </text>
    </comment>
    <comment ref="M1279" authorId="0" shapeId="0">
      <text>
        <t>Em branco herda a base. Sim indica que o efeito exige TR, inclusive em Forma de ataque.</t>
      </text>
    </comment>
    <comment ref="B1281" authorId="0" shapeId="0">
      <text>
        <t>Campo do cadastro custom. Em branco herda a base do livro, quando escolhida.</t>
      </text>
    </comment>
    <comment ref="J1281" authorId="0" shapeId="0">
      <text>
        <t>Campo do cadastro custom. Em branco herda a base do livro, quando escolhida.</t>
      </text>
    </comment>
    <comment ref="B1282" authorId="0" shapeId="0">
      <text>
        <t>Descreva requisitos, incompatibilidades e limite de compras. Verificações da base continuam; texto livre é conferido pelo mestre e pelo bot.</t>
      </text>
    </comment>
    <comment ref="J1282" authorId="0" shapeId="0">
      <text>
        <t>Descreva requisitos, incompatibilidades e limite de compras. Verificações da base continuam; texto livre é conferido pelo mestre e pelo bot.</t>
      </text>
    </comment>
    <comment ref="B1287" authorId="0" shapeId="0">
      <text>
        <t>Campo do cadastro custom. Em branco herda a base do livro, quando escolhida.</t>
      </text>
    </comment>
    <comment ref="J1287" authorId="0" shapeId="0">
      <text>
        <t>Campo do cadastro custom. Em branco herda a base do livro, quando escolhida.</t>
      </text>
    </comment>
    <comment ref="B1288" authorId="0" shapeId="0">
      <text>
        <t>Efeito completo da Melhoria. Números do personagem sem campo próprio são registrados em BÔNUS E MUDANÇAS.</t>
      </text>
    </comment>
    <comment ref="J1288" authorId="0" shapeId="0">
      <text>
        <t>Efeito completo da Melhoria. Números do personagem sem campo próprio são registrados em BÔNUS E MUDANÇAS.</t>
      </text>
    </comment>
    <comment ref="B1294" authorId="0" shapeId="0">
      <text>
        <t>Campo do cadastro custom. Em branco herda a base do livro, quando escolhida.</t>
      </text>
    </comment>
    <comment ref="J1294" authorId="0" shapeId="0">
      <text>
        <t>Campo do cadastro custom. Em branco herda a base do livro, quando escolhida.</t>
      </text>
    </comment>
    <comment ref="B1297" authorId="0" shapeId="0">
      <text>
        <t>Campo do cadastro custom. Em branco herda a base do livro, quando escolhida.</t>
      </text>
    </comment>
    <comment ref="J1297" authorId="0" shapeId="0">
      <text>
        <t>Campo do cadastro custom. Em branco herda a base do livro, quando escolhida.</t>
      </text>
    </comment>
    <comment ref="B1298" authorId="0" shapeId="0">
      <text>
        <t>Campo do cadastro custom. Em branco herda a base do livro, quando escolhida.</t>
      </text>
    </comment>
    <comment ref="F1298" authorId="0" shapeId="0">
      <text>
        <t>Campo do cadastro custom. Em branco herda a base do livro, quando escolhida.</t>
      </text>
    </comment>
    <comment ref="J1298" authorId="0" shapeId="0">
      <text>
        <t>Campo do cadastro custom. Em branco herda a base do livro, quando escolhida.</t>
      </text>
    </comment>
    <comment ref="N1298" authorId="0" shapeId="0">
      <text>
        <t>Campo do cadastro custom. Em branco herda a base do livro, quando escolhida.</t>
      </text>
    </comment>
    <comment ref="B1299" authorId="0" shapeId="0">
      <text>
        <t>Condição usa este mesmo cadastro e orçamento de Melhoria. Família em branco usa a base ou Controle sem base; EXIGE TR deve ficar vazio ou Sim. Peso e efeito seguem os campos deste cartão. Texto não executa regras.</t>
      </text>
    </comment>
    <comment ref="F1299" authorId="0" shapeId="0">
      <text>
        <t>Lembrete marcado pelo jogador. Aprovação ocorre pelo bot no chat.</t>
      </text>
    </comment>
    <comment ref="J1299" authorId="0" shapeId="0">
      <text>
        <t>Condição usa este mesmo cadastro e orçamento de Melhoria. Família em branco usa a base ou Controle sem base; EXIGE TR deve ficar vazio ou Sim. Peso e efeito seguem os campos deste cartão. Texto não executa regras.</t>
      </text>
    </comment>
    <comment ref="N1299" authorId="0" shapeId="0">
      <text>
        <t>Lembrete marcado pelo jogador. Aprovação ocorre pelo bot no chat.</t>
      </text>
    </comment>
    <comment ref="B1300" authorId="0" shapeId="0">
      <text>
        <t>Campo do cadastro custom. Em branco herda a base do livro, quando escolhida.</t>
      </text>
    </comment>
    <comment ref="J1300" authorId="0" shapeId="0">
      <text>
        <t>Campo do cadastro custom. Em branco herda a base do livro, quando escolhida.</t>
      </text>
    </comment>
    <comment ref="B1301" authorId="0" shapeId="0">
      <text>
        <t>Campo do cadastro custom. Em branco herda a base do livro, quando escolhida.</t>
      </text>
    </comment>
    <comment ref="J1301" authorId="0" shapeId="0">
      <text>
        <t>Campo do cadastro custom. Em branco herda a base do livro, quando escolhida.</t>
      </text>
    </comment>
    <comment ref="B1302" authorId="0" shapeId="0">
      <text>
        <t>Opcional. Nenhuma cria do zero. Com base, campos em branco e verificações específicas herdam o livro. Texto livre não cria automações.</t>
      </text>
    </comment>
    <comment ref="E1302" authorId="0" shapeId="0">
      <text>
        <t>Opcional. Nenhuma cria do zero. Com base, campos em branco e verificações específicas herdam o livro. Texto livre não cria automações.</t>
      </text>
    </comment>
    <comment ref="J1302" authorId="0" shapeId="0">
      <text>
        <t>Opcional. Nenhuma cria do zero. Com base, campos em branco e verificações específicas herdam o livro. Texto livre não cria automações.</t>
      </text>
    </comment>
    <comment ref="M1302" authorId="0" shapeId="0">
      <text>
        <t>Opcional. Nenhuma cria do zero. Com base, campos em branco e verificações específicas herdam o livro. Texto livre não cria automações.</t>
      </text>
    </comment>
    <comment ref="B1303" authorId="0" shapeId="0">
      <text>
        <t>Em branco herda a base; Nenhuma remove a Família. A técnica usa o estado cadastrado; entidades usam suas próprias Famílias abertas.</t>
      </text>
    </comment>
    <comment ref="E1303" authorId="0" shapeId="0">
      <text>
        <t>Em branco herda a base; Nenhuma remove a Família. A técnica usa o estado cadastrado; entidades usam suas próprias Famílias abertas.</t>
      </text>
    </comment>
    <comment ref="J1303" authorId="0" shapeId="0">
      <text>
        <t>Em branco herda a base; Nenhuma remove a Família. A técnica usa o estado cadastrado; entidades usam suas próprias Famílias abertas.</t>
      </text>
    </comment>
    <comment ref="M1303" authorId="0" shapeId="0">
      <text>
        <t>Em branco herda a base; Nenhuma remove a Família. A técnica usa o estado cadastrado; entidades usam suas próprias Famílias abertas.</t>
      </text>
    </comment>
    <comment ref="B1304" authorId="0" shapeId="0">
      <text>
        <t>Em branco herda a base. Sem base, escolha Leve, Média ou Pesada. Preços e desconto seguem a Classe da ficha.</t>
      </text>
    </comment>
    <comment ref="E1304" authorId="0" shapeId="0">
      <text>
        <t>Em branco herda a base. Sem base, escolha Leve, Média ou Pesada. Preços e desconto seguem a Classe da ficha.</t>
      </text>
    </comment>
    <comment ref="J1304" authorId="0" shapeId="0">
      <text>
        <t>Em branco herda a base. Sem base, escolha Leve, Média ou Pesada. Preços e desconto seguem a Classe da ficha.</t>
      </text>
    </comment>
    <comment ref="M1304" authorId="0" shapeId="0">
      <text>
        <t>Em branco herda a base. Sem base, escolha Leve, Média ou Pesada. Preços e desconto seguem a Classe da ficha.</t>
      </text>
    </comment>
    <comment ref="B1305" authorId="0" shapeId="0">
      <text>
        <t>Em branco herda a base. Sim indica que o efeito exige TR, inclusive em Forma de ataque.</t>
      </text>
    </comment>
    <comment ref="E1305" authorId="0" shapeId="0">
      <text>
        <t>Em branco herda a base. Sim indica que o efeito exige TR, inclusive em Forma de ataque.</t>
      </text>
    </comment>
    <comment ref="J1305" authorId="0" shapeId="0">
      <text>
        <t>Em branco herda a base. Sim indica que o efeito exige TR, inclusive em Forma de ataque.</t>
      </text>
    </comment>
    <comment ref="M1305" authorId="0" shapeId="0">
      <text>
        <t>Em branco herda a base. Sim indica que o efeito exige TR, inclusive em Forma de ataque.</t>
      </text>
    </comment>
    <comment ref="B1307" authorId="0" shapeId="0">
      <text>
        <t>Campo do cadastro custom. Em branco herda a base do livro, quando escolhida.</t>
      </text>
    </comment>
    <comment ref="J1307" authorId="0" shapeId="0">
      <text>
        <t>Campo do cadastro custom. Em branco herda a base do livro, quando escolhida.</t>
      </text>
    </comment>
    <comment ref="B1308" authorId="0" shapeId="0">
      <text>
        <t>Descreva requisitos, incompatibilidades e limite de compras. Verificações da base continuam; texto livre é conferido pelo mestre e pelo bot.</t>
      </text>
    </comment>
    <comment ref="J1308" authorId="0" shapeId="0">
      <text>
        <t>Descreva requisitos, incompatibilidades e limite de compras. Verificações da base continuam; texto livre é conferido pelo mestre e pelo bot.</t>
      </text>
    </comment>
    <comment ref="B1313" authorId="0" shapeId="0">
      <text>
        <t>Campo do cadastro custom. Em branco herda a base do livro, quando escolhida.</t>
      </text>
    </comment>
    <comment ref="J1313" authorId="0" shapeId="0">
      <text>
        <t>Campo do cadastro custom. Em branco herda a base do livro, quando escolhida.</t>
      </text>
    </comment>
    <comment ref="B1314" authorId="0" shapeId="0">
      <text>
        <t>Efeito completo da Melhoria. Números do personagem sem campo próprio são registrados em BÔNUS E MUDANÇAS.</t>
      </text>
    </comment>
    <comment ref="J1314" authorId="0" shapeId="0">
      <text>
        <t>Efeito completo da Melhoria. Números do personagem sem campo próprio são registrados em BÔNUS E MUDANÇAS.</t>
      </text>
    </comment>
    <comment ref="B1320" authorId="0" shapeId="0">
      <text>
        <t>Campo do cadastro custom. Em branco herda a base do livro, quando escolhida.</t>
      </text>
    </comment>
    <comment ref="J1320" authorId="0" shapeId="0">
      <text>
        <t>Campo do cadastro custom. Em branco herda a base do livro, quando escolhida.</t>
      </text>
    </comment>
    <comment ref="B1323" authorId="0" shapeId="0">
      <text>
        <t>Campo do cadastro custom. Em branco herda a base do livro, quando escolhida.</t>
      </text>
    </comment>
    <comment ref="J1323" authorId="0" shapeId="0">
      <text>
        <t>Campo do cadastro custom. Em branco herda a base do livro, quando escolhida.</t>
      </text>
    </comment>
    <comment ref="B1324" authorId="0" shapeId="0">
      <text>
        <t>Campo do cadastro custom. Em branco herda a base do livro, quando escolhida.</t>
      </text>
    </comment>
    <comment ref="F1324" authorId="0" shapeId="0">
      <text>
        <t>Campo do cadastro custom. Em branco herda a base do livro, quando escolhida.</t>
      </text>
    </comment>
    <comment ref="J1324" authorId="0" shapeId="0">
      <text>
        <t>Campo do cadastro custom. Em branco herda a base do livro, quando escolhida.</t>
      </text>
    </comment>
    <comment ref="N1324" authorId="0" shapeId="0">
      <text>
        <t>Campo do cadastro custom. Em branco herda a base do livro, quando escolhida.</t>
      </text>
    </comment>
    <comment ref="B1325" authorId="0" shapeId="0">
      <text>
        <t>Condição usa este mesmo cadastro e orçamento de Melhoria. Família em branco usa a base ou Controle sem base; EXIGE TR deve ficar vazio ou Sim. Peso e efeito seguem os campos deste cartão. Texto não executa regras.</t>
      </text>
    </comment>
    <comment ref="F1325" authorId="0" shapeId="0">
      <text>
        <t>Lembrete marcado pelo jogador. Aprovação ocorre pelo bot no chat.</t>
      </text>
    </comment>
    <comment ref="J1325" authorId="0" shapeId="0">
      <text>
        <t>Condição usa este mesmo cadastro e orçamento de Melhoria. Família em branco usa a base ou Controle sem base; EXIGE TR deve ficar vazio ou Sim. Peso e efeito seguem os campos deste cartão. Texto não executa regras.</t>
      </text>
    </comment>
    <comment ref="N1325" authorId="0" shapeId="0">
      <text>
        <t>Lembrete marcado pelo jogador. Aprovação ocorre pelo bot no chat.</t>
      </text>
    </comment>
    <comment ref="B1326" authorId="0" shapeId="0">
      <text>
        <t>Campo do cadastro custom. Em branco herda a base do livro, quando escolhida.</t>
      </text>
    </comment>
    <comment ref="J1326" authorId="0" shapeId="0">
      <text>
        <t>Campo do cadastro custom. Em branco herda a base do livro, quando escolhida.</t>
      </text>
    </comment>
    <comment ref="B1327" authorId="0" shapeId="0">
      <text>
        <t>Campo do cadastro custom. Em branco herda a base do livro, quando escolhida.</t>
      </text>
    </comment>
    <comment ref="J1327" authorId="0" shapeId="0">
      <text>
        <t>Campo do cadastro custom. Em branco herda a base do livro, quando escolhida.</t>
      </text>
    </comment>
    <comment ref="B1328" authorId="0" shapeId="0">
      <text>
        <t>Opcional. Nenhuma cria do zero. Com base, campos em branco e verificações específicas herdam o livro. Texto livre não cria automações.</t>
      </text>
    </comment>
    <comment ref="E1328" authorId="0" shapeId="0">
      <text>
        <t>Opcional. Nenhuma cria do zero. Com base, campos em branco e verificações específicas herdam o livro. Texto livre não cria automações.</t>
      </text>
    </comment>
    <comment ref="J1328" authorId="0" shapeId="0">
      <text>
        <t>Opcional. Nenhuma cria do zero. Com base, campos em branco e verificações específicas herdam o livro. Texto livre não cria automações.</t>
      </text>
    </comment>
    <comment ref="M1328" authorId="0" shapeId="0">
      <text>
        <t>Opcional. Nenhuma cria do zero. Com base, campos em branco e verificações específicas herdam o livro. Texto livre não cria automações.</t>
      </text>
    </comment>
    <comment ref="B1329" authorId="0" shapeId="0">
      <text>
        <t>Em branco herda a base; Nenhuma remove a Família. A técnica usa o estado cadastrado; entidades usam suas próprias Famílias abertas.</t>
      </text>
    </comment>
    <comment ref="E1329" authorId="0" shapeId="0">
      <text>
        <t>Em branco herda a base; Nenhuma remove a Família. A técnica usa o estado cadastrado; entidades usam suas próprias Famílias abertas.</t>
      </text>
    </comment>
    <comment ref="J1329" authorId="0" shapeId="0">
      <text>
        <t>Em branco herda a base; Nenhuma remove a Família. A técnica usa o estado cadastrado; entidades usam suas próprias Famílias abertas.</t>
      </text>
    </comment>
    <comment ref="M1329" authorId="0" shapeId="0">
      <text>
        <t>Em branco herda a base; Nenhuma remove a Família. A técnica usa o estado cadastrado; entidades usam suas próprias Famílias abertas.</t>
      </text>
    </comment>
    <comment ref="B1330" authorId="0" shapeId="0">
      <text>
        <t>Em branco herda a base. Sem base, escolha Leve, Média ou Pesada. Preços e desconto seguem a Classe da ficha.</t>
      </text>
    </comment>
    <comment ref="E1330" authorId="0" shapeId="0">
      <text>
        <t>Em branco herda a base. Sem base, escolha Leve, Média ou Pesada. Preços e desconto seguem a Classe da ficha.</t>
      </text>
    </comment>
    <comment ref="J1330" authorId="0" shapeId="0">
      <text>
        <t>Em branco herda a base. Sem base, escolha Leve, Média ou Pesada. Preços e desconto seguem a Classe da ficha.</t>
      </text>
    </comment>
    <comment ref="M1330" authorId="0" shapeId="0">
      <text>
        <t>Em branco herda a base. Sem base, escolha Leve, Média ou Pesada. Preços e desconto seguem a Classe da ficha.</t>
      </text>
    </comment>
    <comment ref="B1331" authorId="0" shapeId="0">
      <text>
        <t>Em branco herda a base. Sim indica que o efeito exige TR, inclusive em Forma de ataque.</t>
      </text>
    </comment>
    <comment ref="E1331" authorId="0" shapeId="0">
      <text>
        <t>Em branco herda a base. Sim indica que o efeito exige TR, inclusive em Forma de ataque.</t>
      </text>
    </comment>
    <comment ref="J1331" authorId="0" shapeId="0">
      <text>
        <t>Em branco herda a base. Sim indica que o efeito exige TR, inclusive em Forma de ataque.</t>
      </text>
    </comment>
    <comment ref="M1331" authorId="0" shapeId="0">
      <text>
        <t>Em branco herda a base. Sim indica que o efeito exige TR, inclusive em Forma de ataque.</t>
      </text>
    </comment>
    <comment ref="B1333" authorId="0" shapeId="0">
      <text>
        <t>Campo do cadastro custom. Em branco herda a base do livro, quando escolhida.</t>
      </text>
    </comment>
    <comment ref="J1333" authorId="0" shapeId="0">
      <text>
        <t>Campo do cadastro custom. Em branco herda a base do livro, quando escolhida.</t>
      </text>
    </comment>
    <comment ref="B1334" authorId="0" shapeId="0">
      <text>
        <t>Descreva requisitos, incompatibilidades e limite de compras. Verificações da base continuam; texto livre é conferido pelo mestre e pelo bot.</t>
      </text>
    </comment>
    <comment ref="J1334" authorId="0" shapeId="0">
      <text>
        <t>Descreva requisitos, incompatibilidades e limite de compras. Verificações da base continuam; texto livre é conferido pelo mestre e pelo bot.</t>
      </text>
    </comment>
    <comment ref="B1339" authorId="0" shapeId="0">
      <text>
        <t>Campo do cadastro custom. Em branco herda a base do livro, quando escolhida.</t>
      </text>
    </comment>
    <comment ref="J1339" authorId="0" shapeId="0">
      <text>
        <t>Campo do cadastro custom. Em branco herda a base do livro, quando escolhida.</t>
      </text>
    </comment>
    <comment ref="B1340" authorId="0" shapeId="0">
      <text>
        <t>Efeito completo da Melhoria. Números do personagem sem campo próprio são registrados em BÔNUS E MUDANÇAS.</t>
      </text>
    </comment>
    <comment ref="J1340" authorId="0" shapeId="0">
      <text>
        <t>Efeito completo da Melhoria. Números do personagem sem campo próprio são registrados em BÔNUS E MUDANÇAS.</t>
      </text>
    </comment>
    <comment ref="B1346" authorId="0" shapeId="0">
      <text>
        <t>Campo do cadastro custom. Em branco herda a base do livro, quando escolhida.</t>
      </text>
    </comment>
    <comment ref="J1346" authorId="0" shapeId="0">
      <text>
        <t>Campo do cadastro custom. Em branco herda a base do livro, quando escolhida.</t>
      </text>
    </comment>
    <comment ref="B1349" authorId="0" shapeId="0">
      <text>
        <t>Campo do cadastro custom. Em branco herda a base do livro, quando escolhida.</t>
      </text>
    </comment>
    <comment ref="J1349" authorId="0" shapeId="0">
      <text>
        <t>Campo do cadastro custom. Em branco herda a base do livro, quando escolhida.</t>
      </text>
    </comment>
    <comment ref="B1350" authorId="0" shapeId="0">
      <text>
        <t>Campo do cadastro custom. Em branco herda a base do livro, quando escolhida.</t>
      </text>
    </comment>
    <comment ref="F1350" authorId="0" shapeId="0">
      <text>
        <t>Campo do cadastro custom. Em branco herda a base do livro, quando escolhida.</t>
      </text>
    </comment>
    <comment ref="J1350" authorId="0" shapeId="0">
      <text>
        <t>Campo do cadastro custom. Em branco herda a base do livro, quando escolhida.</t>
      </text>
    </comment>
    <comment ref="N1350" authorId="0" shapeId="0">
      <text>
        <t>Campo do cadastro custom. Em branco herda a base do livro, quando escolhida.</t>
      </text>
    </comment>
    <comment ref="B1351" authorId="0" shapeId="0">
      <text>
        <t>Condição usa este mesmo cadastro e orçamento de Melhoria. Família em branco usa a base ou Controle sem base; EXIGE TR deve ficar vazio ou Sim. Peso e efeito seguem os campos deste cartão. Texto não executa regras.</t>
      </text>
    </comment>
    <comment ref="F1351" authorId="0" shapeId="0">
      <text>
        <t>Lembrete marcado pelo jogador. Aprovação ocorre pelo bot no chat.</t>
      </text>
    </comment>
    <comment ref="J1351" authorId="0" shapeId="0">
      <text>
        <t>Condição usa este mesmo cadastro e orçamento de Melhoria. Família em branco usa a base ou Controle sem base; EXIGE TR deve ficar vazio ou Sim. Peso e efeito seguem os campos deste cartão. Texto não executa regras.</t>
      </text>
    </comment>
    <comment ref="N1351" authorId="0" shapeId="0">
      <text>
        <t>Lembrete marcado pelo jogador. Aprovação ocorre pelo bot no chat.</t>
      </text>
    </comment>
    <comment ref="B1352" authorId="0" shapeId="0">
      <text>
        <t>Campo do cadastro custom. Em branco herda a base do livro, quando escolhida.</t>
      </text>
    </comment>
    <comment ref="J1352" authorId="0" shapeId="0">
      <text>
        <t>Campo do cadastro custom. Em branco herda a base do livro, quando escolhida.</t>
      </text>
    </comment>
    <comment ref="B1353" authorId="0" shapeId="0">
      <text>
        <t>Campo do cadastro custom. Em branco herda a base do livro, quando escolhida.</t>
      </text>
    </comment>
    <comment ref="J1353" authorId="0" shapeId="0">
      <text>
        <t>Campo do cadastro custom. Em branco herda a base do livro, quando escolhida.</t>
      </text>
    </comment>
    <comment ref="B1354" authorId="0" shapeId="0">
      <text>
        <t>Opcional. Nenhuma cria do zero. Com base, campos em branco e verificações específicas herdam o livro. Texto livre não cria automações.</t>
      </text>
    </comment>
    <comment ref="E1354" authorId="0" shapeId="0">
      <text>
        <t>Opcional. Nenhuma cria do zero. Com base, campos em branco e verificações específicas herdam o livro. Texto livre não cria automações.</t>
      </text>
    </comment>
    <comment ref="J1354" authorId="0" shapeId="0">
      <text>
        <t>Opcional. Nenhuma cria do zero. Com base, campos em branco e verificações específicas herdam o livro. Texto livre não cria automações.</t>
      </text>
    </comment>
    <comment ref="M1354" authorId="0" shapeId="0">
      <text>
        <t>Opcional. Nenhuma cria do zero. Com base, campos em branco e verificações específicas herdam o livro. Texto livre não cria automações.</t>
      </text>
    </comment>
    <comment ref="B1355" authorId="0" shapeId="0">
      <text>
        <t>Em branco herda a base; Nenhuma remove a Família. A técnica usa o estado cadastrado; entidades usam suas próprias Famílias abertas.</t>
      </text>
    </comment>
    <comment ref="E1355" authorId="0" shapeId="0">
      <text>
        <t>Em branco herda a base; Nenhuma remove a Família. A técnica usa o estado cadastrado; entidades usam suas próprias Famílias abertas.</t>
      </text>
    </comment>
    <comment ref="J1355" authorId="0" shapeId="0">
      <text>
        <t>Em branco herda a base; Nenhuma remove a Família. A técnica usa o estado cadastrado; entidades usam suas próprias Famílias abertas.</t>
      </text>
    </comment>
    <comment ref="M1355" authorId="0" shapeId="0">
      <text>
        <t>Em branco herda a base; Nenhuma remove a Família. A técnica usa o estado cadastrado; entidades usam suas próprias Famílias abertas.</t>
      </text>
    </comment>
    <comment ref="B1356" authorId="0" shapeId="0">
      <text>
        <t>Em branco herda a base. Sem base, escolha Leve, Média ou Pesada. Preços e desconto seguem a Classe da ficha.</t>
      </text>
    </comment>
    <comment ref="E1356" authorId="0" shapeId="0">
      <text>
        <t>Em branco herda a base. Sem base, escolha Leve, Média ou Pesada. Preços e desconto seguem a Classe da ficha.</t>
      </text>
    </comment>
    <comment ref="J1356" authorId="0" shapeId="0">
      <text>
        <t>Em branco herda a base. Sem base, escolha Leve, Média ou Pesada. Preços e desconto seguem a Classe da ficha.</t>
      </text>
    </comment>
    <comment ref="M1356" authorId="0" shapeId="0">
      <text>
        <t>Em branco herda a base. Sem base, escolha Leve, Média ou Pesada. Preços e desconto seguem a Classe da ficha.</t>
      </text>
    </comment>
    <comment ref="B1357" authorId="0" shapeId="0">
      <text>
        <t>Em branco herda a base. Sim indica que o efeito exige TR, inclusive em Forma de ataque.</t>
      </text>
    </comment>
    <comment ref="E1357" authorId="0" shapeId="0">
      <text>
        <t>Em branco herda a base. Sim indica que o efeito exige TR, inclusive em Forma de ataque.</t>
      </text>
    </comment>
    <comment ref="J1357" authorId="0" shapeId="0">
      <text>
        <t>Em branco herda a base. Sim indica que o efeito exige TR, inclusive em Forma de ataque.</t>
      </text>
    </comment>
    <comment ref="M1357" authorId="0" shapeId="0">
      <text>
        <t>Em branco herda a base. Sim indica que o efeito exige TR, inclusive em Forma de ataque.</t>
      </text>
    </comment>
    <comment ref="B1359" authorId="0" shapeId="0">
      <text>
        <t>Campo do cadastro custom. Em branco herda a base do livro, quando escolhida.</t>
      </text>
    </comment>
    <comment ref="J1359" authorId="0" shapeId="0">
      <text>
        <t>Campo do cadastro custom. Em branco herda a base do livro, quando escolhida.</t>
      </text>
    </comment>
    <comment ref="B1360" authorId="0" shapeId="0">
      <text>
        <t>Descreva requisitos, incompatibilidades e limite de compras. Verificações da base continuam; texto livre é conferido pelo mestre e pelo bot.</t>
      </text>
    </comment>
    <comment ref="J1360" authorId="0" shapeId="0">
      <text>
        <t>Descreva requisitos, incompatibilidades e limite de compras. Verificações da base continuam; texto livre é conferido pelo mestre e pelo bot.</t>
      </text>
    </comment>
    <comment ref="B1365" authorId="0" shapeId="0">
      <text>
        <t>Campo do cadastro custom. Em branco herda a base do livro, quando escolhida.</t>
      </text>
    </comment>
    <comment ref="J1365" authorId="0" shapeId="0">
      <text>
        <t>Campo do cadastro custom. Em branco herda a base do livro, quando escolhida.</t>
      </text>
    </comment>
    <comment ref="B1366" authorId="0" shapeId="0">
      <text>
        <t>Efeito completo da Melhoria. Números do personagem sem campo próprio são registrados em BÔNUS E MUDANÇAS.</t>
      </text>
    </comment>
    <comment ref="J1366" authorId="0" shapeId="0">
      <text>
        <t>Efeito completo da Melhoria. Números do personagem sem campo próprio são registrados em BÔNUS E MUDANÇAS.</t>
      </text>
    </comment>
    <comment ref="B1372" authorId="0" shapeId="0">
      <text>
        <t>Campo do cadastro custom. Em branco herda a base do livro, quando escolhida.</t>
      </text>
    </comment>
    <comment ref="J1372" authorId="0" shapeId="0">
      <text>
        <t>Campo do cadastro custom. Em branco herda a base do livro, quando escolhida.</t>
      </text>
    </comment>
    <comment ref="B1375" authorId="0" shapeId="0">
      <text>
        <t>Campo do cadastro custom. Em branco herda a base do livro, quando escolhida.</t>
      </text>
    </comment>
    <comment ref="J1375" authorId="0" shapeId="0">
      <text>
        <t>Campo do cadastro custom. Em branco herda a base do livro, quando escolhida.</t>
      </text>
    </comment>
    <comment ref="B1376" authorId="0" shapeId="0">
      <text>
        <t>Campo do cadastro custom. Em branco herda a base do livro, quando escolhida.</t>
      </text>
    </comment>
    <comment ref="F1376" authorId="0" shapeId="0">
      <text>
        <t>Campo do cadastro custom. Em branco herda a base do livro, quando escolhida.</t>
      </text>
    </comment>
    <comment ref="J1376" authorId="0" shapeId="0">
      <text>
        <t>Campo do cadastro custom. Em branco herda a base do livro, quando escolhida.</t>
      </text>
    </comment>
    <comment ref="N1376" authorId="0" shapeId="0">
      <text>
        <t>Campo do cadastro custom. Em branco herda a base do livro, quando escolhida.</t>
      </text>
    </comment>
    <comment ref="B1377" authorId="0" shapeId="0">
      <text>
        <t>Condição usa este mesmo cadastro e orçamento de Melhoria. Família em branco usa a base ou Controle sem base; EXIGE TR deve ficar vazio ou Sim. Peso e efeito seguem os campos deste cartão. Texto não executa regras.</t>
      </text>
    </comment>
    <comment ref="F1377" authorId="0" shapeId="0">
      <text>
        <t>Lembrete marcado pelo jogador. Aprovação ocorre pelo bot no chat.</t>
      </text>
    </comment>
    <comment ref="J1377" authorId="0" shapeId="0">
      <text>
        <t>Condição usa este mesmo cadastro e orçamento de Melhoria. Família em branco usa a base ou Controle sem base; EXIGE TR deve ficar vazio ou Sim. Peso e efeito seguem os campos deste cartão. Texto não executa regras.</t>
      </text>
    </comment>
    <comment ref="N1377" authorId="0" shapeId="0">
      <text>
        <t>Lembrete marcado pelo jogador. Aprovação ocorre pelo bot no chat.</t>
      </text>
    </comment>
    <comment ref="B1378" authorId="0" shapeId="0">
      <text>
        <t>Campo do cadastro custom. Em branco herda a base do livro, quando escolhida.</t>
      </text>
    </comment>
    <comment ref="J1378" authorId="0" shapeId="0">
      <text>
        <t>Campo do cadastro custom. Em branco herda a base do livro, quando escolhida.</t>
      </text>
    </comment>
    <comment ref="B1379" authorId="0" shapeId="0">
      <text>
        <t>Campo do cadastro custom. Em branco herda a base do livro, quando escolhida.</t>
      </text>
    </comment>
    <comment ref="J1379" authorId="0" shapeId="0">
      <text>
        <t>Campo do cadastro custom. Em branco herda a base do livro, quando escolhida.</t>
      </text>
    </comment>
    <comment ref="B1380" authorId="0" shapeId="0">
      <text>
        <t>Opcional. Nenhuma cria do zero. Com base, campos em branco e verificações específicas herdam o livro. Texto livre não cria automações.</t>
      </text>
    </comment>
    <comment ref="E1380" authorId="0" shapeId="0">
      <text>
        <t>Opcional. Nenhuma cria do zero. Com base, campos em branco e verificações específicas herdam o livro. Texto livre não cria automações.</t>
      </text>
    </comment>
    <comment ref="J1380" authorId="0" shapeId="0">
      <text>
        <t>Opcional. Nenhuma cria do zero. Com base, campos em branco e verificações específicas herdam o livro. Texto livre não cria automações.</t>
      </text>
    </comment>
    <comment ref="M1380" authorId="0" shapeId="0">
      <text>
        <t>Opcional. Nenhuma cria do zero. Com base, campos em branco e verificações específicas herdam o livro. Texto livre não cria automações.</t>
      </text>
    </comment>
    <comment ref="B1381" authorId="0" shapeId="0">
      <text>
        <t>Em branco herda a base; Nenhuma remove a Família. A técnica usa o estado cadastrado; entidades usam suas próprias Famílias abertas.</t>
      </text>
    </comment>
    <comment ref="E1381" authorId="0" shapeId="0">
      <text>
        <t>Em branco herda a base; Nenhuma remove a Família. A técnica usa o estado cadastrado; entidades usam suas próprias Famílias abertas.</t>
      </text>
    </comment>
    <comment ref="J1381" authorId="0" shapeId="0">
      <text>
        <t>Em branco herda a base; Nenhuma remove a Família. A técnica usa o estado cadastrado; entidades usam suas próprias Famílias abertas.</t>
      </text>
    </comment>
    <comment ref="M1381" authorId="0" shapeId="0">
      <text>
        <t>Em branco herda a base; Nenhuma remove a Família. A técnica usa o estado cadastrado; entidades usam suas próprias Famílias abertas.</t>
      </text>
    </comment>
    <comment ref="B1382" authorId="0" shapeId="0">
      <text>
        <t>Em branco herda a base. Sem base, escolha Leve, Média ou Pesada. Preços e desconto seguem a Classe da ficha.</t>
      </text>
    </comment>
    <comment ref="E1382" authorId="0" shapeId="0">
      <text>
        <t>Em branco herda a base. Sem base, escolha Leve, Média ou Pesada. Preços e desconto seguem a Classe da ficha.</t>
      </text>
    </comment>
    <comment ref="J1382" authorId="0" shapeId="0">
      <text>
        <t>Em branco herda a base. Sem base, escolha Leve, Média ou Pesada. Preços e desconto seguem a Classe da ficha.</t>
      </text>
    </comment>
    <comment ref="M1382" authorId="0" shapeId="0">
      <text>
        <t>Em branco herda a base. Sem base, escolha Leve, Média ou Pesada. Preços e desconto seguem a Classe da ficha.</t>
      </text>
    </comment>
    <comment ref="B1383" authorId="0" shapeId="0">
      <text>
        <t>Em branco herda a base. Sim indica que o efeito exige TR, inclusive em Forma de ataque.</t>
      </text>
    </comment>
    <comment ref="E1383" authorId="0" shapeId="0">
      <text>
        <t>Em branco herda a base. Sim indica que o efeito exige TR, inclusive em Forma de ataque.</t>
      </text>
    </comment>
    <comment ref="J1383" authorId="0" shapeId="0">
      <text>
        <t>Em branco herda a base. Sim indica que o efeito exige TR, inclusive em Forma de ataque.</t>
      </text>
    </comment>
    <comment ref="M1383" authorId="0" shapeId="0">
      <text>
        <t>Em branco herda a base. Sim indica que o efeito exige TR, inclusive em Forma de ataque.</t>
      </text>
    </comment>
    <comment ref="B1385" authorId="0" shapeId="0">
      <text>
        <t>Campo do cadastro custom. Em branco herda a base do livro, quando escolhida.</t>
      </text>
    </comment>
    <comment ref="J1385" authorId="0" shapeId="0">
      <text>
        <t>Campo do cadastro custom. Em branco herda a base do livro, quando escolhida.</t>
      </text>
    </comment>
    <comment ref="B1386" authorId="0" shapeId="0">
      <text>
        <t>Descreva requisitos, incompatibilidades e limite de compras. Verificações da base continuam; texto livre é conferido pelo mestre e pelo bot.</t>
      </text>
    </comment>
    <comment ref="J1386" authorId="0" shapeId="0">
      <text>
        <t>Descreva requisitos, incompatibilidades e limite de compras. Verificações da base continuam; texto livre é conferido pelo mestre e pelo bot.</t>
      </text>
    </comment>
    <comment ref="B1391" authorId="0" shapeId="0">
      <text>
        <t>Campo do cadastro custom. Em branco herda a base do livro, quando escolhida.</t>
      </text>
    </comment>
    <comment ref="J1391" authorId="0" shapeId="0">
      <text>
        <t>Campo do cadastro custom. Em branco herda a base do livro, quando escolhida.</t>
      </text>
    </comment>
    <comment ref="B1392" authorId="0" shapeId="0">
      <text>
        <t>Efeito completo da Melhoria. Números do personagem sem campo próprio são registrados em BÔNUS E MUDANÇAS.</t>
      </text>
    </comment>
    <comment ref="J1392" authorId="0" shapeId="0">
      <text>
        <t>Efeito completo da Melhoria. Números do personagem sem campo próprio são registrados em BÔNUS E MUDANÇAS.</t>
      </text>
    </comment>
    <comment ref="B1398" authorId="0" shapeId="0">
      <text>
        <t>Campo do cadastro custom. Em branco herda a base do livro, quando escolhida.</t>
      </text>
    </comment>
    <comment ref="J1398" authorId="0" shapeId="0">
      <text>
        <t>Campo do cadastro custom. Em branco herda a base do livro, quando escolhida.</t>
      </text>
    </comment>
    <comment ref="B1402" authorId="0" shapeId="0">
      <text>
        <t>Campo do cadastro custom. Em branco herda a base do livro, quando escolhida.</t>
      </text>
    </comment>
    <comment ref="B1404" authorId="0" shapeId="0">
      <text>
        <t>Campo do cadastro custom. Em branco herda a base do livro, quando escolhida.</t>
      </text>
    </comment>
    <comment ref="J1404" authorId="0" shapeId="0">
      <text>
        <t>Campo do cadastro custom. Em branco herda a base do livro, quando escolhida.</t>
      </text>
    </comment>
    <comment ref="B1405" authorId="0" shapeId="0">
      <text>
        <t>Campo do cadastro custom. Em branco herda a base do livro, quando escolhida.</t>
      </text>
    </comment>
    <comment ref="F1405" authorId="0" shapeId="0">
      <text>
        <t>Campo do cadastro custom. Em branco herda a base do livro, quando escolhida.</t>
      </text>
    </comment>
    <comment ref="J1405" authorId="0" shapeId="0">
      <text>
        <t>Campo do cadastro custom. Em branco herda a base do livro, quando escolhida.</t>
      </text>
    </comment>
    <comment ref="N1405" authorId="0" shapeId="0">
      <text>
        <t>Campo do cadastro custom. Em branco herda a base do livro, quando escolhida.</t>
      </text>
    </comment>
    <comment ref="B1406" authorId="0" shapeId="0">
      <text>
        <t>Campo do cadastro custom. Em branco herda a base do livro, quando escolhida.</t>
      </text>
    </comment>
    <comment ref="F1406" authorId="0" shapeId="0">
      <text>
        <t>Lembrete marcado pelo jogador. Aprovação ocorre pelo bot no chat.</t>
      </text>
    </comment>
    <comment ref="J1406" authorId="0" shapeId="0">
      <text>
        <t>Campo do cadastro custom. Em branco herda a base do livro, quando escolhida.</t>
      </text>
    </comment>
    <comment ref="N1406" authorId="0" shapeId="0">
      <text>
        <t>Lembrete marcado pelo jogador. Aprovação ocorre pelo bot no chat.</t>
      </text>
    </comment>
    <comment ref="B1407" authorId="0" shapeId="0">
      <text>
        <t>Campo do cadastro custom. Em branco herda a base do livro, quando escolhida.</t>
      </text>
    </comment>
    <comment ref="J1407" authorId="0" shapeId="0">
      <text>
        <t>Campo do cadastro custom. Em branco herda a base do livro, quando escolhida.</t>
      </text>
    </comment>
    <comment ref="B1408" authorId="0" shapeId="0">
      <text>
        <t>Campo do cadastro custom. Em branco herda a base do livro, quando escolhida.</t>
      </text>
    </comment>
    <comment ref="J1408" authorId="0" shapeId="0">
      <text>
        <t>Campo do cadastro custom. Em branco herda a base do livro, quando escolhida.</t>
      </text>
    </comment>
    <comment ref="B1409" authorId="0" shapeId="0">
      <text>
        <t>Opcional. Nenhuma cria do zero. Com base, campos em branco e verificações específicas herdam o livro. Texto livre não cria automações.</t>
      </text>
    </comment>
    <comment ref="E1409" authorId="0" shapeId="0">
      <text>
        <t>Opcional. Nenhuma cria do zero. Com base, campos em branco e verificações específicas herdam o livro. Texto livre não cria automações.</t>
      </text>
    </comment>
    <comment ref="J1409" authorId="0" shapeId="0">
      <text>
        <t>Opcional. Nenhuma cria do zero. Com base, campos em branco e verificações específicas herdam o livro. Texto livre não cria automações.</t>
      </text>
    </comment>
    <comment ref="M1409" authorId="0" shapeId="0">
      <text>
        <t>Opcional. Nenhuma cria do zero. Com base, campos em branco e verificações específicas herdam o livro. Texto livre não cria automações.</t>
      </text>
    </comment>
    <comment ref="B1410" authorId="0" shapeId="0">
      <text>
        <t>Em branco herda a base. Sem base, escolha Leve ou Média. Restrição paga Melhorias, nunca a Forma, e conserva o teto e o limite de Restrições.</t>
      </text>
    </comment>
    <comment ref="E1410" authorId="0" shapeId="0">
      <text>
        <t>Em branco herda a base. Sem base, escolha Leve ou Média. Restrição paga Melhorias, nunca a Forma, e conserva o teto e o limite de Restrições.</t>
      </text>
    </comment>
    <comment ref="J1410" authorId="0" shapeId="0">
      <text>
        <t>Em branco herda a base. Sem base, escolha Leve ou Média. Restrição paga Melhorias, nunca a Forma, e conserva o teto e o limite de Restrições.</t>
      </text>
    </comment>
    <comment ref="M1410" authorId="0" shapeId="0">
      <text>
        <t>Em branco herda a base. Sem base, escolha Leve ou Média. Restrição paga Melhorias, nunca a Forma, e conserva o teto e o limite de Restrições.</t>
      </text>
    </comment>
    <comment ref="B1411" authorId="0" shapeId="0">
      <text>
        <t>Em branco herda a base. Sim identifica Restrição de frequência; duas de frequência continuam incompatíveis.</t>
      </text>
    </comment>
    <comment ref="E1411" authorId="0" shapeId="0">
      <text>
        <t>Em branco herda a base. Sim identifica Restrição de frequência; duas de frequência continuam incompatíveis.</t>
      </text>
    </comment>
    <comment ref="J1411" authorId="0" shapeId="0">
      <text>
        <t>Em branco herda a base. Sim identifica Restrição de frequência; duas de frequência continuam incompatíveis.</t>
      </text>
    </comment>
    <comment ref="M1411" authorId="0" shapeId="0">
      <text>
        <t>Em branco herda a base. Sim identifica Restrição de frequência; duas de frequência continuam incompatíveis.</t>
      </text>
    </comment>
    <comment ref="B1413" authorId="0" shapeId="0">
      <text>
        <t>Campo do cadastro custom. Em branco herda a base do livro, quando escolhida.</t>
      </text>
    </comment>
    <comment ref="J1413" authorId="0" shapeId="0">
      <text>
        <t>Campo do cadastro custom. Em branco herda a base do livro, quando escolhida.</t>
      </text>
    </comment>
    <comment ref="B1414" authorId="0" shapeId="0">
      <text>
        <t>Exigência, momento de cumprir, duração e incompatibilidades. Texto livre não é executado como fórmula.</t>
      </text>
    </comment>
    <comment ref="J1414" authorId="0" shapeId="0">
      <text>
        <t>Exigência, momento de cumprir, duração e incompatibilidades. Texto livre não é executado como fórmula.</t>
      </text>
    </comment>
    <comment ref="B1422" authorId="0" shapeId="0">
      <text>
        <t>Campo do cadastro custom. Em branco herda a base do livro, quando escolhida.</t>
      </text>
    </comment>
    <comment ref="J1422" authorId="0" shapeId="0">
      <text>
        <t>Campo do cadastro custom. Em branco herda a base do livro, quando escolhida.</t>
      </text>
    </comment>
    <comment ref="B1426" authorId="0" shapeId="0">
      <text>
        <t>Campo do cadastro custom. Em branco herda a base do livro, quando escolhida.</t>
      </text>
    </comment>
    <comment ref="J1426" authorId="0" shapeId="0">
      <text>
        <t>Campo do cadastro custom. Em branco herda a base do livro, quando escolhida.</t>
      </text>
    </comment>
    <comment ref="B1427" authorId="0" shapeId="0">
      <text>
        <t>Campo do cadastro custom. Em branco herda a base do livro, quando escolhida.</t>
      </text>
    </comment>
    <comment ref="F1427" authorId="0" shapeId="0">
      <text>
        <t>Campo do cadastro custom. Em branco herda a base do livro, quando escolhida.</t>
      </text>
    </comment>
    <comment ref="J1427" authorId="0" shapeId="0">
      <text>
        <t>Campo do cadastro custom. Em branco herda a base do livro, quando escolhida.</t>
      </text>
    </comment>
    <comment ref="N1427" authorId="0" shapeId="0">
      <text>
        <t>Campo do cadastro custom. Em branco herda a base do livro, quando escolhida.</t>
      </text>
    </comment>
    <comment ref="B1428" authorId="0" shapeId="0">
      <text>
        <t>Campo do cadastro custom. Em branco herda a base do livro, quando escolhida.</t>
      </text>
    </comment>
    <comment ref="F1428" authorId="0" shapeId="0">
      <text>
        <t>Lembrete marcado pelo jogador. Aprovação ocorre pelo bot no chat.</t>
      </text>
    </comment>
    <comment ref="J1428" authorId="0" shapeId="0">
      <text>
        <t>Campo do cadastro custom. Em branco herda a base do livro, quando escolhida.</t>
      </text>
    </comment>
    <comment ref="N1428" authorId="0" shapeId="0">
      <text>
        <t>Lembrete marcado pelo jogador. Aprovação ocorre pelo bot no chat.</t>
      </text>
    </comment>
    <comment ref="B1429" authorId="0" shapeId="0">
      <text>
        <t>Campo do cadastro custom. Em branco herda a base do livro, quando escolhida.</t>
      </text>
    </comment>
    <comment ref="J1429" authorId="0" shapeId="0">
      <text>
        <t>Campo do cadastro custom. Em branco herda a base do livro, quando escolhida.</t>
      </text>
    </comment>
    <comment ref="B1430" authorId="0" shapeId="0">
      <text>
        <t>Campo do cadastro custom. Em branco herda a base do livro, quando escolhida.</t>
      </text>
    </comment>
    <comment ref="J1430" authorId="0" shapeId="0">
      <text>
        <t>Campo do cadastro custom. Em branco herda a base do livro, quando escolhida.</t>
      </text>
    </comment>
    <comment ref="B1431" authorId="0" shapeId="0">
      <text>
        <t>Opcional. Nenhuma cria do zero. Com base, campos em branco e verificações específicas herdam o livro. Texto livre não cria automações.</t>
      </text>
    </comment>
    <comment ref="E1431" authorId="0" shapeId="0">
      <text>
        <t>Opcional. Nenhuma cria do zero. Com base, campos em branco e verificações específicas herdam o livro. Texto livre não cria automações.</t>
      </text>
    </comment>
    <comment ref="J1431" authorId="0" shapeId="0">
      <text>
        <t>Opcional. Nenhuma cria do zero. Com base, campos em branco e verificações específicas herdam o livro. Texto livre não cria automações.</t>
      </text>
    </comment>
    <comment ref="M1431" authorId="0" shapeId="0">
      <text>
        <t>Opcional. Nenhuma cria do zero. Com base, campos em branco e verificações específicas herdam o livro. Texto livre não cria automações.</t>
      </text>
    </comment>
    <comment ref="B1432" authorId="0" shapeId="0">
      <text>
        <t>Em branco herda a base. Sem base, escolha Leve ou Média. Restrição paga Melhorias, nunca a Forma, e conserva o teto e o limite de Restrições.</t>
      </text>
    </comment>
    <comment ref="E1432" authorId="0" shapeId="0">
      <text>
        <t>Em branco herda a base. Sem base, escolha Leve ou Média. Restrição paga Melhorias, nunca a Forma, e conserva o teto e o limite de Restrições.</t>
      </text>
    </comment>
    <comment ref="J1432" authorId="0" shapeId="0">
      <text>
        <t>Em branco herda a base. Sem base, escolha Leve ou Média. Restrição paga Melhorias, nunca a Forma, e conserva o teto e o limite de Restrições.</t>
      </text>
    </comment>
    <comment ref="M1432" authorId="0" shapeId="0">
      <text>
        <t>Em branco herda a base. Sem base, escolha Leve ou Média. Restrição paga Melhorias, nunca a Forma, e conserva o teto e o limite de Restrições.</t>
      </text>
    </comment>
    <comment ref="B1433" authorId="0" shapeId="0">
      <text>
        <t>Em branco herda a base. Sim identifica Restrição de frequência; duas de frequência continuam incompatíveis.</t>
      </text>
    </comment>
    <comment ref="E1433" authorId="0" shapeId="0">
      <text>
        <t>Em branco herda a base. Sim identifica Restrição de frequência; duas de frequência continuam incompatíveis.</t>
      </text>
    </comment>
    <comment ref="J1433" authorId="0" shapeId="0">
      <text>
        <t>Em branco herda a base. Sim identifica Restrição de frequência; duas de frequência continuam incompatíveis.</t>
      </text>
    </comment>
    <comment ref="M1433" authorId="0" shapeId="0">
      <text>
        <t>Em branco herda a base. Sim identifica Restrição de frequência; duas de frequência continuam incompatíveis.</t>
      </text>
    </comment>
    <comment ref="B1435" authorId="0" shapeId="0">
      <text>
        <t>Campo do cadastro custom. Em branco herda a base do livro, quando escolhida.</t>
      </text>
    </comment>
    <comment ref="J1435" authorId="0" shapeId="0">
      <text>
        <t>Campo do cadastro custom. Em branco herda a base do livro, quando escolhida.</t>
      </text>
    </comment>
    <comment ref="B1436" authorId="0" shapeId="0">
      <text>
        <t>Exigência, momento de cumprir, duração e incompatibilidades. Texto livre não é executado como fórmula.</t>
      </text>
    </comment>
    <comment ref="J1436" authorId="0" shapeId="0">
      <text>
        <t>Exigência, momento de cumprir, duração e incompatibilidades. Texto livre não é executado como fórmula.</t>
      </text>
    </comment>
    <comment ref="B1444" authorId="0" shapeId="0">
      <text>
        <t>Campo do cadastro custom. Em branco herda a base do livro, quando escolhida.</t>
      </text>
    </comment>
    <comment ref="J1444" authorId="0" shapeId="0">
      <text>
        <t>Campo do cadastro custom. Em branco herda a base do livro, quando escolhida.</t>
      </text>
    </comment>
    <comment ref="B1448" authorId="0" shapeId="0">
      <text>
        <t>Campo do cadastro custom. Em branco herda a base do livro, quando escolhida.</t>
      </text>
    </comment>
    <comment ref="J1448" authorId="0" shapeId="0">
      <text>
        <t>Campo do cadastro custom. Em branco herda a base do livro, quando escolhida.</t>
      </text>
    </comment>
    <comment ref="B1449" authorId="0" shapeId="0">
      <text>
        <t>Campo do cadastro custom. Em branco herda a base do livro, quando escolhida.</t>
      </text>
    </comment>
    <comment ref="F1449" authorId="0" shapeId="0">
      <text>
        <t>Campo do cadastro custom. Em branco herda a base do livro, quando escolhida.</t>
      </text>
    </comment>
    <comment ref="J1449" authorId="0" shapeId="0">
      <text>
        <t>Campo do cadastro custom. Em branco herda a base do livro, quando escolhida.</t>
      </text>
    </comment>
    <comment ref="N1449" authorId="0" shapeId="0">
      <text>
        <t>Campo do cadastro custom. Em branco herda a base do livro, quando escolhida.</t>
      </text>
    </comment>
    <comment ref="B1450" authorId="0" shapeId="0">
      <text>
        <t>Campo do cadastro custom. Em branco herda a base do livro, quando escolhida.</t>
      </text>
    </comment>
    <comment ref="F1450" authorId="0" shapeId="0">
      <text>
        <t>Lembrete marcado pelo jogador. Aprovação ocorre pelo bot no chat.</t>
      </text>
    </comment>
    <comment ref="J1450" authorId="0" shapeId="0">
      <text>
        <t>Campo do cadastro custom. Em branco herda a base do livro, quando escolhida.</t>
      </text>
    </comment>
    <comment ref="N1450" authorId="0" shapeId="0">
      <text>
        <t>Lembrete marcado pelo jogador. Aprovação ocorre pelo bot no chat.</t>
      </text>
    </comment>
    <comment ref="B1451" authorId="0" shapeId="0">
      <text>
        <t>Campo do cadastro custom. Em branco herda a base do livro, quando escolhida.</t>
      </text>
    </comment>
    <comment ref="J1451" authorId="0" shapeId="0">
      <text>
        <t>Campo do cadastro custom. Em branco herda a base do livro, quando escolhida.</t>
      </text>
    </comment>
    <comment ref="B1452" authorId="0" shapeId="0">
      <text>
        <t>Campo do cadastro custom. Em branco herda a base do livro, quando escolhida.</t>
      </text>
    </comment>
    <comment ref="J1452" authorId="0" shapeId="0">
      <text>
        <t>Campo do cadastro custom. Em branco herda a base do livro, quando escolhida.</t>
      </text>
    </comment>
    <comment ref="B1453" authorId="0" shapeId="0">
      <text>
        <t>Opcional. Nenhuma cria do zero. Com base, campos em branco e verificações específicas herdam o livro. Texto livre não cria automações.</t>
      </text>
    </comment>
    <comment ref="E1453" authorId="0" shapeId="0">
      <text>
        <t>Opcional. Nenhuma cria do zero. Com base, campos em branco e verificações específicas herdam o livro. Texto livre não cria automações.</t>
      </text>
    </comment>
    <comment ref="J1453" authorId="0" shapeId="0">
      <text>
        <t>Opcional. Nenhuma cria do zero. Com base, campos em branco e verificações específicas herdam o livro. Texto livre não cria automações.</t>
      </text>
    </comment>
    <comment ref="M1453" authorId="0" shapeId="0">
      <text>
        <t>Opcional. Nenhuma cria do zero. Com base, campos em branco e verificações específicas herdam o livro. Texto livre não cria automações.</t>
      </text>
    </comment>
    <comment ref="B1454" authorId="0" shapeId="0">
      <text>
        <t>Em branco herda a base. Sem base, escolha Leve ou Média. Restrição paga Melhorias, nunca a Forma, e conserva o teto e o limite de Restrições.</t>
      </text>
    </comment>
    <comment ref="E1454" authorId="0" shapeId="0">
      <text>
        <t>Em branco herda a base. Sem base, escolha Leve ou Média. Restrição paga Melhorias, nunca a Forma, e conserva o teto e o limite de Restrições.</t>
      </text>
    </comment>
    <comment ref="J1454" authorId="0" shapeId="0">
      <text>
        <t>Em branco herda a base. Sem base, escolha Leve ou Média. Restrição paga Melhorias, nunca a Forma, e conserva o teto e o limite de Restrições.</t>
      </text>
    </comment>
    <comment ref="M1454" authorId="0" shapeId="0">
      <text>
        <t>Em branco herda a base. Sem base, escolha Leve ou Média. Restrição paga Melhorias, nunca a Forma, e conserva o teto e o limite de Restrições.</t>
      </text>
    </comment>
    <comment ref="B1455" authorId="0" shapeId="0">
      <text>
        <t>Em branco herda a base. Sim identifica Restrição de frequência; duas de frequência continuam incompatíveis.</t>
      </text>
    </comment>
    <comment ref="E1455" authorId="0" shapeId="0">
      <text>
        <t>Em branco herda a base. Sim identifica Restrição de frequência; duas de frequência continuam incompatíveis.</t>
      </text>
    </comment>
    <comment ref="J1455" authorId="0" shapeId="0">
      <text>
        <t>Em branco herda a base. Sim identifica Restrição de frequência; duas de frequência continuam incompatíveis.</t>
      </text>
    </comment>
    <comment ref="M1455" authorId="0" shapeId="0">
      <text>
        <t>Em branco herda a base. Sim identifica Restrição de frequência; duas de frequência continuam incompatíveis.</t>
      </text>
    </comment>
    <comment ref="B1457" authorId="0" shapeId="0">
      <text>
        <t>Campo do cadastro custom. Em branco herda a base do livro, quando escolhida.</t>
      </text>
    </comment>
    <comment ref="J1457" authorId="0" shapeId="0">
      <text>
        <t>Campo do cadastro custom. Em branco herda a base do livro, quando escolhida.</t>
      </text>
    </comment>
    <comment ref="B1458" authorId="0" shapeId="0">
      <text>
        <t>Exigência, momento de cumprir, duração e incompatibilidades. Texto livre não é executado como fórmula.</t>
      </text>
    </comment>
    <comment ref="J1458" authorId="0" shapeId="0">
      <text>
        <t>Exigência, momento de cumprir, duração e incompatibilidades. Texto livre não é executado como fórmula.</t>
      </text>
    </comment>
    <comment ref="B1466" authorId="0" shapeId="0">
      <text>
        <t>Campo do cadastro custom. Em branco herda a base do livro, quando escolhida.</t>
      </text>
    </comment>
    <comment ref="J1466" authorId="0" shapeId="0">
      <text>
        <t>Campo do cadastro custom. Em branco herda a base do livro, quando escolhida.</t>
      </text>
    </comment>
    <comment ref="B1470" authorId="0" shapeId="0">
      <text>
        <t>Campo do cadastro custom. Em branco herda a base do livro, quando escolhida.</t>
      </text>
    </comment>
    <comment ref="J1470" authorId="0" shapeId="0">
      <text>
        <t>Campo do cadastro custom. Em branco herda a base do livro, quando escolhida.</t>
      </text>
    </comment>
    <comment ref="B1471" authorId="0" shapeId="0">
      <text>
        <t>Campo do cadastro custom. Em branco herda a base do livro, quando escolhida.</t>
      </text>
    </comment>
    <comment ref="F1471" authorId="0" shapeId="0">
      <text>
        <t>Campo do cadastro custom. Em branco herda a base do livro, quando escolhida.</t>
      </text>
    </comment>
    <comment ref="J1471" authorId="0" shapeId="0">
      <text>
        <t>Campo do cadastro custom. Em branco herda a base do livro, quando escolhida.</t>
      </text>
    </comment>
    <comment ref="N1471" authorId="0" shapeId="0">
      <text>
        <t>Campo do cadastro custom. Em branco herda a base do livro, quando escolhida.</t>
      </text>
    </comment>
    <comment ref="B1472" authorId="0" shapeId="0">
      <text>
        <t>Campo do cadastro custom. Em branco herda a base do livro, quando escolhida.</t>
      </text>
    </comment>
    <comment ref="F1472" authorId="0" shapeId="0">
      <text>
        <t>Lembrete marcado pelo jogador. Aprovação ocorre pelo bot no chat.</t>
      </text>
    </comment>
    <comment ref="J1472" authorId="0" shapeId="0">
      <text>
        <t>Campo do cadastro custom. Em branco herda a base do livro, quando escolhida.</t>
      </text>
    </comment>
    <comment ref="N1472" authorId="0" shapeId="0">
      <text>
        <t>Lembrete marcado pelo jogador. Aprovação ocorre pelo bot no chat.</t>
      </text>
    </comment>
    <comment ref="B1473" authorId="0" shapeId="0">
      <text>
        <t>Campo do cadastro custom. Em branco herda a base do livro, quando escolhida.</t>
      </text>
    </comment>
    <comment ref="J1473" authorId="0" shapeId="0">
      <text>
        <t>Campo do cadastro custom. Em branco herda a base do livro, quando escolhida.</t>
      </text>
    </comment>
    <comment ref="B1474" authorId="0" shapeId="0">
      <text>
        <t>Campo do cadastro custom. Em branco herda a base do livro, quando escolhida.</t>
      </text>
    </comment>
    <comment ref="J1474" authorId="0" shapeId="0">
      <text>
        <t>Campo do cadastro custom. Em branco herda a base do livro, quando escolhida.</t>
      </text>
    </comment>
    <comment ref="B1475" authorId="0" shapeId="0">
      <text>
        <t>Opcional. Nenhuma cria do zero. Com base, campos em branco e verificações específicas herdam o livro. Texto livre não cria automações.</t>
      </text>
    </comment>
    <comment ref="E1475" authorId="0" shapeId="0">
      <text>
        <t>Opcional. Nenhuma cria do zero. Com base, campos em branco e verificações específicas herdam o livro. Texto livre não cria automações.</t>
      </text>
    </comment>
    <comment ref="J1475" authorId="0" shapeId="0">
      <text>
        <t>Opcional. Nenhuma cria do zero. Com base, campos em branco e verificações específicas herdam o livro. Texto livre não cria automações.</t>
      </text>
    </comment>
    <comment ref="M1475" authorId="0" shapeId="0">
      <text>
        <t>Opcional. Nenhuma cria do zero. Com base, campos em branco e verificações específicas herdam o livro. Texto livre não cria automações.</t>
      </text>
    </comment>
    <comment ref="B1476" authorId="0" shapeId="0">
      <text>
        <t>Em branco herda a base. Sem base, escolha Leve ou Média. Restrição paga Melhorias, nunca a Forma, e conserva o teto e o limite de Restrições.</t>
      </text>
    </comment>
    <comment ref="E1476" authorId="0" shapeId="0">
      <text>
        <t>Em branco herda a base. Sem base, escolha Leve ou Média. Restrição paga Melhorias, nunca a Forma, e conserva o teto e o limite de Restrições.</t>
      </text>
    </comment>
    <comment ref="J1476" authorId="0" shapeId="0">
      <text>
        <t>Em branco herda a base. Sem base, escolha Leve ou Média. Restrição paga Melhorias, nunca a Forma, e conserva o teto e o limite de Restrições.</t>
      </text>
    </comment>
    <comment ref="M1476" authorId="0" shapeId="0">
      <text>
        <t>Em branco herda a base. Sem base, escolha Leve ou Média. Restrição paga Melhorias, nunca a Forma, e conserva o teto e o limite de Restrições.</t>
      </text>
    </comment>
    <comment ref="B1477" authorId="0" shapeId="0">
      <text>
        <t>Em branco herda a base. Sim identifica Restrição de frequência; duas de frequência continuam incompatíveis.</t>
      </text>
    </comment>
    <comment ref="E1477" authorId="0" shapeId="0">
      <text>
        <t>Em branco herda a base. Sim identifica Restrição de frequência; duas de frequência continuam incompatíveis.</t>
      </text>
    </comment>
    <comment ref="J1477" authorId="0" shapeId="0">
      <text>
        <t>Em branco herda a base. Sim identifica Restrição de frequência; duas de frequência continuam incompatíveis.</t>
      </text>
    </comment>
    <comment ref="M1477" authorId="0" shapeId="0">
      <text>
        <t>Em branco herda a base. Sim identifica Restrição de frequência; duas de frequência continuam incompatíveis.</t>
      </text>
    </comment>
    <comment ref="B1479" authorId="0" shapeId="0">
      <text>
        <t>Campo do cadastro custom. Em branco herda a base do livro, quando escolhida.</t>
      </text>
    </comment>
    <comment ref="J1479" authorId="0" shapeId="0">
      <text>
        <t>Campo do cadastro custom. Em branco herda a base do livro, quando escolhida.</t>
      </text>
    </comment>
    <comment ref="B1480" authorId="0" shapeId="0">
      <text>
        <t>Exigência, momento de cumprir, duração e incompatibilidades. Texto livre não é executado como fórmula.</t>
      </text>
    </comment>
    <comment ref="J1480" authorId="0" shapeId="0">
      <text>
        <t>Exigência, momento de cumprir, duração e incompatibilidades. Texto livre não é executado como fórmula.</t>
      </text>
    </comment>
    <comment ref="B1488" authorId="0" shapeId="0">
      <text>
        <t>Campo do cadastro custom. Em branco herda a base do livro, quando escolhida.</t>
      </text>
    </comment>
    <comment ref="J1488" authorId="0" shapeId="0">
      <text>
        <t>Campo do cadastro custom. Em branco herda a base do livro, quando escolhida.</t>
      </text>
    </comment>
    <comment ref="B1492" authorId="0" shapeId="0">
      <text>
        <t>Campo do cadastro custom. Em branco herda a base do livro, quando escolhida.</t>
      </text>
    </comment>
    <comment ref="J1492" authorId="0" shapeId="0">
      <text>
        <t>Campo do cadastro custom. Em branco herda a base do livro, quando escolhida.</t>
      </text>
    </comment>
    <comment ref="B1493" authorId="0" shapeId="0">
      <text>
        <t>Campo do cadastro custom. Em branco herda a base do livro, quando escolhida.</t>
      </text>
    </comment>
    <comment ref="F1493" authorId="0" shapeId="0">
      <text>
        <t>Campo do cadastro custom. Em branco herda a base do livro, quando escolhida.</t>
      </text>
    </comment>
    <comment ref="J1493" authorId="0" shapeId="0">
      <text>
        <t>Campo do cadastro custom. Em branco herda a base do livro, quando escolhida.</t>
      </text>
    </comment>
    <comment ref="N1493" authorId="0" shapeId="0">
      <text>
        <t>Campo do cadastro custom. Em branco herda a base do livro, quando escolhida.</t>
      </text>
    </comment>
    <comment ref="B1494" authorId="0" shapeId="0">
      <text>
        <t>Campo do cadastro custom. Em branco herda a base do livro, quando escolhida.</t>
      </text>
    </comment>
    <comment ref="F1494" authorId="0" shapeId="0">
      <text>
        <t>Lembrete marcado pelo jogador. Aprovação ocorre pelo bot no chat.</t>
      </text>
    </comment>
    <comment ref="J1494" authorId="0" shapeId="0">
      <text>
        <t>Campo do cadastro custom. Em branco herda a base do livro, quando escolhida.</t>
      </text>
    </comment>
    <comment ref="N1494" authorId="0" shapeId="0">
      <text>
        <t>Lembrete marcado pelo jogador. Aprovação ocorre pelo bot no chat.</t>
      </text>
    </comment>
    <comment ref="B1495" authorId="0" shapeId="0">
      <text>
        <t>Campo do cadastro custom. Em branco herda a base do livro, quando escolhida.</t>
      </text>
    </comment>
    <comment ref="J1495" authorId="0" shapeId="0">
      <text>
        <t>Campo do cadastro custom. Em branco herda a base do livro, quando escolhida.</t>
      </text>
    </comment>
    <comment ref="B1496" authorId="0" shapeId="0">
      <text>
        <t>Campo do cadastro custom. Em branco herda a base do livro, quando escolhida.</t>
      </text>
    </comment>
    <comment ref="J1496" authorId="0" shapeId="0">
      <text>
        <t>Campo do cadastro custom. Em branco herda a base do livro, quando escolhida.</t>
      </text>
    </comment>
    <comment ref="B1497" authorId="0" shapeId="0">
      <text>
        <t>Opcional. Nenhuma cria do zero. Com base, campos em branco e verificações específicas herdam o livro. Texto livre não cria automações.</t>
      </text>
    </comment>
    <comment ref="E1497" authorId="0" shapeId="0">
      <text>
        <t>Opcional. Nenhuma cria do zero. Com base, campos em branco e verificações específicas herdam o livro. Texto livre não cria automações.</t>
      </text>
    </comment>
    <comment ref="J1497" authorId="0" shapeId="0">
      <text>
        <t>Opcional. Nenhuma cria do zero. Com base, campos em branco e verificações específicas herdam o livro. Texto livre não cria automações.</t>
      </text>
    </comment>
    <comment ref="M1497" authorId="0" shapeId="0">
      <text>
        <t>Opcional. Nenhuma cria do zero. Com base, campos em branco e verificações específicas herdam o livro. Texto livre não cria automações.</t>
      </text>
    </comment>
    <comment ref="B1498" authorId="0" shapeId="0">
      <text>
        <t>Em branco herda a base. Sem base, escolha Leve ou Média. Restrição paga Melhorias, nunca a Forma, e conserva o teto e o limite de Restrições.</t>
      </text>
    </comment>
    <comment ref="E1498" authorId="0" shapeId="0">
      <text>
        <t>Em branco herda a base. Sem base, escolha Leve ou Média. Restrição paga Melhorias, nunca a Forma, e conserva o teto e o limite de Restrições.</t>
      </text>
    </comment>
    <comment ref="J1498" authorId="0" shapeId="0">
      <text>
        <t>Em branco herda a base. Sem base, escolha Leve ou Média. Restrição paga Melhorias, nunca a Forma, e conserva o teto e o limite de Restrições.</t>
      </text>
    </comment>
    <comment ref="M1498" authorId="0" shapeId="0">
      <text>
        <t>Em branco herda a base. Sem base, escolha Leve ou Média. Restrição paga Melhorias, nunca a Forma, e conserva o teto e o limite de Restrições.</t>
      </text>
    </comment>
    <comment ref="B1499" authorId="0" shapeId="0">
      <text>
        <t>Em branco herda a base. Sim identifica Restrição de frequência; duas de frequência continuam incompatíveis.</t>
      </text>
    </comment>
    <comment ref="E1499" authorId="0" shapeId="0">
      <text>
        <t>Em branco herda a base. Sim identifica Restrição de frequência; duas de frequência continuam incompatíveis.</t>
      </text>
    </comment>
    <comment ref="J1499" authorId="0" shapeId="0">
      <text>
        <t>Em branco herda a base. Sim identifica Restrição de frequência; duas de frequência continuam incompatíveis.</t>
      </text>
    </comment>
    <comment ref="M1499" authorId="0" shapeId="0">
      <text>
        <t>Em branco herda a base. Sim identifica Restrição de frequência; duas de frequência continuam incompatíveis.</t>
      </text>
    </comment>
    <comment ref="B1501" authorId="0" shapeId="0">
      <text>
        <t>Campo do cadastro custom. Em branco herda a base do livro, quando escolhida.</t>
      </text>
    </comment>
    <comment ref="J1501" authorId="0" shapeId="0">
      <text>
        <t>Campo do cadastro custom. Em branco herda a base do livro, quando escolhida.</t>
      </text>
    </comment>
    <comment ref="B1502" authorId="0" shapeId="0">
      <text>
        <t>Exigência, momento de cumprir, duração e incompatibilidades. Texto livre não é executado como fórmula.</t>
      </text>
    </comment>
    <comment ref="J1502" authorId="0" shapeId="0">
      <text>
        <t>Exigência, momento de cumprir, duração e incompatibilidades. Texto livre não é executado como fórmula.</t>
      </text>
    </comment>
    <comment ref="B1510" authorId="0" shapeId="0">
      <text>
        <t>Campo do cadastro custom. Em branco herda a base do livro, quando escolhida.</t>
      </text>
    </comment>
    <comment ref="J1510" authorId="0" shapeId="0">
      <text>
        <t>Campo do cadastro custom. Em branco herda a base do livro, quando escolhida.</t>
      </text>
    </comment>
    <comment ref="B1514" authorId="0" shapeId="0">
      <text>
        <t>Campo do cadastro custom. Em branco herda a base do livro, quando escolhida.</t>
      </text>
    </comment>
    <comment ref="J1514" authorId="0" shapeId="0">
      <text>
        <t>Campo do cadastro custom. Em branco herda a base do livro, quando escolhida.</t>
      </text>
    </comment>
    <comment ref="B1515" authorId="0" shapeId="0">
      <text>
        <t>Campo do cadastro custom. Em branco herda a base do livro, quando escolhida.</t>
      </text>
    </comment>
    <comment ref="F1515" authorId="0" shapeId="0">
      <text>
        <t>Campo do cadastro custom. Em branco herda a base do livro, quando escolhida.</t>
      </text>
    </comment>
    <comment ref="J1515" authorId="0" shapeId="0">
      <text>
        <t>Campo do cadastro custom. Em branco herda a base do livro, quando escolhida.</t>
      </text>
    </comment>
    <comment ref="N1515" authorId="0" shapeId="0">
      <text>
        <t>Campo do cadastro custom. Em branco herda a base do livro, quando escolhida.</t>
      </text>
    </comment>
    <comment ref="B1516" authorId="0" shapeId="0">
      <text>
        <t>Campo do cadastro custom. Em branco herda a base do livro, quando escolhida.</t>
      </text>
    </comment>
    <comment ref="F1516" authorId="0" shapeId="0">
      <text>
        <t>Lembrete marcado pelo jogador. Aprovação ocorre pelo bot no chat.</t>
      </text>
    </comment>
    <comment ref="J1516" authorId="0" shapeId="0">
      <text>
        <t>Campo do cadastro custom. Em branco herda a base do livro, quando escolhida.</t>
      </text>
    </comment>
    <comment ref="N1516" authorId="0" shapeId="0">
      <text>
        <t>Lembrete marcado pelo jogador. Aprovação ocorre pelo bot no chat.</t>
      </text>
    </comment>
    <comment ref="B1517" authorId="0" shapeId="0">
      <text>
        <t>Campo do cadastro custom. Em branco herda a base do livro, quando escolhida.</t>
      </text>
    </comment>
    <comment ref="J1517" authorId="0" shapeId="0">
      <text>
        <t>Campo do cadastro custom. Em branco herda a base do livro, quando escolhida.</t>
      </text>
    </comment>
    <comment ref="B1518" authorId="0" shapeId="0">
      <text>
        <t>Campo do cadastro custom. Em branco herda a base do livro, quando escolhida.</t>
      </text>
    </comment>
    <comment ref="J1518" authorId="0" shapeId="0">
      <text>
        <t>Campo do cadastro custom. Em branco herda a base do livro, quando escolhida.</t>
      </text>
    </comment>
    <comment ref="B1519" authorId="0" shapeId="0">
      <text>
        <t>Opcional. Nenhuma cria do zero. Com base, campos em branco e verificações específicas herdam o livro. Texto livre não cria automações.</t>
      </text>
    </comment>
    <comment ref="E1519" authorId="0" shapeId="0">
      <text>
        <t>Opcional. Nenhuma cria do zero. Com base, campos em branco e verificações específicas herdam o livro. Texto livre não cria automações.</t>
      </text>
    </comment>
    <comment ref="J1519" authorId="0" shapeId="0">
      <text>
        <t>Opcional. Nenhuma cria do zero. Com base, campos em branco e verificações específicas herdam o livro. Texto livre não cria automações.</t>
      </text>
    </comment>
    <comment ref="M1519" authorId="0" shapeId="0">
      <text>
        <t>Opcional. Nenhuma cria do zero. Com base, campos em branco e verificações específicas herdam o livro. Texto livre não cria automações.</t>
      </text>
    </comment>
    <comment ref="B1520" authorId="0" shapeId="0">
      <text>
        <t>Em branco herda a base. Sem base, escolha Leve ou Média. Restrição paga Melhorias, nunca a Forma, e conserva o teto e o limite de Restrições.</t>
      </text>
    </comment>
    <comment ref="E1520" authorId="0" shapeId="0">
      <text>
        <t>Em branco herda a base. Sem base, escolha Leve ou Média. Restrição paga Melhorias, nunca a Forma, e conserva o teto e o limite de Restrições.</t>
      </text>
    </comment>
    <comment ref="J1520" authorId="0" shapeId="0">
      <text>
        <t>Em branco herda a base. Sem base, escolha Leve ou Média. Restrição paga Melhorias, nunca a Forma, e conserva o teto e o limite de Restrições.</t>
      </text>
    </comment>
    <comment ref="M1520" authorId="0" shapeId="0">
      <text>
        <t>Em branco herda a base. Sem base, escolha Leve ou Média. Restrição paga Melhorias, nunca a Forma, e conserva o teto e o limite de Restrições.</t>
      </text>
    </comment>
    <comment ref="B1521" authorId="0" shapeId="0">
      <text>
        <t>Em branco herda a base. Sim identifica Restrição de frequência; duas de frequência continuam incompatíveis.</t>
      </text>
    </comment>
    <comment ref="E1521" authorId="0" shapeId="0">
      <text>
        <t>Em branco herda a base. Sim identifica Restrição de frequência; duas de frequência continuam incompatíveis.</t>
      </text>
    </comment>
    <comment ref="J1521" authorId="0" shapeId="0">
      <text>
        <t>Em branco herda a base. Sim identifica Restrição de frequência; duas de frequência continuam incompatíveis.</t>
      </text>
    </comment>
    <comment ref="M1521" authorId="0" shapeId="0">
      <text>
        <t>Em branco herda a base. Sim identifica Restrição de frequência; duas de frequência continuam incompatíveis.</t>
      </text>
    </comment>
    <comment ref="B1523" authorId="0" shapeId="0">
      <text>
        <t>Campo do cadastro custom. Em branco herda a base do livro, quando escolhida.</t>
      </text>
    </comment>
    <comment ref="J1523" authorId="0" shapeId="0">
      <text>
        <t>Campo do cadastro custom. Em branco herda a base do livro, quando escolhida.</t>
      </text>
    </comment>
    <comment ref="B1524" authorId="0" shapeId="0">
      <text>
        <t>Exigência, momento de cumprir, duração e incompatibilidades. Texto livre não é executado como fórmula.</t>
      </text>
    </comment>
    <comment ref="J1524" authorId="0" shapeId="0">
      <text>
        <t>Exigência, momento de cumprir, duração e incompatibilidades. Texto livre não é executado como fórmula.</t>
      </text>
    </comment>
    <comment ref="B1532" authorId="0" shapeId="0">
      <text>
        <t>Campo do cadastro custom. Em branco herda a base do livro, quando escolhida.</t>
      </text>
    </comment>
    <comment ref="J1532" authorId="0" shapeId="0">
      <text>
        <t>Campo do cadastro custom. Em branco herda a base do livro, quando escolhida.</t>
      </text>
    </comment>
    <comment ref="B1536" authorId="0" shapeId="0">
      <text>
        <t>Campo do cadastro custom. Em branco herda a base do livro, quando escolhida.</t>
      </text>
    </comment>
    <comment ref="J1536" authorId="0" shapeId="0">
      <text>
        <t>Campo do cadastro custom. Em branco herda a base do livro, quando escolhida.</t>
      </text>
    </comment>
    <comment ref="B1537" authorId="0" shapeId="0">
      <text>
        <t>Campo do cadastro custom. Em branco herda a base do livro, quando escolhida.</t>
      </text>
    </comment>
    <comment ref="F1537" authorId="0" shapeId="0">
      <text>
        <t>Campo do cadastro custom. Em branco herda a base do livro, quando escolhida.</t>
      </text>
    </comment>
    <comment ref="J1537" authorId="0" shapeId="0">
      <text>
        <t>Campo do cadastro custom. Em branco herda a base do livro, quando escolhida.</t>
      </text>
    </comment>
    <comment ref="N1537" authorId="0" shapeId="0">
      <text>
        <t>Campo do cadastro custom. Em branco herda a base do livro, quando escolhida.</t>
      </text>
    </comment>
    <comment ref="B1538" authorId="0" shapeId="0">
      <text>
        <t>Campo do cadastro custom. Em branco herda a base do livro, quando escolhida.</t>
      </text>
    </comment>
    <comment ref="F1538" authorId="0" shapeId="0">
      <text>
        <t>Lembrete marcado pelo jogador. Aprovação ocorre pelo bot no chat.</t>
      </text>
    </comment>
    <comment ref="J1538" authorId="0" shapeId="0">
      <text>
        <t>Campo do cadastro custom. Em branco herda a base do livro, quando escolhida.</t>
      </text>
    </comment>
    <comment ref="N1538" authorId="0" shapeId="0">
      <text>
        <t>Lembrete marcado pelo jogador. Aprovação ocorre pelo bot no chat.</t>
      </text>
    </comment>
    <comment ref="B1539" authorId="0" shapeId="0">
      <text>
        <t>Campo do cadastro custom. Em branco herda a base do livro, quando escolhida.</t>
      </text>
    </comment>
    <comment ref="J1539" authorId="0" shapeId="0">
      <text>
        <t>Campo do cadastro custom. Em branco herda a base do livro, quando escolhida.</t>
      </text>
    </comment>
    <comment ref="B1540" authorId="0" shapeId="0">
      <text>
        <t>Campo do cadastro custom. Em branco herda a base do livro, quando escolhida.</t>
      </text>
    </comment>
    <comment ref="J1540" authorId="0" shapeId="0">
      <text>
        <t>Campo do cadastro custom. Em branco herda a base do livro, quando escolhida.</t>
      </text>
    </comment>
    <comment ref="B1541" authorId="0" shapeId="0">
      <text>
        <t>Opcional. Nenhuma cria do zero. Com base, campos em branco e verificações específicas herdam o livro. Texto livre não cria automações.</t>
      </text>
    </comment>
    <comment ref="E1541" authorId="0" shapeId="0">
      <text>
        <t>Opcional. Nenhuma cria do zero. Com base, campos em branco e verificações específicas herdam o livro. Texto livre não cria automações.</t>
      </text>
    </comment>
    <comment ref="J1541" authorId="0" shapeId="0">
      <text>
        <t>Opcional. Nenhuma cria do zero. Com base, campos em branco e verificações específicas herdam o livro. Texto livre não cria automações.</t>
      </text>
    </comment>
    <comment ref="M1541" authorId="0" shapeId="0">
      <text>
        <t>Opcional. Nenhuma cria do zero. Com base, campos em branco e verificações específicas herdam o livro. Texto livre não cria automações.</t>
      </text>
    </comment>
    <comment ref="B1542" authorId="0" shapeId="0">
      <text>
        <t>Em branco herda a base. Sem base, escolha Leve ou Média. Restrição paga Melhorias, nunca a Forma, e conserva o teto e o limite de Restrições.</t>
      </text>
    </comment>
    <comment ref="E1542" authorId="0" shapeId="0">
      <text>
        <t>Em branco herda a base. Sem base, escolha Leve ou Média. Restrição paga Melhorias, nunca a Forma, e conserva o teto e o limite de Restrições.</t>
      </text>
    </comment>
    <comment ref="J1542" authorId="0" shapeId="0">
      <text>
        <t>Em branco herda a base. Sem base, escolha Leve ou Média. Restrição paga Melhorias, nunca a Forma, e conserva o teto e o limite de Restrições.</t>
      </text>
    </comment>
    <comment ref="M1542" authorId="0" shapeId="0">
      <text>
        <t>Em branco herda a base. Sem base, escolha Leve ou Média. Restrição paga Melhorias, nunca a Forma, e conserva o teto e o limite de Restrições.</t>
      </text>
    </comment>
    <comment ref="B1543" authorId="0" shapeId="0">
      <text>
        <t>Em branco herda a base. Sim identifica Restrição de frequência; duas de frequência continuam incompatíveis.</t>
      </text>
    </comment>
    <comment ref="E1543" authorId="0" shapeId="0">
      <text>
        <t>Em branco herda a base. Sim identifica Restrição de frequência; duas de frequência continuam incompatíveis.</t>
      </text>
    </comment>
    <comment ref="J1543" authorId="0" shapeId="0">
      <text>
        <t>Em branco herda a base. Sim identifica Restrição de frequência; duas de frequência continuam incompatíveis.</t>
      </text>
    </comment>
    <comment ref="M1543" authorId="0" shapeId="0">
      <text>
        <t>Em branco herda a base. Sim identifica Restrição de frequência; duas de frequência continuam incompatíveis.</t>
      </text>
    </comment>
    <comment ref="B1545" authorId="0" shapeId="0">
      <text>
        <t>Campo do cadastro custom. Em branco herda a base do livro, quando escolhida.</t>
      </text>
    </comment>
    <comment ref="J1545" authorId="0" shapeId="0">
      <text>
        <t>Campo do cadastro custom. Em branco herda a base do livro, quando escolhida.</t>
      </text>
    </comment>
    <comment ref="B1546" authorId="0" shapeId="0">
      <text>
        <t>Exigência, momento de cumprir, duração e incompatibilidades. Texto livre não é executado como fórmula.</t>
      </text>
    </comment>
    <comment ref="J1546" authorId="0" shapeId="0">
      <text>
        <t>Exigência, momento de cumprir, duração e incompatibilidades. Texto livre não é executado como fórmula.</t>
      </text>
    </comment>
    <comment ref="B1554" authorId="0" shapeId="0">
      <text>
        <t>Campo do cadastro custom. Em branco herda a base do livro, quando escolhida.</t>
      </text>
    </comment>
    <comment ref="J1554" authorId="0" shapeId="0">
      <text>
        <t>Campo do cadastro custom. Em branco herda a base do livro, quando escolhida.</t>
      </text>
    </comment>
    <comment ref="B1558" authorId="0" shapeId="0">
      <text>
        <t>Campo do cadastro custom. Em branco herda a base do livro, quando escolhida.</t>
      </text>
    </comment>
    <comment ref="J1558" authorId="0" shapeId="0">
      <text>
        <t>Campo do cadastro custom. Em branco herda a base do livro, quando escolhida.</t>
      </text>
    </comment>
    <comment ref="B1559" authorId="0" shapeId="0">
      <text>
        <t>Campo do cadastro custom. Em branco herda a base do livro, quando escolhida.</t>
      </text>
    </comment>
    <comment ref="F1559" authorId="0" shapeId="0">
      <text>
        <t>Campo do cadastro custom. Em branco herda a base do livro, quando escolhida.</t>
      </text>
    </comment>
    <comment ref="J1559" authorId="0" shapeId="0">
      <text>
        <t>Campo do cadastro custom. Em branco herda a base do livro, quando escolhida.</t>
      </text>
    </comment>
    <comment ref="N1559" authorId="0" shapeId="0">
      <text>
        <t>Campo do cadastro custom. Em branco herda a base do livro, quando escolhida.</t>
      </text>
    </comment>
    <comment ref="B1560" authorId="0" shapeId="0">
      <text>
        <t>Campo do cadastro custom. Em branco herda a base do livro, quando escolhida.</t>
      </text>
    </comment>
    <comment ref="F1560" authorId="0" shapeId="0">
      <text>
        <t>Lembrete marcado pelo jogador. Aprovação ocorre pelo bot no chat.</t>
      </text>
    </comment>
    <comment ref="J1560" authorId="0" shapeId="0">
      <text>
        <t>Campo do cadastro custom. Em branco herda a base do livro, quando escolhida.</t>
      </text>
    </comment>
    <comment ref="N1560" authorId="0" shapeId="0">
      <text>
        <t>Lembrete marcado pelo jogador. Aprovação ocorre pelo bot no chat.</t>
      </text>
    </comment>
    <comment ref="B1561" authorId="0" shapeId="0">
      <text>
        <t>Campo do cadastro custom. Em branco herda a base do livro, quando escolhida.</t>
      </text>
    </comment>
    <comment ref="J1561" authorId="0" shapeId="0">
      <text>
        <t>Campo do cadastro custom. Em branco herda a base do livro, quando escolhida.</t>
      </text>
    </comment>
    <comment ref="B1562" authorId="0" shapeId="0">
      <text>
        <t>Campo do cadastro custom. Em branco herda a base do livro, quando escolhida.</t>
      </text>
    </comment>
    <comment ref="J1562" authorId="0" shapeId="0">
      <text>
        <t>Campo do cadastro custom. Em branco herda a base do livro, quando escolhida.</t>
      </text>
    </comment>
    <comment ref="B1563" authorId="0" shapeId="0">
      <text>
        <t>Opcional. Nenhuma cria do zero. Com base, campos em branco e verificações específicas herdam o livro. Texto livre não cria automações.</t>
      </text>
    </comment>
    <comment ref="E1563" authorId="0" shapeId="0">
      <text>
        <t>Opcional. Nenhuma cria do zero. Com base, campos em branco e verificações específicas herdam o livro. Texto livre não cria automações.</t>
      </text>
    </comment>
    <comment ref="J1563" authorId="0" shapeId="0">
      <text>
        <t>Opcional. Nenhuma cria do zero. Com base, campos em branco e verificações específicas herdam o livro. Texto livre não cria automações.</t>
      </text>
    </comment>
    <comment ref="M1563" authorId="0" shapeId="0">
      <text>
        <t>Opcional. Nenhuma cria do zero. Com base, campos em branco e verificações específicas herdam o livro. Texto livre não cria automações.</t>
      </text>
    </comment>
    <comment ref="B1564" authorId="0" shapeId="0">
      <text>
        <t>Em branco herda a base. Sem base, escolha Leve ou Média. Restrição paga Melhorias, nunca a Forma, e conserva o teto e o limite de Restrições.</t>
      </text>
    </comment>
    <comment ref="E1564" authorId="0" shapeId="0">
      <text>
        <t>Em branco herda a base. Sem base, escolha Leve ou Média. Restrição paga Melhorias, nunca a Forma, e conserva o teto e o limite de Restrições.</t>
      </text>
    </comment>
    <comment ref="J1564" authorId="0" shapeId="0">
      <text>
        <t>Em branco herda a base. Sem base, escolha Leve ou Média. Restrição paga Melhorias, nunca a Forma, e conserva o teto e o limite de Restrições.</t>
      </text>
    </comment>
    <comment ref="M1564" authorId="0" shapeId="0">
      <text>
        <t>Em branco herda a base. Sem base, escolha Leve ou Média. Restrição paga Melhorias, nunca a Forma, e conserva o teto e o limite de Restrições.</t>
      </text>
    </comment>
    <comment ref="B1565" authorId="0" shapeId="0">
      <text>
        <t>Em branco herda a base. Sim identifica Restrição de frequência; duas de frequência continuam incompatíveis.</t>
      </text>
    </comment>
    <comment ref="E1565" authorId="0" shapeId="0">
      <text>
        <t>Em branco herda a base. Sim identifica Restrição de frequência; duas de frequência continuam incompatíveis.</t>
      </text>
    </comment>
    <comment ref="J1565" authorId="0" shapeId="0">
      <text>
        <t>Em branco herda a base. Sim identifica Restrição de frequência; duas de frequência continuam incompatíveis.</t>
      </text>
    </comment>
    <comment ref="M1565" authorId="0" shapeId="0">
      <text>
        <t>Em branco herda a base. Sim identifica Restrição de frequência; duas de frequência continuam incompatíveis.</t>
      </text>
    </comment>
    <comment ref="B1567" authorId="0" shapeId="0">
      <text>
        <t>Campo do cadastro custom. Em branco herda a base do livro, quando escolhida.</t>
      </text>
    </comment>
    <comment ref="J1567" authorId="0" shapeId="0">
      <text>
        <t>Campo do cadastro custom. Em branco herda a base do livro, quando escolhida.</t>
      </text>
    </comment>
    <comment ref="B1568" authorId="0" shapeId="0">
      <text>
        <t>Exigência, momento de cumprir, duração e incompatibilidades. Texto livre não é executado como fórmula.</t>
      </text>
    </comment>
    <comment ref="J1568" authorId="0" shapeId="0">
      <text>
        <t>Exigência, momento de cumprir, duração e incompatibilidades. Texto livre não é executado como fórmula.</t>
      </text>
    </comment>
    <comment ref="B1576" authorId="0" shapeId="0">
      <text>
        <t>Campo do cadastro custom. Em branco herda a base do livro, quando escolhida.</t>
      </text>
    </comment>
    <comment ref="J1576" authorId="0" shapeId="0">
      <text>
        <t>Campo do cadastro custom. Em branco herda a base do livro, quando escolhida.</t>
      </text>
    </comment>
    <comment ref="B1580" authorId="0" shapeId="0">
      <text>
        <t>Campo do cadastro custom. Em branco herda a base do livro, quando escolhida.</t>
      </text>
    </comment>
    <comment ref="J1580" authorId="0" shapeId="0">
      <text>
        <t>Campo do cadastro custom. Em branco herda a base do livro, quando escolhida.</t>
      </text>
    </comment>
    <comment ref="B1581" authorId="0" shapeId="0">
      <text>
        <t>Campo do cadastro custom. Em branco herda a base do livro, quando escolhida.</t>
      </text>
    </comment>
    <comment ref="F1581" authorId="0" shapeId="0">
      <text>
        <t>Campo do cadastro custom. Em branco herda a base do livro, quando escolhida.</t>
      </text>
    </comment>
    <comment ref="J1581" authorId="0" shapeId="0">
      <text>
        <t>Campo do cadastro custom. Em branco herda a base do livro, quando escolhida.</t>
      </text>
    </comment>
    <comment ref="N1581" authorId="0" shapeId="0">
      <text>
        <t>Campo do cadastro custom. Em branco herda a base do livro, quando escolhida.</t>
      </text>
    </comment>
    <comment ref="B1582" authorId="0" shapeId="0">
      <text>
        <t>Campo do cadastro custom. Em branco herda a base do livro, quando escolhida.</t>
      </text>
    </comment>
    <comment ref="F1582" authorId="0" shapeId="0">
      <text>
        <t>Lembrete marcado pelo jogador. Aprovação ocorre pelo bot no chat.</t>
      </text>
    </comment>
    <comment ref="J1582" authorId="0" shapeId="0">
      <text>
        <t>Campo do cadastro custom. Em branco herda a base do livro, quando escolhida.</t>
      </text>
    </comment>
    <comment ref="N1582" authorId="0" shapeId="0">
      <text>
        <t>Lembrete marcado pelo jogador. Aprovação ocorre pelo bot no chat.</t>
      </text>
    </comment>
    <comment ref="B1583" authorId="0" shapeId="0">
      <text>
        <t>Campo do cadastro custom. Em branco herda a base do livro, quando escolhida.</t>
      </text>
    </comment>
    <comment ref="J1583" authorId="0" shapeId="0">
      <text>
        <t>Campo do cadastro custom. Em branco herda a base do livro, quando escolhida.</t>
      </text>
    </comment>
    <comment ref="B1584" authorId="0" shapeId="0">
      <text>
        <t>Campo do cadastro custom. Em branco herda a base do livro, quando escolhida.</t>
      </text>
    </comment>
    <comment ref="J1584" authorId="0" shapeId="0">
      <text>
        <t>Campo do cadastro custom. Em branco herda a base do livro, quando escolhida.</t>
      </text>
    </comment>
    <comment ref="B1585" authorId="0" shapeId="0">
      <text>
        <t>Opcional. Nenhuma cria do zero. Com base, campos em branco e verificações específicas herdam o livro. Texto livre não cria automações.</t>
      </text>
    </comment>
    <comment ref="E1585" authorId="0" shapeId="0">
      <text>
        <t>Opcional. Nenhuma cria do zero. Com base, campos em branco e verificações específicas herdam o livro. Texto livre não cria automações.</t>
      </text>
    </comment>
    <comment ref="J1585" authorId="0" shapeId="0">
      <text>
        <t>Opcional. Nenhuma cria do zero. Com base, campos em branco e verificações específicas herdam o livro. Texto livre não cria automações.</t>
      </text>
    </comment>
    <comment ref="M1585" authorId="0" shapeId="0">
      <text>
        <t>Opcional. Nenhuma cria do zero. Com base, campos em branco e verificações específicas herdam o livro. Texto livre não cria automações.</t>
      </text>
    </comment>
    <comment ref="B1586" authorId="0" shapeId="0">
      <text>
        <t>Em branco herda a base. Sem base, escolha Leve ou Média. Restrição paga Melhorias, nunca a Forma, e conserva o teto e o limite de Restrições.</t>
      </text>
    </comment>
    <comment ref="E1586" authorId="0" shapeId="0">
      <text>
        <t>Em branco herda a base. Sem base, escolha Leve ou Média. Restrição paga Melhorias, nunca a Forma, e conserva o teto e o limite de Restrições.</t>
      </text>
    </comment>
    <comment ref="J1586" authorId="0" shapeId="0">
      <text>
        <t>Em branco herda a base. Sem base, escolha Leve ou Média. Restrição paga Melhorias, nunca a Forma, e conserva o teto e o limite de Restrições.</t>
      </text>
    </comment>
    <comment ref="M1586" authorId="0" shapeId="0">
      <text>
        <t>Em branco herda a base. Sem base, escolha Leve ou Média. Restrição paga Melhorias, nunca a Forma, e conserva o teto e o limite de Restrições.</t>
      </text>
    </comment>
    <comment ref="B1587" authorId="0" shapeId="0">
      <text>
        <t>Em branco herda a base. Sim identifica Restrição de frequência; duas de frequência continuam incompatíveis.</t>
      </text>
    </comment>
    <comment ref="E1587" authorId="0" shapeId="0">
      <text>
        <t>Em branco herda a base. Sim identifica Restrição de frequência; duas de frequência continuam incompatíveis.</t>
      </text>
    </comment>
    <comment ref="J1587" authorId="0" shapeId="0">
      <text>
        <t>Em branco herda a base. Sim identifica Restrição de frequência; duas de frequência continuam incompatíveis.</t>
      </text>
    </comment>
    <comment ref="M1587" authorId="0" shapeId="0">
      <text>
        <t>Em branco herda a base. Sim identifica Restrição de frequência; duas de frequência continuam incompatíveis.</t>
      </text>
    </comment>
    <comment ref="B1589" authorId="0" shapeId="0">
      <text>
        <t>Campo do cadastro custom. Em branco herda a base do livro, quando escolhida.</t>
      </text>
    </comment>
    <comment ref="J1589" authorId="0" shapeId="0">
      <text>
        <t>Campo do cadastro custom. Em branco herda a base do livro, quando escolhida.</t>
      </text>
    </comment>
    <comment ref="B1590" authorId="0" shapeId="0">
      <text>
        <t>Exigência, momento de cumprir, duração e incompatibilidades. Texto livre não é executado como fórmula.</t>
      </text>
    </comment>
    <comment ref="J1590" authorId="0" shapeId="0">
      <text>
        <t>Exigência, momento de cumprir, duração e incompatibilidades. Texto livre não é executado como fórmula.</t>
      </text>
    </comment>
    <comment ref="B1598" authorId="0" shapeId="0">
      <text>
        <t>Campo do cadastro custom. Em branco herda a base do livro, quando escolhida.</t>
      </text>
    </comment>
    <comment ref="J1598" authorId="0" shapeId="0">
      <text>
        <t>Campo do cadastro custom. Em branco herda a base do livro, quando escolhida.</t>
      </text>
    </comment>
    <comment ref="B1602" authorId="0" shapeId="0">
      <text>
        <t>Campo do cadastro custom. Em branco herda a base do livro, quando escolhida.</t>
      </text>
    </comment>
    <comment ref="J1602" authorId="0" shapeId="0">
      <text>
        <t>Campo do cadastro custom. Em branco herda a base do livro, quando escolhida.</t>
      </text>
    </comment>
    <comment ref="B1603" authorId="0" shapeId="0">
      <text>
        <t>Campo do cadastro custom. Em branco herda a base do livro, quando escolhida.</t>
      </text>
    </comment>
    <comment ref="F1603" authorId="0" shapeId="0">
      <text>
        <t>Campo do cadastro custom. Em branco herda a base do livro, quando escolhida.</t>
      </text>
    </comment>
    <comment ref="J1603" authorId="0" shapeId="0">
      <text>
        <t>Campo do cadastro custom. Em branco herda a base do livro, quando escolhida.</t>
      </text>
    </comment>
    <comment ref="N1603" authorId="0" shapeId="0">
      <text>
        <t>Campo do cadastro custom. Em branco herda a base do livro, quando escolhida.</t>
      </text>
    </comment>
    <comment ref="B1604" authorId="0" shapeId="0">
      <text>
        <t>Campo do cadastro custom. Em branco herda a base do livro, quando escolhida.</t>
      </text>
    </comment>
    <comment ref="F1604" authorId="0" shapeId="0">
      <text>
        <t>Lembrete marcado pelo jogador. Aprovação ocorre pelo bot no chat.</t>
      </text>
    </comment>
    <comment ref="J1604" authorId="0" shapeId="0">
      <text>
        <t>Campo do cadastro custom. Em branco herda a base do livro, quando escolhida.</t>
      </text>
    </comment>
    <comment ref="N1604" authorId="0" shapeId="0">
      <text>
        <t>Lembrete marcado pelo jogador. Aprovação ocorre pelo bot no chat.</t>
      </text>
    </comment>
    <comment ref="B1605" authorId="0" shapeId="0">
      <text>
        <t>Campo do cadastro custom. Em branco herda a base do livro, quando escolhida.</t>
      </text>
    </comment>
    <comment ref="J1605" authorId="0" shapeId="0">
      <text>
        <t>Campo do cadastro custom. Em branco herda a base do livro, quando escolhida.</t>
      </text>
    </comment>
    <comment ref="B1606" authorId="0" shapeId="0">
      <text>
        <t>Campo do cadastro custom. Em branco herda a base do livro, quando escolhida.</t>
      </text>
    </comment>
    <comment ref="J1606" authorId="0" shapeId="0">
      <text>
        <t>Campo do cadastro custom. Em branco herda a base do livro, quando escolhida.</t>
      </text>
    </comment>
    <comment ref="B1607" authorId="0" shapeId="0">
      <text>
        <t>Opcional. Nenhuma cria do zero. Com base, campos em branco e verificações específicas herdam o livro. Texto livre não cria automações.</t>
      </text>
    </comment>
    <comment ref="E1607" authorId="0" shapeId="0">
      <text>
        <t>Opcional. Nenhuma cria do zero. Com base, campos em branco e verificações específicas herdam o livro. Texto livre não cria automações.</t>
      </text>
    </comment>
    <comment ref="J1607" authorId="0" shapeId="0">
      <text>
        <t>Opcional. Nenhuma cria do zero. Com base, campos em branco e verificações específicas herdam o livro. Texto livre não cria automações.</t>
      </text>
    </comment>
    <comment ref="M1607" authorId="0" shapeId="0">
      <text>
        <t>Opcional. Nenhuma cria do zero. Com base, campos em branco e verificações específicas herdam o livro. Texto livre não cria automações.</t>
      </text>
    </comment>
    <comment ref="B1608" authorId="0" shapeId="0">
      <text>
        <t>Em branco herda a base. Sem base, escolha Leve ou Média. Restrição paga Melhorias, nunca a Forma, e conserva o teto e o limite de Restrições.</t>
      </text>
    </comment>
    <comment ref="E1608" authorId="0" shapeId="0">
      <text>
        <t>Em branco herda a base. Sem base, escolha Leve ou Média. Restrição paga Melhorias, nunca a Forma, e conserva o teto e o limite de Restrições.</t>
      </text>
    </comment>
    <comment ref="J1608" authorId="0" shapeId="0">
      <text>
        <t>Em branco herda a base. Sem base, escolha Leve ou Média. Restrição paga Melhorias, nunca a Forma, e conserva o teto e o limite de Restrições.</t>
      </text>
    </comment>
    <comment ref="M1608" authorId="0" shapeId="0">
      <text>
        <t>Em branco herda a base. Sem base, escolha Leve ou Média. Restrição paga Melhorias, nunca a Forma, e conserva o teto e o limite de Restrições.</t>
      </text>
    </comment>
    <comment ref="B1609" authorId="0" shapeId="0">
      <text>
        <t>Em branco herda a base. Sim identifica Restrição de frequência; duas de frequência continuam incompatíveis.</t>
      </text>
    </comment>
    <comment ref="E1609" authorId="0" shapeId="0">
      <text>
        <t>Em branco herda a base. Sim identifica Restrição de frequência; duas de frequência continuam incompatíveis.</t>
      </text>
    </comment>
    <comment ref="J1609" authorId="0" shapeId="0">
      <text>
        <t>Em branco herda a base. Sim identifica Restrição de frequência; duas de frequência continuam incompatíveis.</t>
      </text>
    </comment>
    <comment ref="M1609" authorId="0" shapeId="0">
      <text>
        <t>Em branco herda a base. Sim identifica Restrição de frequência; duas de frequência continuam incompatíveis.</t>
      </text>
    </comment>
    <comment ref="B1611" authorId="0" shapeId="0">
      <text>
        <t>Campo do cadastro custom. Em branco herda a base do livro, quando escolhida.</t>
      </text>
    </comment>
    <comment ref="J1611" authorId="0" shapeId="0">
      <text>
        <t>Campo do cadastro custom. Em branco herda a base do livro, quando escolhida.</t>
      </text>
    </comment>
    <comment ref="B1612" authorId="0" shapeId="0">
      <text>
        <t>Exigência, momento de cumprir, duração e incompatibilidades. Texto livre não é executado como fórmula.</t>
      </text>
    </comment>
    <comment ref="J1612" authorId="0" shapeId="0">
      <text>
        <t>Exigência, momento de cumprir, duração e incompatibilidades. Texto livre não é executado como fórmula.</t>
      </text>
    </comment>
    <comment ref="B1620" authorId="0" shapeId="0">
      <text>
        <t>Campo do cadastro custom. Em branco herda a base do livro, quando escolhida.</t>
      </text>
    </comment>
    <comment ref="J1620" authorId="0" shapeId="0">
      <text>
        <t>Campo do cadastro custom. Em branco herda a base do livro, quando escolhida.</t>
      </text>
    </comment>
    <comment ref="B1624" authorId="0" shapeId="0">
      <text>
        <t>Campo do cadastro custom. Em branco herda a base do livro, quando escolhida.</t>
      </text>
    </comment>
    <comment ref="J1624" authorId="0" shapeId="0">
      <text>
        <t>Campo do cadastro custom. Em branco herda a base do livro, quando escolhida.</t>
      </text>
    </comment>
    <comment ref="B1625" authorId="0" shapeId="0">
      <text>
        <t>Campo do cadastro custom. Em branco herda a base do livro, quando escolhida.</t>
      </text>
    </comment>
    <comment ref="F1625" authorId="0" shapeId="0">
      <text>
        <t>Campo do cadastro custom. Em branco herda a base do livro, quando escolhida.</t>
      </text>
    </comment>
    <comment ref="J1625" authorId="0" shapeId="0">
      <text>
        <t>Campo do cadastro custom. Em branco herda a base do livro, quando escolhida.</t>
      </text>
    </comment>
    <comment ref="N1625" authorId="0" shapeId="0">
      <text>
        <t>Campo do cadastro custom. Em branco herda a base do livro, quando escolhida.</t>
      </text>
    </comment>
    <comment ref="B1626" authorId="0" shapeId="0">
      <text>
        <t>Campo do cadastro custom. Em branco herda a base do livro, quando escolhida.</t>
      </text>
    </comment>
    <comment ref="F1626" authorId="0" shapeId="0">
      <text>
        <t>Lembrete marcado pelo jogador. Aprovação ocorre pelo bot no chat.</t>
      </text>
    </comment>
    <comment ref="J1626" authorId="0" shapeId="0">
      <text>
        <t>Campo do cadastro custom. Em branco herda a base do livro, quando escolhida.</t>
      </text>
    </comment>
    <comment ref="N1626" authorId="0" shapeId="0">
      <text>
        <t>Lembrete marcado pelo jogador. Aprovação ocorre pelo bot no chat.</t>
      </text>
    </comment>
    <comment ref="B1627" authorId="0" shapeId="0">
      <text>
        <t>Campo do cadastro custom. Em branco herda a base do livro, quando escolhida.</t>
      </text>
    </comment>
    <comment ref="J1627" authorId="0" shapeId="0">
      <text>
        <t>Campo do cadastro custom. Em branco herda a base do livro, quando escolhida.</t>
      </text>
    </comment>
    <comment ref="B1628" authorId="0" shapeId="0">
      <text>
        <t>Campo do cadastro custom. Em branco herda a base do livro, quando escolhida.</t>
      </text>
    </comment>
    <comment ref="J1628" authorId="0" shapeId="0">
      <text>
        <t>Campo do cadastro custom. Em branco herda a base do livro, quando escolhida.</t>
      </text>
    </comment>
    <comment ref="B1629" authorId="0" shapeId="0">
      <text>
        <t>Opcional. Nenhuma cria do zero. Com base, campos em branco e verificações específicas herdam o livro. Texto livre não cria automações.</t>
      </text>
    </comment>
    <comment ref="E1629" authorId="0" shapeId="0">
      <text>
        <t>Opcional. Nenhuma cria do zero. Com base, campos em branco e verificações específicas herdam o livro. Texto livre não cria automações.</t>
      </text>
    </comment>
    <comment ref="J1629" authorId="0" shapeId="0">
      <text>
        <t>Opcional. Nenhuma cria do zero. Com base, campos em branco e verificações específicas herdam o livro. Texto livre não cria automações.</t>
      </text>
    </comment>
    <comment ref="M1629" authorId="0" shapeId="0">
      <text>
        <t>Opcional. Nenhuma cria do zero. Com base, campos em branco e verificações específicas herdam o livro. Texto livre não cria automações.</t>
      </text>
    </comment>
    <comment ref="B1630" authorId="0" shapeId="0">
      <text>
        <t>Em branco herda a base. Sem base, escolha Leve ou Média. Restrição paga Melhorias, nunca a Forma, e conserva o teto e o limite de Restrições.</t>
      </text>
    </comment>
    <comment ref="E1630" authorId="0" shapeId="0">
      <text>
        <t>Em branco herda a base. Sem base, escolha Leve ou Média. Restrição paga Melhorias, nunca a Forma, e conserva o teto e o limite de Restrições.</t>
      </text>
    </comment>
    <comment ref="J1630" authorId="0" shapeId="0">
      <text>
        <t>Em branco herda a base. Sem base, escolha Leve ou Média. Restrição paga Melhorias, nunca a Forma, e conserva o teto e o limite de Restrições.</t>
      </text>
    </comment>
    <comment ref="M1630" authorId="0" shapeId="0">
      <text>
        <t>Em branco herda a base. Sem base, escolha Leve ou Média. Restrição paga Melhorias, nunca a Forma, e conserva o teto e o limite de Restrições.</t>
      </text>
    </comment>
    <comment ref="B1631" authorId="0" shapeId="0">
      <text>
        <t>Em branco herda a base. Sim identifica Restrição de frequência; duas de frequência continuam incompatíveis.</t>
      </text>
    </comment>
    <comment ref="E1631" authorId="0" shapeId="0">
      <text>
        <t>Em branco herda a base. Sim identifica Restrição de frequência; duas de frequência continuam incompatíveis.</t>
      </text>
    </comment>
    <comment ref="J1631" authorId="0" shapeId="0">
      <text>
        <t>Em branco herda a base. Sim identifica Restrição de frequência; duas de frequência continuam incompatíveis.</t>
      </text>
    </comment>
    <comment ref="M1631" authorId="0" shapeId="0">
      <text>
        <t>Em branco herda a base. Sim identifica Restrição de frequência; duas de frequência continuam incompatíveis.</t>
      </text>
    </comment>
    <comment ref="B1633" authorId="0" shapeId="0">
      <text>
        <t>Campo do cadastro custom. Em branco herda a base do livro, quando escolhida.</t>
      </text>
    </comment>
    <comment ref="J1633" authorId="0" shapeId="0">
      <text>
        <t>Campo do cadastro custom. Em branco herda a base do livro, quando escolhida.</t>
      </text>
    </comment>
    <comment ref="B1634" authorId="0" shapeId="0">
      <text>
        <t>Exigência, momento de cumprir, duração e incompatibilidades. Texto livre não é executado como fórmula.</t>
      </text>
    </comment>
    <comment ref="J1634" authorId="0" shapeId="0">
      <text>
        <t>Exigência, momento de cumprir, duração e incompatibilidades. Texto livre não é executado como fórmula.</t>
      </text>
    </comment>
    <comment ref="B1642" authorId="0" shapeId="0">
      <text>
        <t>Campo do cadastro custom. Em branco herda a base do livro, quando escolhida.</t>
      </text>
    </comment>
    <comment ref="J1642" authorId="0" shapeId="0">
      <text>
        <t>Campo do cadastro custom. Em branco herda a base do livro, quando escolhida.</t>
      </text>
    </comment>
    <comment ref="B1646" authorId="0" shapeId="0">
      <text>
        <t>Campo do cadastro custom. Em branco herda a base do livro, quando escolhida.</t>
      </text>
    </comment>
    <comment ref="J1646" authorId="0" shapeId="0">
      <text>
        <t>Campo do cadastro custom. Em branco herda a base do livro, quando escolhida.</t>
      </text>
    </comment>
    <comment ref="B1647" authorId="0" shapeId="0">
      <text>
        <t>Campo do cadastro custom. Em branco herda a base do livro, quando escolhida.</t>
      </text>
    </comment>
    <comment ref="F1647" authorId="0" shapeId="0">
      <text>
        <t>Campo do cadastro custom. Em branco herda a base do livro, quando escolhida.</t>
      </text>
    </comment>
    <comment ref="J1647" authorId="0" shapeId="0">
      <text>
        <t>Campo do cadastro custom. Em branco herda a base do livro, quando escolhida.</t>
      </text>
    </comment>
    <comment ref="N1647" authorId="0" shapeId="0">
      <text>
        <t>Campo do cadastro custom. Em branco herda a base do livro, quando escolhida.</t>
      </text>
    </comment>
    <comment ref="B1648" authorId="0" shapeId="0">
      <text>
        <t>Campo do cadastro custom. Em branco herda a base do livro, quando escolhida.</t>
      </text>
    </comment>
    <comment ref="F1648" authorId="0" shapeId="0">
      <text>
        <t>Lembrete marcado pelo jogador. Aprovação ocorre pelo bot no chat.</t>
      </text>
    </comment>
    <comment ref="J1648" authorId="0" shapeId="0">
      <text>
        <t>Campo do cadastro custom. Em branco herda a base do livro, quando escolhida.</t>
      </text>
    </comment>
    <comment ref="N1648" authorId="0" shapeId="0">
      <text>
        <t>Lembrete marcado pelo jogador. Aprovação ocorre pelo bot no chat.</t>
      </text>
    </comment>
    <comment ref="B1649" authorId="0" shapeId="0">
      <text>
        <t>Campo do cadastro custom. Em branco herda a base do livro, quando escolhida.</t>
      </text>
    </comment>
    <comment ref="J1649" authorId="0" shapeId="0">
      <text>
        <t>Campo do cadastro custom. Em branco herda a base do livro, quando escolhida.</t>
      </text>
    </comment>
    <comment ref="B1650" authorId="0" shapeId="0">
      <text>
        <t>Campo do cadastro custom. Em branco herda a base do livro, quando escolhida.</t>
      </text>
    </comment>
    <comment ref="J1650" authorId="0" shapeId="0">
      <text>
        <t>Campo do cadastro custom. Em branco herda a base do livro, quando escolhida.</t>
      </text>
    </comment>
    <comment ref="B1651" authorId="0" shapeId="0">
      <text>
        <t>Opcional. Nenhuma cria do zero. Com base, campos em branco e verificações específicas herdam o livro. Texto livre não cria automações.</t>
      </text>
    </comment>
    <comment ref="E1651" authorId="0" shapeId="0">
      <text>
        <t>Opcional. Nenhuma cria do zero. Com base, campos em branco e verificações específicas herdam o livro. Texto livre não cria automações.</t>
      </text>
    </comment>
    <comment ref="J1651" authorId="0" shapeId="0">
      <text>
        <t>Opcional. Nenhuma cria do zero. Com base, campos em branco e verificações específicas herdam o livro. Texto livre não cria automações.</t>
      </text>
    </comment>
    <comment ref="M1651" authorId="0" shapeId="0">
      <text>
        <t>Opcional. Nenhuma cria do zero. Com base, campos em branco e verificações específicas herdam o livro. Texto livre não cria automações.</t>
      </text>
    </comment>
    <comment ref="B1652" authorId="0" shapeId="0">
      <text>
        <t>Em branco herda a base. Sem base, escolha Leve ou Média. Restrição paga Melhorias, nunca a Forma, e conserva o teto e o limite de Restrições.</t>
      </text>
    </comment>
    <comment ref="E1652" authorId="0" shapeId="0">
      <text>
        <t>Em branco herda a base. Sem base, escolha Leve ou Média. Restrição paga Melhorias, nunca a Forma, e conserva o teto e o limite de Restrições.</t>
      </text>
    </comment>
    <comment ref="J1652" authorId="0" shapeId="0">
      <text>
        <t>Em branco herda a base. Sem base, escolha Leve ou Média. Restrição paga Melhorias, nunca a Forma, e conserva o teto e o limite de Restrições.</t>
      </text>
    </comment>
    <comment ref="M1652" authorId="0" shapeId="0">
      <text>
        <t>Em branco herda a base. Sem base, escolha Leve ou Média. Restrição paga Melhorias, nunca a Forma, e conserva o teto e o limite de Restrições.</t>
      </text>
    </comment>
    <comment ref="B1653" authorId="0" shapeId="0">
      <text>
        <t>Em branco herda a base. Sim identifica Restrição de frequência; duas de frequência continuam incompatíveis.</t>
      </text>
    </comment>
    <comment ref="E1653" authorId="0" shapeId="0">
      <text>
        <t>Em branco herda a base. Sim identifica Restrição de frequência; duas de frequência continuam incompatíveis.</t>
      </text>
    </comment>
    <comment ref="J1653" authorId="0" shapeId="0">
      <text>
        <t>Em branco herda a base. Sim identifica Restrição de frequência; duas de frequência continuam incompatíveis.</t>
      </text>
    </comment>
    <comment ref="M1653" authorId="0" shapeId="0">
      <text>
        <t>Em branco herda a base. Sim identifica Restrição de frequência; duas de frequência continuam incompatíveis.</t>
      </text>
    </comment>
    <comment ref="B1655" authorId="0" shapeId="0">
      <text>
        <t>Campo do cadastro custom. Em branco herda a base do livro, quando escolhida.</t>
      </text>
    </comment>
    <comment ref="J1655" authorId="0" shapeId="0">
      <text>
        <t>Campo do cadastro custom. Em branco herda a base do livro, quando escolhida.</t>
      </text>
    </comment>
    <comment ref="B1656" authorId="0" shapeId="0">
      <text>
        <t>Exigência, momento de cumprir, duração e incompatibilidades. Texto livre não é executado como fórmula.</t>
      </text>
    </comment>
    <comment ref="J1656" authorId="0" shapeId="0">
      <text>
        <t>Exigência, momento de cumprir, duração e incompatibilidades. Texto livre não é executado como fórmula.</t>
      </text>
    </comment>
    <comment ref="B1664" authorId="0" shapeId="0">
      <text>
        <t>Campo do cadastro custom. Em branco herda a base do livro, quando escolhida.</t>
      </text>
    </comment>
    <comment ref="J1664" authorId="0" shapeId="0">
      <text>
        <t>Campo do cadastro custom. Em branco herda a base do livro, quando escolhida.</t>
      </text>
    </comment>
    <comment ref="B1668" authorId="0" shapeId="0">
      <text>
        <t>Campo do cadastro custom. Em branco herda a base do livro, quando escolhida.</t>
      </text>
    </comment>
    <comment ref="J1668" authorId="0" shapeId="0">
      <text>
        <t>Campo do cadastro custom. Em branco herda a base do livro, quando escolhida.</t>
      </text>
    </comment>
    <comment ref="B1669" authorId="0" shapeId="0">
      <text>
        <t>Campo do cadastro custom. Em branco herda a base do livro, quando escolhida.</t>
      </text>
    </comment>
    <comment ref="F1669" authorId="0" shapeId="0">
      <text>
        <t>Campo do cadastro custom. Em branco herda a base do livro, quando escolhida.</t>
      </text>
    </comment>
    <comment ref="J1669" authorId="0" shapeId="0">
      <text>
        <t>Campo do cadastro custom. Em branco herda a base do livro, quando escolhida.</t>
      </text>
    </comment>
    <comment ref="N1669" authorId="0" shapeId="0">
      <text>
        <t>Campo do cadastro custom. Em branco herda a base do livro, quando escolhida.</t>
      </text>
    </comment>
    <comment ref="B1670" authorId="0" shapeId="0">
      <text>
        <t>Campo do cadastro custom. Em branco herda a base do livro, quando escolhida.</t>
      </text>
    </comment>
    <comment ref="F1670" authorId="0" shapeId="0">
      <text>
        <t>Lembrete marcado pelo jogador. Aprovação ocorre pelo bot no chat.</t>
      </text>
    </comment>
    <comment ref="J1670" authorId="0" shapeId="0">
      <text>
        <t>Campo do cadastro custom. Em branco herda a base do livro, quando escolhida.</t>
      </text>
    </comment>
    <comment ref="N1670" authorId="0" shapeId="0">
      <text>
        <t>Lembrete marcado pelo jogador. Aprovação ocorre pelo bot no chat.</t>
      </text>
    </comment>
    <comment ref="B1671" authorId="0" shapeId="0">
      <text>
        <t>Campo do cadastro custom. Em branco herda a base do livro, quando escolhida.</t>
      </text>
    </comment>
    <comment ref="J1671" authorId="0" shapeId="0">
      <text>
        <t>Campo do cadastro custom. Em branco herda a base do livro, quando escolhida.</t>
      </text>
    </comment>
    <comment ref="B1672" authorId="0" shapeId="0">
      <text>
        <t>Campo do cadastro custom. Em branco herda a base do livro, quando escolhida.</t>
      </text>
    </comment>
    <comment ref="J1672" authorId="0" shapeId="0">
      <text>
        <t>Campo do cadastro custom. Em branco herda a base do livro, quando escolhida.</t>
      </text>
    </comment>
    <comment ref="B1673" authorId="0" shapeId="0">
      <text>
        <t>Opcional. Nenhuma cria do zero. Com base, campos em branco e verificações específicas herdam o livro. Texto livre não cria automações.</t>
      </text>
    </comment>
    <comment ref="E1673" authorId="0" shapeId="0">
      <text>
        <t>Opcional. Nenhuma cria do zero. Com base, campos em branco e verificações específicas herdam o livro. Texto livre não cria automações.</t>
      </text>
    </comment>
    <comment ref="J1673" authorId="0" shapeId="0">
      <text>
        <t>Opcional. Nenhuma cria do zero. Com base, campos em branco e verificações específicas herdam o livro. Texto livre não cria automações.</t>
      </text>
    </comment>
    <comment ref="M1673" authorId="0" shapeId="0">
      <text>
        <t>Opcional. Nenhuma cria do zero. Com base, campos em branco e verificações específicas herdam o livro. Texto livre não cria automações.</t>
      </text>
    </comment>
    <comment ref="B1674" authorId="0" shapeId="0">
      <text>
        <t>Em branco herda a base. Sem base, escolha Leve ou Média. Restrição paga Melhorias, nunca a Forma, e conserva o teto e o limite de Restrições.</t>
      </text>
    </comment>
    <comment ref="E1674" authorId="0" shapeId="0">
      <text>
        <t>Em branco herda a base. Sem base, escolha Leve ou Média. Restrição paga Melhorias, nunca a Forma, e conserva o teto e o limite de Restrições.</t>
      </text>
    </comment>
    <comment ref="J1674" authorId="0" shapeId="0">
      <text>
        <t>Em branco herda a base. Sem base, escolha Leve ou Média. Restrição paga Melhorias, nunca a Forma, e conserva o teto e o limite de Restrições.</t>
      </text>
    </comment>
    <comment ref="M1674" authorId="0" shapeId="0">
      <text>
        <t>Em branco herda a base. Sem base, escolha Leve ou Média. Restrição paga Melhorias, nunca a Forma, e conserva o teto e o limite de Restrições.</t>
      </text>
    </comment>
    <comment ref="B1675" authorId="0" shapeId="0">
      <text>
        <t>Em branco herda a base. Sim identifica Restrição de frequência; duas de frequência continuam incompatíveis.</t>
      </text>
    </comment>
    <comment ref="E1675" authorId="0" shapeId="0">
      <text>
        <t>Em branco herda a base. Sim identifica Restrição de frequência; duas de frequência continuam incompatíveis.</t>
      </text>
    </comment>
    <comment ref="J1675" authorId="0" shapeId="0">
      <text>
        <t>Em branco herda a base. Sim identifica Restrição de frequência; duas de frequência continuam incompatíveis.</t>
      </text>
    </comment>
    <comment ref="M1675" authorId="0" shapeId="0">
      <text>
        <t>Em branco herda a base. Sim identifica Restrição de frequência; duas de frequência continuam incompatíveis.</t>
      </text>
    </comment>
    <comment ref="B1677" authorId="0" shapeId="0">
      <text>
        <t>Campo do cadastro custom. Em branco herda a base do livro, quando escolhida.</t>
      </text>
    </comment>
    <comment ref="J1677" authorId="0" shapeId="0">
      <text>
        <t>Campo do cadastro custom. Em branco herda a base do livro, quando escolhida.</t>
      </text>
    </comment>
    <comment ref="B1678" authorId="0" shapeId="0">
      <text>
        <t>Exigência, momento de cumprir, duração e incompatibilidades. Texto livre não é executado como fórmula.</t>
      </text>
    </comment>
    <comment ref="J1678" authorId="0" shapeId="0">
      <text>
        <t>Exigência, momento de cumprir, duração e incompatibilidades. Texto livre não é executado como fórmula.</t>
      </text>
    </comment>
    <comment ref="B1686" authorId="0" shapeId="0">
      <text>
        <t>Campo do cadastro custom. Em branco herda a base do livro, quando escolhida.</t>
      </text>
    </comment>
    <comment ref="J1686" authorId="0" shapeId="0">
      <text>
        <t>Campo do cadastro custom. Em branco herda a base do livro, quando escolhida.</t>
      </text>
    </comment>
    <comment ref="B1690" authorId="0" shapeId="0">
      <text>
        <t>Campo do cadastro custom. Em branco herda a base do livro, quando escolhida.</t>
      </text>
    </comment>
    <comment ref="J1690" authorId="0" shapeId="0">
      <text>
        <t>Campo do cadastro custom. Em branco herda a base do livro, quando escolhida.</t>
      </text>
    </comment>
    <comment ref="B1691" authorId="0" shapeId="0">
      <text>
        <t>Campo do cadastro custom. Em branco herda a base do livro, quando escolhida.</t>
      </text>
    </comment>
    <comment ref="F1691" authorId="0" shapeId="0">
      <text>
        <t>Campo do cadastro custom. Em branco herda a base do livro, quando escolhida.</t>
      </text>
    </comment>
    <comment ref="J1691" authorId="0" shapeId="0">
      <text>
        <t>Campo do cadastro custom. Em branco herda a base do livro, quando escolhida.</t>
      </text>
    </comment>
    <comment ref="N1691" authorId="0" shapeId="0">
      <text>
        <t>Campo do cadastro custom. Em branco herda a base do livro, quando escolhida.</t>
      </text>
    </comment>
    <comment ref="B1692" authorId="0" shapeId="0">
      <text>
        <t>Campo do cadastro custom. Em branco herda a base do livro, quando escolhida.</t>
      </text>
    </comment>
    <comment ref="F1692" authorId="0" shapeId="0">
      <text>
        <t>Lembrete marcado pelo jogador. Aprovação ocorre pelo bot no chat.</t>
      </text>
    </comment>
    <comment ref="J1692" authorId="0" shapeId="0">
      <text>
        <t>Campo do cadastro custom. Em branco herda a base do livro, quando escolhida.</t>
      </text>
    </comment>
    <comment ref="N1692" authorId="0" shapeId="0">
      <text>
        <t>Lembrete marcado pelo jogador. Aprovação ocorre pelo bot no chat.</t>
      </text>
    </comment>
    <comment ref="B1693" authorId="0" shapeId="0">
      <text>
        <t>Campo do cadastro custom. Em branco herda a base do livro, quando escolhida.</t>
      </text>
    </comment>
    <comment ref="J1693" authorId="0" shapeId="0">
      <text>
        <t>Campo do cadastro custom. Em branco herda a base do livro, quando escolhida.</t>
      </text>
    </comment>
    <comment ref="B1694" authorId="0" shapeId="0">
      <text>
        <t>Campo do cadastro custom. Em branco herda a base do livro, quando escolhida.</t>
      </text>
    </comment>
    <comment ref="J1694" authorId="0" shapeId="0">
      <text>
        <t>Campo do cadastro custom. Em branco herda a base do livro, quando escolhida.</t>
      </text>
    </comment>
    <comment ref="B1695" authorId="0" shapeId="0">
      <text>
        <t>Opcional. Nenhuma cria do zero. Com base, campos em branco e verificações específicas herdam o livro. Texto livre não cria automações.</t>
      </text>
    </comment>
    <comment ref="E1695" authorId="0" shapeId="0">
      <text>
        <t>Opcional. Nenhuma cria do zero. Com base, campos em branco e verificações específicas herdam o livro. Texto livre não cria automações.</t>
      </text>
    </comment>
    <comment ref="J1695" authorId="0" shapeId="0">
      <text>
        <t>Opcional. Nenhuma cria do zero. Com base, campos em branco e verificações específicas herdam o livro. Texto livre não cria automações.</t>
      </text>
    </comment>
    <comment ref="M1695" authorId="0" shapeId="0">
      <text>
        <t>Opcional. Nenhuma cria do zero. Com base, campos em branco e verificações específicas herdam o livro. Texto livre não cria automações.</t>
      </text>
    </comment>
    <comment ref="B1696" authorId="0" shapeId="0">
      <text>
        <t>Em branco herda a base. Sem base, escolha Leve ou Média. Restrição paga Melhorias, nunca a Forma, e conserva o teto e o limite de Restrições.</t>
      </text>
    </comment>
    <comment ref="E1696" authorId="0" shapeId="0">
      <text>
        <t>Em branco herda a base. Sem base, escolha Leve ou Média. Restrição paga Melhorias, nunca a Forma, e conserva o teto e o limite de Restrições.</t>
      </text>
    </comment>
    <comment ref="J1696" authorId="0" shapeId="0">
      <text>
        <t>Em branco herda a base. Sem base, escolha Leve ou Média. Restrição paga Melhorias, nunca a Forma, e conserva o teto e o limite de Restrições.</t>
      </text>
    </comment>
    <comment ref="M1696" authorId="0" shapeId="0">
      <text>
        <t>Em branco herda a base. Sem base, escolha Leve ou Média. Restrição paga Melhorias, nunca a Forma, e conserva o teto e o limite de Restrições.</t>
      </text>
    </comment>
    <comment ref="B1697" authorId="0" shapeId="0">
      <text>
        <t>Em branco herda a base. Sim identifica Restrição de frequência; duas de frequência continuam incompatíveis.</t>
      </text>
    </comment>
    <comment ref="E1697" authorId="0" shapeId="0">
      <text>
        <t>Em branco herda a base. Sim identifica Restrição de frequência; duas de frequência continuam incompatíveis.</t>
      </text>
    </comment>
    <comment ref="J1697" authorId="0" shapeId="0">
      <text>
        <t>Em branco herda a base. Sim identifica Restrição de frequência; duas de frequência continuam incompatíveis.</t>
      </text>
    </comment>
    <comment ref="M1697" authorId="0" shapeId="0">
      <text>
        <t>Em branco herda a base. Sim identifica Restrição de frequência; duas de frequência continuam incompatíveis.</t>
      </text>
    </comment>
    <comment ref="B1699" authorId="0" shapeId="0">
      <text>
        <t>Campo do cadastro custom. Em branco herda a base do livro, quando escolhida.</t>
      </text>
    </comment>
    <comment ref="J1699" authorId="0" shapeId="0">
      <text>
        <t>Campo do cadastro custom. Em branco herda a base do livro, quando escolhida.</t>
      </text>
    </comment>
    <comment ref="B1700" authorId="0" shapeId="0">
      <text>
        <t>Exigência, momento de cumprir, duração e incompatibilidades. Texto livre não é executado como fórmula.</t>
      </text>
    </comment>
    <comment ref="J1700" authorId="0" shapeId="0">
      <text>
        <t>Exigência, momento de cumprir, duração e incompatibilidades. Texto livre não é executado como fórmula.</t>
      </text>
    </comment>
    <comment ref="B1708" authorId="0" shapeId="0">
      <text>
        <t>Campo do cadastro custom. Em branco herda a base do livro, quando escolhida.</t>
      </text>
    </comment>
    <comment ref="J1708" authorId="0" shapeId="0">
      <text>
        <t>Campo do cadastro custom. Em branco herda a base do livro, quando escolhida.</t>
      </text>
    </comment>
    <comment ref="B1712" authorId="0" shapeId="0">
      <text>
        <t>Campo do cadastro custom. Em branco herda a base do livro, quando escolhida.</t>
      </text>
    </comment>
    <comment ref="J1712" authorId="0" shapeId="0">
      <text>
        <t>Campo do cadastro custom. Em branco herda a base do livro, quando escolhida.</t>
      </text>
    </comment>
    <comment ref="B1713" authorId="0" shapeId="0">
      <text>
        <t>Campo do cadastro custom. Em branco herda a base do livro, quando escolhida.</t>
      </text>
    </comment>
    <comment ref="F1713" authorId="0" shapeId="0">
      <text>
        <t>Campo do cadastro custom. Em branco herda a base do livro, quando escolhida.</t>
      </text>
    </comment>
    <comment ref="J1713" authorId="0" shapeId="0">
      <text>
        <t>Campo do cadastro custom. Em branco herda a base do livro, quando escolhida.</t>
      </text>
    </comment>
    <comment ref="N1713" authorId="0" shapeId="0">
      <text>
        <t>Campo do cadastro custom. Em branco herda a base do livro, quando escolhida.</t>
      </text>
    </comment>
    <comment ref="B1714" authorId="0" shapeId="0">
      <text>
        <t>Campo do cadastro custom. Em branco herda a base do livro, quando escolhida.</t>
      </text>
    </comment>
    <comment ref="F1714" authorId="0" shapeId="0">
      <text>
        <t>Lembrete marcado pelo jogador. Aprovação ocorre pelo bot no chat.</t>
      </text>
    </comment>
    <comment ref="J1714" authorId="0" shapeId="0">
      <text>
        <t>Campo do cadastro custom. Em branco herda a base do livro, quando escolhida.</t>
      </text>
    </comment>
    <comment ref="N1714" authorId="0" shapeId="0">
      <text>
        <t>Lembrete marcado pelo jogador. Aprovação ocorre pelo bot no chat.</t>
      </text>
    </comment>
    <comment ref="B1715" authorId="0" shapeId="0">
      <text>
        <t>Campo do cadastro custom. Em branco herda a base do livro, quando escolhida.</t>
      </text>
    </comment>
    <comment ref="J1715" authorId="0" shapeId="0">
      <text>
        <t>Campo do cadastro custom. Em branco herda a base do livro, quando escolhida.</t>
      </text>
    </comment>
    <comment ref="B1716" authorId="0" shapeId="0">
      <text>
        <t>Campo do cadastro custom. Em branco herda a base do livro, quando escolhida.</t>
      </text>
    </comment>
    <comment ref="J1716" authorId="0" shapeId="0">
      <text>
        <t>Campo do cadastro custom. Em branco herda a base do livro, quando escolhida.</t>
      </text>
    </comment>
    <comment ref="B1717" authorId="0" shapeId="0">
      <text>
        <t>Opcional. Nenhuma cria do zero. Com base, campos em branco e verificações específicas herdam o livro. Texto livre não cria automações.</t>
      </text>
    </comment>
    <comment ref="E1717" authorId="0" shapeId="0">
      <text>
        <t>Opcional. Nenhuma cria do zero. Com base, campos em branco e verificações específicas herdam o livro. Texto livre não cria automações.</t>
      </text>
    </comment>
    <comment ref="J1717" authorId="0" shapeId="0">
      <text>
        <t>Opcional. Nenhuma cria do zero. Com base, campos em branco e verificações específicas herdam o livro. Texto livre não cria automações.</t>
      </text>
    </comment>
    <comment ref="M1717" authorId="0" shapeId="0">
      <text>
        <t>Opcional. Nenhuma cria do zero. Com base, campos em branco e verificações específicas herdam o livro. Texto livre não cria automações.</t>
      </text>
    </comment>
    <comment ref="B1718" authorId="0" shapeId="0">
      <text>
        <t>Em branco herda a base. Sem base, escolha Leve ou Média. Restrição paga Melhorias, nunca a Forma, e conserva o teto e o limite de Restrições.</t>
      </text>
    </comment>
    <comment ref="E1718" authorId="0" shapeId="0">
      <text>
        <t>Em branco herda a base. Sem base, escolha Leve ou Média. Restrição paga Melhorias, nunca a Forma, e conserva o teto e o limite de Restrições.</t>
      </text>
    </comment>
    <comment ref="J1718" authorId="0" shapeId="0">
      <text>
        <t>Em branco herda a base. Sem base, escolha Leve ou Média. Restrição paga Melhorias, nunca a Forma, e conserva o teto e o limite de Restrições.</t>
      </text>
    </comment>
    <comment ref="M1718" authorId="0" shapeId="0">
      <text>
        <t>Em branco herda a base. Sem base, escolha Leve ou Média. Restrição paga Melhorias, nunca a Forma, e conserva o teto e o limite de Restrições.</t>
      </text>
    </comment>
    <comment ref="B1719" authorId="0" shapeId="0">
      <text>
        <t>Em branco herda a base. Sim identifica Restrição de frequência; duas de frequência continuam incompatíveis.</t>
      </text>
    </comment>
    <comment ref="E1719" authorId="0" shapeId="0">
      <text>
        <t>Em branco herda a base. Sim identifica Restrição de frequência; duas de frequência continuam incompatíveis.</t>
      </text>
    </comment>
    <comment ref="J1719" authorId="0" shapeId="0">
      <text>
        <t>Em branco herda a base. Sim identifica Restrição de frequência; duas de frequência continuam incompatíveis.</t>
      </text>
    </comment>
    <comment ref="M1719" authorId="0" shapeId="0">
      <text>
        <t>Em branco herda a base. Sim identifica Restrição de frequência; duas de frequência continuam incompatíveis.</t>
      </text>
    </comment>
    <comment ref="B1721" authorId="0" shapeId="0">
      <text>
        <t>Campo do cadastro custom. Em branco herda a base do livro, quando escolhida.</t>
      </text>
    </comment>
    <comment ref="J1721" authorId="0" shapeId="0">
      <text>
        <t>Campo do cadastro custom. Em branco herda a base do livro, quando escolhida.</t>
      </text>
    </comment>
    <comment ref="B1722" authorId="0" shapeId="0">
      <text>
        <t>Exigência, momento de cumprir, duração e incompatibilidades. Texto livre não é executado como fórmula.</t>
      </text>
    </comment>
    <comment ref="J1722" authorId="0" shapeId="0">
      <text>
        <t>Exigência, momento de cumprir, duração e incompatibilidades. Texto livre não é executado como fórmula.</t>
      </text>
    </comment>
    <comment ref="B1730" authorId="0" shapeId="0">
      <text>
        <t>Campo do cadastro custom. Em branco herda a base do livro, quando escolhida.</t>
      </text>
    </comment>
    <comment ref="J1730" authorId="0" shapeId="0">
      <text>
        <t>Campo do cadastro custom. Em branco herda a base do livro, quando escolhida.</t>
      </text>
    </comment>
    <comment ref="B1737" authorId="0" shapeId="0">
      <text>
        <t>Nome único. Livro e cadastros válidos aparecem juntos nos menus.</t>
      </text>
    </comment>
    <comment ref="F1737" authorId="0" shapeId="0">
      <text>
        <t>Lembrete; aprovação ocorre pelo bot no chat.</t>
      </text>
    </comment>
    <comment ref="J1737" authorId="0" shapeId="0">
      <text>
        <t>Nome único. Livro e cadastros válidos aparecem juntos nos menus.</t>
      </text>
    </comment>
    <comment ref="N1737" authorId="0" shapeId="0">
      <text>
        <t>Lembrete; aprovação ocorre pelo bot no chat.</t>
      </text>
    </comment>
    <comment ref="B1741" authorId="0" shapeId="0">
      <text>
        <t>Natureza do dano criada com o mestre. Não altera números automaticamente.</t>
      </text>
    </comment>
    <comment ref="J1741" authorId="0" shapeId="0">
      <text>
        <t>Natureza do dano criada com o mestre. Não altera números automaticamente.</t>
      </text>
    </comment>
    <comment ref="B1748" authorId="0" shapeId="0">
      <text>
        <t>Interações e requisitos. Resistência, vulnerabilidade e dano aplicado não são deduzidos deste texto.</t>
      </text>
    </comment>
    <comment ref="J1748" authorId="0" shapeId="0">
      <text>
        <t>Interações e requisitos. Resistência, vulnerabilidade e dano aplicado não são deduzidos deste texto.</t>
      </text>
    </comment>
    <comment ref="B1765" authorId="0" shapeId="0">
      <text>
        <t>Nome único. Livro e cadastros válidos aparecem juntos nos menus.</t>
      </text>
    </comment>
    <comment ref="F1765" authorId="0" shapeId="0">
      <text>
        <t>Lembrete; aprovação ocorre pelo bot no chat.</t>
      </text>
    </comment>
    <comment ref="J1765" authorId="0" shapeId="0">
      <text>
        <t>Nome único. Livro e cadastros válidos aparecem juntos nos menus.</t>
      </text>
    </comment>
    <comment ref="N1765" authorId="0" shapeId="0">
      <text>
        <t>Lembrete; aprovação ocorre pelo bot no chat.</t>
      </text>
    </comment>
    <comment ref="B1769" authorId="0" shapeId="0">
      <text>
        <t>Natureza do dano criada com o mestre. Não altera números automaticamente.</t>
      </text>
    </comment>
    <comment ref="J1769" authorId="0" shapeId="0">
      <text>
        <t>Natureza do dano criada com o mestre. Não altera números automaticamente.</t>
      </text>
    </comment>
    <comment ref="B1776" authorId="0" shapeId="0">
      <text>
        <t>Interações e requisitos. Resistência, vulnerabilidade e dano aplicado não são deduzidos deste texto.</t>
      </text>
    </comment>
    <comment ref="J1776" authorId="0" shapeId="0">
      <text>
        <t>Interações e requisitos. Resistência, vulnerabilidade e dano aplicado não são deduzidos deste texto.</t>
      </text>
    </comment>
    <comment ref="B1793" authorId="0" shapeId="0">
      <text>
        <t>Nome único. Livro e cadastros válidos aparecem juntos nos menus.</t>
      </text>
    </comment>
    <comment ref="F1793" authorId="0" shapeId="0">
      <text>
        <t>Lembrete; aprovação ocorre pelo bot no chat.</t>
      </text>
    </comment>
    <comment ref="J1793" authorId="0" shapeId="0">
      <text>
        <t>Nome único. Livro e cadastros válidos aparecem juntos nos menus.</t>
      </text>
    </comment>
    <comment ref="N1793" authorId="0" shapeId="0">
      <text>
        <t>Lembrete; aprovação ocorre pelo bot no chat.</t>
      </text>
    </comment>
    <comment ref="B1797" authorId="0" shapeId="0">
      <text>
        <t>Natureza do dano criada com o mestre. Não altera números automaticamente.</t>
      </text>
    </comment>
    <comment ref="J1797" authorId="0" shapeId="0">
      <text>
        <t>Natureza do dano criada com o mestre. Não altera números automaticamente.</t>
      </text>
    </comment>
    <comment ref="B1804" authorId="0" shapeId="0">
      <text>
        <t>Interações e requisitos. Resistência, vulnerabilidade e dano aplicado não são deduzidos deste texto.</t>
      </text>
    </comment>
    <comment ref="J1804" authorId="0" shapeId="0">
      <text>
        <t>Interações e requisitos. Resistência, vulnerabilidade e dano aplicado não são deduzidos deste texto.</t>
      </text>
    </comment>
    <comment ref="B1821" authorId="0" shapeId="0">
      <text>
        <t>Nome único. Livro e cadastros válidos aparecem juntos nos menus.</t>
      </text>
    </comment>
    <comment ref="F1821" authorId="0" shapeId="0">
      <text>
        <t>Lembrete; aprovação ocorre pelo bot no chat.</t>
      </text>
    </comment>
    <comment ref="J1821" authorId="0" shapeId="0">
      <text>
        <t>Nome único. Livro e cadastros válidos aparecem juntos nos menus.</t>
      </text>
    </comment>
    <comment ref="N1821" authorId="0" shapeId="0">
      <text>
        <t>Lembrete; aprovação ocorre pelo bot no chat.</t>
      </text>
    </comment>
    <comment ref="B1825" authorId="0" shapeId="0">
      <text>
        <t>Natureza do dano criada com o mestre. Não altera números automaticamente.</t>
      </text>
    </comment>
    <comment ref="J1825" authorId="0" shapeId="0">
      <text>
        <t>Natureza do dano criada com o mestre. Não altera números automaticamente.</t>
      </text>
    </comment>
    <comment ref="B1832" authorId="0" shapeId="0">
      <text>
        <t>Interações e requisitos. Resistência, vulnerabilidade e dano aplicado não são deduzidos deste texto.</t>
      </text>
    </comment>
    <comment ref="J1832" authorId="0" shapeId="0">
      <text>
        <t>Interações e requisitos. Resistência, vulnerabilidade e dano aplicado não são deduzidos deste texto.</t>
      </text>
    </comment>
    <comment ref="B1849" authorId="0" shapeId="0">
      <text>
        <t>Nome único. Livro e cadastros válidos aparecem juntos nos menus.</t>
      </text>
    </comment>
    <comment ref="F1849" authorId="0" shapeId="0">
      <text>
        <t>Lembrete; aprovação ocorre pelo bot no chat.</t>
      </text>
    </comment>
    <comment ref="J1849" authorId="0" shapeId="0">
      <text>
        <t>Nome único. Livro e cadastros válidos aparecem juntos nos menus.</t>
      </text>
    </comment>
    <comment ref="N1849" authorId="0" shapeId="0">
      <text>
        <t>Lembrete; aprovação ocorre pelo bot no chat.</t>
      </text>
    </comment>
    <comment ref="B1853" authorId="0" shapeId="0">
      <text>
        <t>Natureza do dano criada com o mestre. Não altera números automaticamente.</t>
      </text>
    </comment>
    <comment ref="J1853" authorId="0" shapeId="0">
      <text>
        <t>Natureza do dano criada com o mestre. Não altera números automaticamente.</t>
      </text>
    </comment>
    <comment ref="B1860" authorId="0" shapeId="0">
      <text>
        <t>Interações e requisitos. Resistência, vulnerabilidade e dano aplicado não são deduzidos deste texto.</t>
      </text>
    </comment>
    <comment ref="J1860" authorId="0" shapeId="0">
      <text>
        <t>Interações e requisitos. Resistência, vulnerabilidade e dano aplicado não são deduzidos deste texto.</t>
      </text>
    </comment>
    <comment ref="B1877" authorId="0" shapeId="0">
      <text>
        <t>Em branco herda a base escolhida. Sem base, preencha os campos próprios. Texto não é automação.</t>
      </text>
    </comment>
    <comment ref="B1880" authorId="0" shapeId="0">
      <text>
        <t>Em branco herda a base escolhida. Sem base, preencha os campos próprios. Texto não é automação.</t>
      </text>
    </comment>
    <comment ref="J1880" authorId="0" shapeId="0">
      <text>
        <t>Em branco herda a base escolhida. Sem base, preencha os campos próprios. Texto não é automação.</t>
      </text>
    </comment>
    <comment ref="B1881" authorId="0" shapeId="0">
      <text>
        <t>Em branco herda a base escolhida. Sem base, preencha os campos próprios. Texto não é automação.</t>
      </text>
    </comment>
    <comment ref="F1881" authorId="0" shapeId="0">
      <text>
        <t>Em branco herda a base escolhida. Sem base, preencha os campos próprios. Texto não é automação.</t>
      </text>
    </comment>
    <comment ref="J1881" authorId="0" shapeId="0">
      <text>
        <t>Em branco herda a base escolhida. Sem base, preencha os campos próprios. Texto não é automação.</t>
      </text>
    </comment>
    <comment ref="N1881" authorId="0" shapeId="0">
      <text>
        <t>Em branco herda a base escolhida. Sem base, preencha os campos próprios. Texto não é automação.</t>
      </text>
    </comment>
    <comment ref="B1882" authorId="0" shapeId="0">
      <text>
        <t>Em branco herda a base escolhida. Sem base, preencha os campos próprios. Texto não é automação.</t>
      </text>
    </comment>
    <comment ref="F1882" authorId="0" shapeId="0">
      <text>
        <t>Lembrete. Aprovação pertence ao bot no chat.</t>
      </text>
    </comment>
    <comment ref="J1882" authorId="0" shapeId="0">
      <text>
        <t>Em branco herda a base escolhida. Sem base, preencha os campos próprios. Texto não é automação.</t>
      </text>
    </comment>
    <comment ref="N1882" authorId="0" shapeId="0">
      <text>
        <t>Lembrete. Aprovação pertence ao bot no chat.</t>
      </text>
    </comment>
    <comment ref="B1883" authorId="0" shapeId="0">
      <text>
        <t>Em branco herda a base escolhida. Sem base, preencha os campos próprios. Texto não é automação.</t>
      </text>
    </comment>
    <comment ref="J1883" authorId="0" shapeId="0">
      <text>
        <t>Em branco herda a base escolhida. Sem base, preencha os campos próprios. Texto não é automação.</t>
      </text>
    </comment>
    <comment ref="B1884" authorId="0" shapeId="0">
      <text>
        <t>Em branco herda a base escolhida. Sem base, preencha os campos próprios. Texto não é automação.</t>
      </text>
    </comment>
    <comment ref="J1884" authorId="0" shapeId="0">
      <text>
        <t>Em branco herda a base escolhida. Sem base, preencha os campos próprios. Texto não é automação.</t>
      </text>
    </comment>
    <comment ref="B1885" authorId="0" shapeId="0">
      <text>
        <t>Em branco herda a base escolhida. Sem base, preencha os campos próprios. Texto não é automação.</t>
      </text>
    </comment>
    <comment ref="E1885" authorId="0" shapeId="0">
      <text>
        <t>Em branco herda a base escolhida. Sem base, preencha os campos próprios. Texto não é automação.</t>
      </text>
    </comment>
    <comment ref="J1885" authorId="0" shapeId="0">
      <text>
        <t>Em branco herda a base escolhida. Sem base, preencha os campos próprios. Texto não é automação.</t>
      </text>
    </comment>
    <comment ref="M1885" authorId="0" shapeId="0">
      <text>
        <t>Em branco herda a base escolhida. Sem base, preencha os campos próprios. Texto não é automação.</t>
      </text>
    </comment>
    <comment ref="B1886" authorId="0" shapeId="0">
      <text>
        <t>Em branco herda a base escolhida. Sem base, preencha os campos próprios. Texto não é automação.</t>
      </text>
    </comment>
    <comment ref="E1886" authorId="0" shapeId="0">
      <text>
        <t>Em branco herda a base escolhida. Sem base, preencha os campos próprios. Texto não é automação.</t>
      </text>
    </comment>
    <comment ref="J1886" authorId="0" shapeId="0">
      <text>
        <t>Em branco herda a base escolhida. Sem base, preencha os campos próprios. Texto não é automação.</t>
      </text>
    </comment>
    <comment ref="M1886" authorId="0" shapeId="0">
      <text>
        <t>Em branco herda a base escolhida. Sem base, preencha os campos próprios. Texto não é automação.</t>
      </text>
    </comment>
    <comment ref="B1887" authorId="0" shapeId="0">
      <text>
        <t>Em branco herda a base escolhida. Sem base, preencha os campos próprios. Texto não é automação.</t>
      </text>
    </comment>
    <comment ref="E1887" authorId="0" shapeId="0">
      <text>
        <t>Em branco herda a base escolhida. Sem base, preencha os campos próprios. Texto não é automação.</t>
      </text>
    </comment>
    <comment ref="J1887" authorId="0" shapeId="0">
      <text>
        <t>Em branco herda a base escolhida. Sem base, preencha os campos próprios. Texto não é automação.</t>
      </text>
    </comment>
    <comment ref="M1887" authorId="0" shapeId="0">
      <text>
        <t>Em branco herda a base escolhida. Sem base, preencha os campos próprios. Texto não é automação.</t>
      </text>
    </comment>
    <comment ref="B1888" authorId="0" shapeId="0">
      <text>
        <t>Em branco herda a base escolhida. Sem base, preencha os campos próprios. Texto não é automação.</t>
      </text>
    </comment>
    <comment ref="E1888" authorId="0" shapeId="0">
      <text>
        <t>Em branco herda a base escolhida. Sem base, preencha os campos próprios. Texto não é automação.</t>
      </text>
    </comment>
    <comment ref="J1888" authorId="0" shapeId="0">
      <text>
        <t>Em branco herda a base escolhida. Sem base, preencha os campos próprios. Texto não é automação.</t>
      </text>
    </comment>
    <comment ref="M1888" authorId="0" shapeId="0">
      <text>
        <t>Em branco herda a base escolhida. Sem base, preencha os campos próprios. Texto não é automação.</t>
      </text>
    </comment>
    <comment ref="B1889" authorId="0" shapeId="0">
      <text>
        <t>Em branco herda a base escolhida. Sem base, preencha os campos próprios. Texto não é automação.</t>
      </text>
    </comment>
    <comment ref="E1889" authorId="0" shapeId="0">
      <text>
        <t>Em branco herda a base escolhida. Sem base, preencha os campos próprios. Texto não é automação.</t>
      </text>
    </comment>
    <comment ref="J1889" authorId="0" shapeId="0">
      <text>
        <t>Em branco herda a base escolhida. Sem base, preencha os campos próprios. Texto não é automação.</t>
      </text>
    </comment>
    <comment ref="M1889" authorId="0" shapeId="0">
      <text>
        <t>Em branco herda a base escolhida. Sem base, preencha os campos próprios. Texto não é automação.</t>
      </text>
    </comment>
    <comment ref="B1890" authorId="0" shapeId="0">
      <text>
        <t>Em branco herda a base escolhida. Sem base, preencha os campos próprios. Texto não é automação.</t>
      </text>
    </comment>
    <comment ref="E1890" authorId="0" shapeId="0">
      <text>
        <t>Em branco herda a base escolhida. Sem base, preencha os campos próprios. Texto não é automação.</t>
      </text>
    </comment>
    <comment ref="J1890" authorId="0" shapeId="0">
      <text>
        <t>Em branco herda a base escolhida. Sem base, preencha os campos próprios. Texto não é automação.</t>
      </text>
    </comment>
    <comment ref="M1890" authorId="0" shapeId="0">
      <text>
        <t>Em branco herda a base escolhida. Sem base, preencha os campos próprios. Texto não é automação.</t>
      </text>
    </comment>
    <comment ref="B1891" authorId="0" shapeId="0">
      <text>
        <t>Em branco herda a base escolhida. Sem base, preencha os campos próprios. Texto não é automação.</t>
      </text>
    </comment>
    <comment ref="E1891" authorId="0" shapeId="0">
      <text>
        <t>Em branco herda a base escolhida. Sem base, preencha os campos próprios. Texto não é automação.</t>
      </text>
    </comment>
    <comment ref="J1891" authorId="0" shapeId="0">
      <text>
        <t>Em branco herda a base escolhida. Sem base, preencha os campos próprios. Texto não é automação.</t>
      </text>
    </comment>
    <comment ref="M1891" authorId="0" shapeId="0">
      <text>
        <t>Em branco herda a base escolhida. Sem base, preencha os campos próprios. Texto não é automação.</t>
      </text>
    </comment>
    <comment ref="B1892" authorId="0" shapeId="0">
      <text>
        <t>Em branco herda a base escolhida. Sem base, preencha os campos próprios. Texto não é automação.</t>
      </text>
    </comment>
    <comment ref="E1892" authorId="0" shapeId="0">
      <text>
        <t>Em branco herda a base escolhida. Sem base, preencha os campos próprios. Texto não é automação.</t>
      </text>
    </comment>
    <comment ref="J1892" authorId="0" shapeId="0">
      <text>
        <t>Em branco herda a base escolhida. Sem base, preencha os campos próprios. Texto não é automação.</t>
      </text>
    </comment>
    <comment ref="M1892" authorId="0" shapeId="0">
      <text>
        <t>Em branco herda a base escolhida. Sem base, preencha os campos próprios. Texto não é automação.</t>
      </text>
    </comment>
    <comment ref="B1893" authorId="0" shapeId="0">
      <text>
        <t>Em branco herda a base escolhida. Sem base, preencha os campos próprios. Texto não é automação.</t>
      </text>
    </comment>
    <comment ref="E1893" authorId="0" shapeId="0">
      <text>
        <t>Em branco herda a base escolhida. Sem base, preencha os campos próprios. Texto não é automação.</t>
      </text>
    </comment>
    <comment ref="J1893" authorId="0" shapeId="0">
      <text>
        <t>Em branco herda a base escolhida. Sem base, preencha os campos próprios. Texto não é automação.</t>
      </text>
    </comment>
    <comment ref="M1893" authorId="0" shapeId="0">
      <text>
        <t>Em branco herda a base escolhida. Sem base, preencha os campos próprios. Texto não é automação.</t>
      </text>
    </comment>
    <comment ref="B1894" authorId="0" shapeId="0">
      <text>
        <t>Em branco herda a base escolhida. Sem base, preencha os campos próprios. Texto não é automação.</t>
      </text>
    </comment>
    <comment ref="E1894" authorId="0" shapeId="0">
      <text>
        <t>Em branco herda a base escolhida. Sem base, preencha os campos próprios. Texto não é automação.</t>
      </text>
    </comment>
    <comment ref="J1894" authorId="0" shapeId="0">
      <text>
        <t>Em branco herda a base escolhida. Sem base, preencha os campos próprios. Texto não é automação.</t>
      </text>
    </comment>
    <comment ref="M1894" authorId="0" shapeId="0">
      <text>
        <t>Em branco herda a base escolhida. Sem base, preencha os campos próprios. Texto não é automação.</t>
      </text>
    </comment>
    <comment ref="B1895" authorId="0" shapeId="0">
      <text>
        <t>Em branco herda a base escolhida. Sem base, preencha os campos próprios. Texto não é automação.</t>
      </text>
    </comment>
    <comment ref="E1895" authorId="0" shapeId="0">
      <text>
        <t>Em branco herda a base escolhida. Sem base, preencha os campos próprios. Texto não é automação.</t>
      </text>
    </comment>
    <comment ref="J1895" authorId="0" shapeId="0">
      <text>
        <t>Em branco herda a base escolhida. Sem base, preencha os campos próprios. Texto não é automação.</t>
      </text>
    </comment>
    <comment ref="M1895" authorId="0" shapeId="0">
      <text>
        <t>Em branco herda a base escolhida. Sem base, preencha os campos próprios. Texto não é automação.</t>
      </text>
    </comment>
    <comment ref="B1896" authorId="0" shapeId="0">
      <text>
        <t>Em branco herda a base escolhida. Sem base, preencha os campos próprios. Texto não é automação.</t>
      </text>
    </comment>
    <comment ref="E1896" authorId="0" shapeId="0">
      <text>
        <t>Em branco herda a base escolhida. Sem base, preencha os campos próprios. Texto não é automação.</t>
      </text>
    </comment>
    <comment ref="J1896" authorId="0" shapeId="0">
      <text>
        <t>Em branco herda a base escolhida. Sem base, preencha os campos próprios. Texto não é automação.</t>
      </text>
    </comment>
    <comment ref="M1896" authorId="0" shapeId="0">
      <text>
        <t>Em branco herda a base escolhida. Sem base, preencha os campos próprios. Texto não é automação.</t>
      </text>
    </comment>
    <comment ref="B1897" authorId="0" shapeId="0">
      <text>
        <t>Em branco herda a base escolhida. Sem base, preencha os campos próprios. Texto não é automação.</t>
      </text>
    </comment>
    <comment ref="E1897" authorId="0" shapeId="0">
      <text>
        <t>Em branco herda a base escolhida. Sem base, preencha os campos próprios. Texto não é automação.</t>
      </text>
    </comment>
    <comment ref="J1897" authorId="0" shapeId="0">
      <text>
        <t>Em branco herda a base escolhida. Sem base, preencha os campos próprios. Texto não é automação.</t>
      </text>
    </comment>
    <comment ref="M1897" authorId="0" shapeId="0">
      <text>
        <t>Em branco herda a base escolhida. Sem base, preencha os campos próprios. Texto não é automação.</t>
      </text>
    </comment>
    <comment ref="B1898" authorId="0" shapeId="0">
      <text>
        <t>Em branco herda a base escolhida. Sem base, preencha os campos próprios. Texto não é automação.</t>
      </text>
    </comment>
    <comment ref="E1898" authorId="0" shapeId="0">
      <text>
        <t>Em branco herda a base escolhida. Sem base, preencha os campos próprios. Texto não é automação.</t>
      </text>
    </comment>
    <comment ref="J1898" authorId="0" shapeId="0">
      <text>
        <t>Em branco herda a base escolhida. Sem base, preencha os campos próprios. Texto não é automação.</t>
      </text>
    </comment>
    <comment ref="M1898" authorId="0" shapeId="0">
      <text>
        <t>Em branco herda a base escolhida. Sem base, preencha os campos próprios. Texto não é automação.</t>
      </text>
    </comment>
    <comment ref="B1899" authorId="0" shapeId="0">
      <text>
        <t>Em branco herda a base escolhida. Sem base, preencha os campos próprios. Texto não é automação.</t>
      </text>
    </comment>
    <comment ref="E1899" authorId="0" shapeId="0">
      <text>
        <t>Em branco herda a base escolhida. Sem base, preencha os campos próprios. Texto não é automação.</t>
      </text>
    </comment>
    <comment ref="J1899" authorId="0" shapeId="0">
      <text>
        <t>Em branco herda a base escolhida. Sem base, preencha os campos próprios. Texto não é automação.</t>
      </text>
    </comment>
    <comment ref="M1899" authorId="0" shapeId="0">
      <text>
        <t>Em branco herda a base escolhida. Sem base, preencha os campos próprios. Texto não é automação.</t>
      </text>
    </comment>
    <comment ref="B1900" authorId="0" shapeId="0">
      <text>
        <t>Em branco herda a base escolhida. Sem base, preencha os campos próprios. Texto não é automação.</t>
      </text>
    </comment>
    <comment ref="E1900" authorId="0" shapeId="0">
      <text>
        <t>Em branco herda a base escolhida. Sem base, preencha os campos próprios. Texto não é automação.</t>
      </text>
    </comment>
    <comment ref="J1900" authorId="0" shapeId="0">
      <text>
        <t>Em branco herda a base escolhida. Sem base, preencha os campos próprios. Texto não é automação.</t>
      </text>
    </comment>
    <comment ref="M1900" authorId="0" shapeId="0">
      <text>
        <t>Em branco herda a base escolhida. Sem base, preencha os campos próprios. Texto não é automação.</t>
      </text>
    </comment>
    <comment ref="B1901" authorId="0" shapeId="0">
      <text>
        <t>Em branco herda a base escolhida. Sem base, preencha os campos próprios. Texto não é automação.</t>
      </text>
    </comment>
    <comment ref="E1901" authorId="0" shapeId="0">
      <text>
        <t>Em branco herda a base escolhida. Sem base, preencha os campos próprios. Texto não é automação.</t>
      </text>
    </comment>
    <comment ref="J1901" authorId="0" shapeId="0">
      <text>
        <t>Em branco herda a base escolhida. Sem base, preencha os campos próprios. Texto não é automação.</t>
      </text>
    </comment>
    <comment ref="M1901" authorId="0" shapeId="0">
      <text>
        <t>Em branco herda a base escolhida. Sem base, preencha os campos próprios. Texto não é automação.</t>
      </text>
    </comment>
    <comment ref="B1902" authorId="0" shapeId="0">
      <text>
        <t>Em branco herda a base escolhida. Sem base, preencha os campos próprios. Texto não é automação.</t>
      </text>
    </comment>
    <comment ref="E1902" authorId="0" shapeId="0">
      <text>
        <t>Em branco herda a base escolhida. Sem base, preencha os campos próprios. Texto não é automação.</t>
      </text>
    </comment>
    <comment ref="J1902" authorId="0" shapeId="0">
      <text>
        <t>Em branco herda a base escolhida. Sem base, preencha os campos próprios. Texto não é automação.</t>
      </text>
    </comment>
    <comment ref="M1902" authorId="0" shapeId="0">
      <text>
        <t>Em branco herda a base escolhida. Sem base, preencha os campos próprios. Texto não é automação.</t>
      </text>
    </comment>
    <comment ref="B1903" authorId="0" shapeId="0">
      <text>
        <t>Em branco herda a base escolhida. Sem base, preencha os campos próprios. Texto não é automação.</t>
      </text>
    </comment>
    <comment ref="E1903" authorId="0" shapeId="0">
      <text>
        <t>Em branco herda a base escolhida. Sem base, preencha os campos próprios. Texto não é automação.</t>
      </text>
    </comment>
    <comment ref="J1903" authorId="0" shapeId="0">
      <text>
        <t>Em branco herda a base escolhida. Sem base, preencha os campos próprios. Texto não é automação.</t>
      </text>
    </comment>
    <comment ref="M1903" authorId="0" shapeId="0">
      <text>
        <t>Em branco herda a base escolhida. Sem base, preencha os campos próprios. Texto não é automação.</t>
      </text>
    </comment>
    <comment ref="B1904" authorId="0" shapeId="0">
      <text>
        <t>Em branco herda a base escolhida. Sem base, preencha os campos próprios. Texto não é automação.</t>
      </text>
    </comment>
    <comment ref="E1904" authorId="0" shapeId="0">
      <text>
        <t>Em branco herda a base escolhida. Sem base, preencha os campos próprios. Texto não é automação.</t>
      </text>
    </comment>
    <comment ref="J1904" authorId="0" shapeId="0">
      <text>
        <t>Em branco herda a base escolhida. Sem base, preencha os campos próprios. Texto não é automação.</t>
      </text>
    </comment>
    <comment ref="M1904" authorId="0" shapeId="0">
      <text>
        <t>Em branco herda a base escolhida. Sem base, preencha os campos próprios. Texto não é automação.</t>
      </text>
    </comment>
    <comment ref="B1905" authorId="0" shapeId="0">
      <text>
        <t>Em branco herda a base escolhida. Sem base, preencha os campos próprios. Texto não é automação.</t>
      </text>
    </comment>
    <comment ref="E1905" authorId="0" shapeId="0">
      <text>
        <t>Em branco herda a base escolhida. Sem base, preencha os campos próprios. Texto não é automação.</t>
      </text>
    </comment>
    <comment ref="J1905" authorId="0" shapeId="0">
      <text>
        <t>Em branco herda a base escolhida. Sem base, preencha os campos próprios. Texto não é automação.</t>
      </text>
    </comment>
    <comment ref="M1905" authorId="0" shapeId="0">
      <text>
        <t>Em branco herda a base escolhida. Sem base, preencha os campos próprios. Texto não é automação.</t>
      </text>
    </comment>
    <comment ref="B1906" authorId="0" shapeId="0">
      <text>
        <t>Em branco herda a base escolhida. Sem base, preencha os campos próprios. Texto não é automação.</t>
      </text>
    </comment>
    <comment ref="E1906" authorId="0" shapeId="0">
      <text>
        <t>Em branco herda a base escolhida. Sem base, preencha os campos próprios. Texto não é automação.</t>
      </text>
    </comment>
    <comment ref="J1906" authorId="0" shapeId="0">
      <text>
        <t>Em branco herda a base escolhida. Sem base, preencha os campos próprios. Texto não é automação.</t>
      </text>
    </comment>
    <comment ref="M1906" authorId="0" shapeId="0">
      <text>
        <t>Em branco herda a base escolhida. Sem base, preencha os campos próprios. Texto não é automação.</t>
      </text>
    </comment>
    <comment ref="B1907" authorId="0" shapeId="0">
      <text>
        <t>Em branco herda a base escolhida. Sem base, preencha os campos próprios. Texto não é automação.</t>
      </text>
    </comment>
    <comment ref="E1907" authorId="0" shapeId="0">
      <text>
        <t>Em branco herda a base escolhida. Sem base, preencha os campos próprios. Texto não é automação.</t>
      </text>
    </comment>
    <comment ref="J1907" authorId="0" shapeId="0">
      <text>
        <t>Em branco herda a base escolhida. Sem base, preencha os campos próprios. Texto não é automação.</t>
      </text>
    </comment>
    <comment ref="M1907" authorId="0" shapeId="0">
      <text>
        <t>Em branco herda a base escolhida. Sem base, preencha os campos próprios. Texto não é automação.</t>
      </text>
    </comment>
    <comment ref="B1908" authorId="0" shapeId="0">
      <text>
        <t>Em branco herda a base escolhida. Sem base, preencha os campos próprios. Texto não é automação.</t>
      </text>
    </comment>
    <comment ref="E1908" authorId="0" shapeId="0">
      <text>
        <t>Em branco herda a base escolhida. Sem base, preencha os campos próprios. Texto não é automação.</t>
      </text>
    </comment>
    <comment ref="J1908" authorId="0" shapeId="0">
      <text>
        <t>Em branco herda a base escolhida. Sem base, preencha os campos próprios. Texto não é automação.</t>
      </text>
    </comment>
    <comment ref="M1908" authorId="0" shapeId="0">
      <text>
        <t>Em branco herda a base escolhida. Sem base, preencha os campos próprios. Texto não é automação.</t>
      </text>
    </comment>
    <comment ref="B1910" authorId="0" shapeId="0">
      <text>
        <t>Em branco herda a base escolhida. Sem base, preencha os campos próprios. Texto não é automação.</t>
      </text>
    </comment>
    <comment ref="J1910" authorId="0" shapeId="0">
      <text>
        <t>Em branco herda a base escolhida. Sem base, preencha os campos próprios. Texto não é automação.</t>
      </text>
    </comment>
    <comment ref="B1911" authorId="0" shapeId="0">
      <text>
        <t>Em branco herda a base escolhida. Sem base, preencha os campos próprios. Texto não é automação.</t>
      </text>
    </comment>
    <comment ref="J1911" authorId="0" shapeId="0">
      <text>
        <t>Em branco herda a base escolhida. Sem base, preencha os campos próprios. Texto não é automação.</t>
      </text>
    </comment>
    <comment ref="B1916" authorId="0" shapeId="0">
      <text>
        <t>Em branco herda a base escolhida. Sem base, preencha os campos próprios. Texto não é automação.</t>
      </text>
    </comment>
    <comment ref="J1916" authorId="0" shapeId="0">
      <text>
        <t>Em branco herda a base escolhida. Sem base, preencha os campos próprios. Texto não é automação.</t>
      </text>
    </comment>
    <comment ref="B1917" authorId="0" shapeId="0">
      <text>
        <t>Em branco herda a base escolhida. Sem base, preencha os campos próprios. Texto não é automação.</t>
      </text>
    </comment>
    <comment ref="J1917" authorId="0" shapeId="0">
      <text>
        <t>Em branco herda a base escolhida. Sem base, preencha os campos próprios. Texto não é automação.</t>
      </text>
    </comment>
    <comment ref="B1923" authorId="0" shapeId="0">
      <text>
        <t>Avisos do cadastro. Inválidos permanecem exportados e saem dos menus.</t>
      </text>
    </comment>
    <comment ref="J1923" authorId="0" shapeId="0">
      <text>
        <t>Avisos do cadastro. Inválidos permanecem exportados e saem dos menus.</t>
      </text>
    </comment>
    <comment ref="B1926" authorId="0" shapeId="0">
      <text>
        <t>Em branco herda a base escolhida. Sem base, preencha os campos próprios. Texto não é automação.</t>
      </text>
    </comment>
    <comment ref="J1926" authorId="0" shapeId="0">
      <text>
        <t>Em branco herda a base escolhida. Sem base, preencha os campos próprios. Texto não é automação.</t>
      </text>
    </comment>
    <comment ref="B1927" authorId="0" shapeId="0">
      <text>
        <t>Em branco herda a base escolhida. Sem base, preencha os campos próprios. Texto não é automação.</t>
      </text>
    </comment>
    <comment ref="F1927" authorId="0" shapeId="0">
      <text>
        <t>Em branco herda a base escolhida. Sem base, preencha os campos próprios. Texto não é automação.</t>
      </text>
    </comment>
    <comment ref="J1927" authorId="0" shapeId="0">
      <text>
        <t>Em branco herda a base escolhida. Sem base, preencha os campos próprios. Texto não é automação.</t>
      </text>
    </comment>
    <comment ref="N1927" authorId="0" shapeId="0">
      <text>
        <t>Em branco herda a base escolhida. Sem base, preencha os campos próprios. Texto não é automação.</t>
      </text>
    </comment>
    <comment ref="B1928" authorId="0" shapeId="0">
      <text>
        <t>Em branco herda a base escolhida. Sem base, preencha os campos próprios. Texto não é automação.</t>
      </text>
    </comment>
    <comment ref="F1928" authorId="0" shapeId="0">
      <text>
        <t>Lembrete. Aprovação pertence ao bot no chat.</t>
      </text>
    </comment>
    <comment ref="J1928" authorId="0" shapeId="0">
      <text>
        <t>Em branco herda a base escolhida. Sem base, preencha os campos próprios. Texto não é automação.</t>
      </text>
    </comment>
    <comment ref="N1928" authorId="0" shapeId="0">
      <text>
        <t>Lembrete. Aprovação pertence ao bot no chat.</t>
      </text>
    </comment>
    <comment ref="B1929" authorId="0" shapeId="0">
      <text>
        <t>Em branco herda a base escolhida. Sem base, preencha os campos próprios. Texto não é automação.</t>
      </text>
    </comment>
    <comment ref="J1929" authorId="0" shapeId="0">
      <text>
        <t>Em branco herda a base escolhida. Sem base, preencha os campos próprios. Texto não é automação.</t>
      </text>
    </comment>
    <comment ref="B1930" authorId="0" shapeId="0">
      <text>
        <t>Em branco herda a base escolhida. Sem base, preencha os campos próprios. Texto não é automação.</t>
      </text>
    </comment>
    <comment ref="J1930" authorId="0" shapeId="0">
      <text>
        <t>Em branco herda a base escolhida. Sem base, preencha os campos próprios. Texto não é automação.</t>
      </text>
    </comment>
    <comment ref="B1931" authorId="0" shapeId="0">
      <text>
        <t>Em branco herda a base escolhida. Sem base, preencha os campos próprios. Texto não é automação.</t>
      </text>
    </comment>
    <comment ref="E1931" authorId="0" shapeId="0">
      <text>
        <t>Em branco herda a base escolhida. Sem base, preencha os campos próprios. Texto não é automação.</t>
      </text>
    </comment>
    <comment ref="J1931" authorId="0" shapeId="0">
      <text>
        <t>Em branco herda a base escolhida. Sem base, preencha os campos próprios. Texto não é automação.</t>
      </text>
    </comment>
    <comment ref="M1931" authorId="0" shapeId="0">
      <text>
        <t>Em branco herda a base escolhida. Sem base, preencha os campos próprios. Texto não é automação.</t>
      </text>
    </comment>
    <comment ref="B1932" authorId="0" shapeId="0">
      <text>
        <t>Em branco herda a base escolhida. Sem base, preencha os campos próprios. Texto não é automação.</t>
      </text>
    </comment>
    <comment ref="E1932" authorId="0" shapeId="0">
      <text>
        <t>Em branco herda a base escolhida. Sem base, preencha os campos próprios. Texto não é automação.</t>
      </text>
    </comment>
    <comment ref="J1932" authorId="0" shapeId="0">
      <text>
        <t>Em branco herda a base escolhida. Sem base, preencha os campos próprios. Texto não é automação.</t>
      </text>
    </comment>
    <comment ref="M1932" authorId="0" shapeId="0">
      <text>
        <t>Em branco herda a base escolhida. Sem base, preencha os campos próprios. Texto não é automação.</t>
      </text>
    </comment>
    <comment ref="B1933" authorId="0" shapeId="0">
      <text>
        <t>Em branco herda a base escolhida. Sem base, preencha os campos próprios. Texto não é automação.</t>
      </text>
    </comment>
    <comment ref="E1933" authorId="0" shapeId="0">
      <text>
        <t>Em branco herda a base escolhida. Sem base, preencha os campos próprios. Texto não é automação.</t>
      </text>
    </comment>
    <comment ref="J1933" authorId="0" shapeId="0">
      <text>
        <t>Em branco herda a base escolhida. Sem base, preencha os campos próprios. Texto não é automação.</t>
      </text>
    </comment>
    <comment ref="M1933" authorId="0" shapeId="0">
      <text>
        <t>Em branco herda a base escolhida. Sem base, preencha os campos próprios. Texto não é automação.</t>
      </text>
    </comment>
    <comment ref="B1934" authorId="0" shapeId="0">
      <text>
        <t>Em branco herda a base escolhida. Sem base, preencha os campos próprios. Texto não é automação.</t>
      </text>
    </comment>
    <comment ref="E1934" authorId="0" shapeId="0">
      <text>
        <t>Em branco herda a base escolhida. Sem base, preencha os campos próprios. Texto não é automação.</t>
      </text>
    </comment>
    <comment ref="J1934" authorId="0" shapeId="0">
      <text>
        <t>Em branco herda a base escolhida. Sem base, preencha os campos próprios. Texto não é automação.</t>
      </text>
    </comment>
    <comment ref="M1934" authorId="0" shapeId="0">
      <text>
        <t>Em branco herda a base escolhida. Sem base, preencha os campos próprios. Texto não é automação.</t>
      </text>
    </comment>
    <comment ref="B1935" authorId="0" shapeId="0">
      <text>
        <t>Em branco herda a base escolhida. Sem base, preencha os campos próprios. Texto não é automação.</t>
      </text>
    </comment>
    <comment ref="E1935" authorId="0" shapeId="0">
      <text>
        <t>Em branco herda a base escolhida. Sem base, preencha os campos próprios. Texto não é automação.</t>
      </text>
    </comment>
    <comment ref="J1935" authorId="0" shapeId="0">
      <text>
        <t>Em branco herda a base escolhida. Sem base, preencha os campos próprios. Texto não é automação.</t>
      </text>
    </comment>
    <comment ref="M1935" authorId="0" shapeId="0">
      <text>
        <t>Em branco herda a base escolhida. Sem base, preencha os campos próprios. Texto não é automação.</t>
      </text>
    </comment>
    <comment ref="B1936" authorId="0" shapeId="0">
      <text>
        <t>Em branco herda a base escolhida. Sem base, preencha os campos próprios. Texto não é automação.</t>
      </text>
    </comment>
    <comment ref="E1936" authorId="0" shapeId="0">
      <text>
        <t>Em branco herda a base escolhida. Sem base, preencha os campos próprios. Texto não é automação.</t>
      </text>
    </comment>
    <comment ref="J1936" authorId="0" shapeId="0">
      <text>
        <t>Em branco herda a base escolhida. Sem base, preencha os campos próprios. Texto não é automação.</t>
      </text>
    </comment>
    <comment ref="M1936" authorId="0" shapeId="0">
      <text>
        <t>Em branco herda a base escolhida. Sem base, preencha os campos próprios. Texto não é automação.</t>
      </text>
    </comment>
    <comment ref="B1937" authorId="0" shapeId="0">
      <text>
        <t>Em branco herda a base escolhida. Sem base, preencha os campos próprios. Texto não é automação.</t>
      </text>
    </comment>
    <comment ref="E1937" authorId="0" shapeId="0">
      <text>
        <t>Em branco herda a base escolhida. Sem base, preencha os campos próprios. Texto não é automação.</t>
      </text>
    </comment>
    <comment ref="J1937" authorId="0" shapeId="0">
      <text>
        <t>Em branco herda a base escolhida. Sem base, preencha os campos próprios. Texto não é automação.</t>
      </text>
    </comment>
    <comment ref="M1937" authorId="0" shapeId="0">
      <text>
        <t>Em branco herda a base escolhida. Sem base, preencha os campos próprios. Texto não é automação.</t>
      </text>
    </comment>
    <comment ref="B1938" authorId="0" shapeId="0">
      <text>
        <t>Em branco herda a base escolhida. Sem base, preencha os campos próprios. Texto não é automação.</t>
      </text>
    </comment>
    <comment ref="E1938" authorId="0" shapeId="0">
      <text>
        <t>Em branco herda a base escolhida. Sem base, preencha os campos próprios. Texto não é automação.</t>
      </text>
    </comment>
    <comment ref="J1938" authorId="0" shapeId="0">
      <text>
        <t>Em branco herda a base escolhida. Sem base, preencha os campos próprios. Texto não é automação.</t>
      </text>
    </comment>
    <comment ref="M1938" authorId="0" shapeId="0">
      <text>
        <t>Em branco herda a base escolhida. Sem base, preencha os campos próprios. Texto não é automação.</t>
      </text>
    </comment>
    <comment ref="B1939" authorId="0" shapeId="0">
      <text>
        <t>Em branco herda a base escolhida. Sem base, preencha os campos próprios. Texto não é automação.</t>
      </text>
    </comment>
    <comment ref="E1939" authorId="0" shapeId="0">
      <text>
        <t>Em branco herda a base escolhida. Sem base, preencha os campos próprios. Texto não é automação.</t>
      </text>
    </comment>
    <comment ref="J1939" authorId="0" shapeId="0">
      <text>
        <t>Em branco herda a base escolhida. Sem base, preencha os campos próprios. Texto não é automação.</t>
      </text>
    </comment>
    <comment ref="M1939" authorId="0" shapeId="0">
      <text>
        <t>Em branco herda a base escolhida. Sem base, preencha os campos próprios. Texto não é automação.</t>
      </text>
    </comment>
    <comment ref="B1940" authorId="0" shapeId="0">
      <text>
        <t>Em branco herda a base escolhida. Sem base, preencha os campos próprios. Texto não é automação.</t>
      </text>
    </comment>
    <comment ref="E1940" authorId="0" shapeId="0">
      <text>
        <t>Em branco herda a base escolhida. Sem base, preencha os campos próprios. Texto não é automação.</t>
      </text>
    </comment>
    <comment ref="J1940" authorId="0" shapeId="0">
      <text>
        <t>Em branco herda a base escolhida. Sem base, preencha os campos próprios. Texto não é automação.</t>
      </text>
    </comment>
    <comment ref="M1940" authorId="0" shapeId="0">
      <text>
        <t>Em branco herda a base escolhida. Sem base, preencha os campos próprios. Texto não é automação.</t>
      </text>
    </comment>
    <comment ref="B1941" authorId="0" shapeId="0">
      <text>
        <t>Em branco herda a base escolhida. Sem base, preencha os campos próprios. Texto não é automação.</t>
      </text>
    </comment>
    <comment ref="E1941" authorId="0" shapeId="0">
      <text>
        <t>Em branco herda a base escolhida. Sem base, preencha os campos próprios. Texto não é automação.</t>
      </text>
    </comment>
    <comment ref="J1941" authorId="0" shapeId="0">
      <text>
        <t>Em branco herda a base escolhida. Sem base, preencha os campos próprios. Texto não é automação.</t>
      </text>
    </comment>
    <comment ref="M1941" authorId="0" shapeId="0">
      <text>
        <t>Em branco herda a base escolhida. Sem base, preencha os campos próprios. Texto não é automação.</t>
      </text>
    </comment>
    <comment ref="B1942" authorId="0" shapeId="0">
      <text>
        <t>Em branco herda a base escolhida. Sem base, preencha os campos próprios. Texto não é automação.</t>
      </text>
    </comment>
    <comment ref="E1942" authorId="0" shapeId="0">
      <text>
        <t>Em branco herda a base escolhida. Sem base, preencha os campos próprios. Texto não é automação.</t>
      </text>
    </comment>
    <comment ref="J1942" authorId="0" shapeId="0">
      <text>
        <t>Em branco herda a base escolhida. Sem base, preencha os campos próprios. Texto não é automação.</t>
      </text>
    </comment>
    <comment ref="M1942" authorId="0" shapeId="0">
      <text>
        <t>Em branco herda a base escolhida. Sem base, preencha os campos próprios. Texto não é automação.</t>
      </text>
    </comment>
    <comment ref="B1943" authorId="0" shapeId="0">
      <text>
        <t>Em branco herda a base escolhida. Sem base, preencha os campos próprios. Texto não é automação.</t>
      </text>
    </comment>
    <comment ref="E1943" authorId="0" shapeId="0">
      <text>
        <t>Em branco herda a base escolhida. Sem base, preencha os campos próprios. Texto não é automação.</t>
      </text>
    </comment>
    <comment ref="J1943" authorId="0" shapeId="0">
      <text>
        <t>Em branco herda a base escolhida. Sem base, preencha os campos próprios. Texto não é automação.</t>
      </text>
    </comment>
    <comment ref="M1943" authorId="0" shapeId="0">
      <text>
        <t>Em branco herda a base escolhida. Sem base, preencha os campos próprios. Texto não é automação.</t>
      </text>
    </comment>
    <comment ref="B1944" authorId="0" shapeId="0">
      <text>
        <t>Em branco herda a base escolhida. Sem base, preencha os campos próprios. Texto não é automação.</t>
      </text>
    </comment>
    <comment ref="E1944" authorId="0" shapeId="0">
      <text>
        <t>Em branco herda a base escolhida. Sem base, preencha os campos próprios. Texto não é automação.</t>
      </text>
    </comment>
    <comment ref="J1944" authorId="0" shapeId="0">
      <text>
        <t>Em branco herda a base escolhida. Sem base, preencha os campos próprios. Texto não é automação.</t>
      </text>
    </comment>
    <comment ref="M1944" authorId="0" shapeId="0">
      <text>
        <t>Em branco herda a base escolhida. Sem base, preencha os campos próprios. Texto não é automação.</t>
      </text>
    </comment>
    <comment ref="B1945" authorId="0" shapeId="0">
      <text>
        <t>Em branco herda a base escolhida. Sem base, preencha os campos próprios. Texto não é automação.</t>
      </text>
    </comment>
    <comment ref="E1945" authorId="0" shapeId="0">
      <text>
        <t>Em branco herda a base escolhida. Sem base, preencha os campos próprios. Texto não é automação.</t>
      </text>
    </comment>
    <comment ref="J1945" authorId="0" shapeId="0">
      <text>
        <t>Em branco herda a base escolhida. Sem base, preencha os campos próprios. Texto não é automação.</t>
      </text>
    </comment>
    <comment ref="M1945" authorId="0" shapeId="0">
      <text>
        <t>Em branco herda a base escolhida. Sem base, preencha os campos próprios. Texto não é automação.</t>
      </text>
    </comment>
    <comment ref="B1946" authorId="0" shapeId="0">
      <text>
        <t>Em branco herda a base escolhida. Sem base, preencha os campos próprios. Texto não é automação.</t>
      </text>
    </comment>
    <comment ref="E1946" authorId="0" shapeId="0">
      <text>
        <t>Em branco herda a base escolhida. Sem base, preencha os campos próprios. Texto não é automação.</t>
      </text>
    </comment>
    <comment ref="J1946" authorId="0" shapeId="0">
      <text>
        <t>Em branco herda a base escolhida. Sem base, preencha os campos próprios. Texto não é automação.</t>
      </text>
    </comment>
    <comment ref="M1946" authorId="0" shapeId="0">
      <text>
        <t>Em branco herda a base escolhida. Sem base, preencha os campos próprios. Texto não é automação.</t>
      </text>
    </comment>
    <comment ref="B1947" authorId="0" shapeId="0">
      <text>
        <t>Em branco herda a base escolhida. Sem base, preencha os campos próprios. Texto não é automação.</t>
      </text>
    </comment>
    <comment ref="E1947" authorId="0" shapeId="0">
      <text>
        <t>Em branco herda a base escolhida. Sem base, preencha os campos próprios. Texto não é automação.</t>
      </text>
    </comment>
    <comment ref="J1947" authorId="0" shapeId="0">
      <text>
        <t>Em branco herda a base escolhida. Sem base, preencha os campos próprios. Texto não é automação.</t>
      </text>
    </comment>
    <comment ref="M1947" authorId="0" shapeId="0">
      <text>
        <t>Em branco herda a base escolhida. Sem base, preencha os campos próprios. Texto não é automação.</t>
      </text>
    </comment>
    <comment ref="B1948" authorId="0" shapeId="0">
      <text>
        <t>Em branco herda a base escolhida. Sem base, preencha os campos próprios. Texto não é automação.</t>
      </text>
    </comment>
    <comment ref="E1948" authorId="0" shapeId="0">
      <text>
        <t>Em branco herda a base escolhida. Sem base, preencha os campos próprios. Texto não é automação.</t>
      </text>
    </comment>
    <comment ref="J1948" authorId="0" shapeId="0">
      <text>
        <t>Em branco herda a base escolhida. Sem base, preencha os campos próprios. Texto não é automação.</t>
      </text>
    </comment>
    <comment ref="M1948" authorId="0" shapeId="0">
      <text>
        <t>Em branco herda a base escolhida. Sem base, preencha os campos próprios. Texto não é automação.</t>
      </text>
    </comment>
    <comment ref="B1949" authorId="0" shapeId="0">
      <text>
        <t>Em branco herda a base escolhida. Sem base, preencha os campos próprios. Texto não é automação.</t>
      </text>
    </comment>
    <comment ref="E1949" authorId="0" shapeId="0">
      <text>
        <t>Em branco herda a base escolhida. Sem base, preencha os campos próprios. Texto não é automação.</t>
      </text>
    </comment>
    <comment ref="J1949" authorId="0" shapeId="0">
      <text>
        <t>Em branco herda a base escolhida. Sem base, preencha os campos próprios. Texto não é automação.</t>
      </text>
    </comment>
    <comment ref="M1949" authorId="0" shapeId="0">
      <text>
        <t>Em branco herda a base escolhida. Sem base, preencha os campos próprios. Texto não é automação.</t>
      </text>
    </comment>
    <comment ref="B1950" authorId="0" shapeId="0">
      <text>
        <t>Em branco herda a base escolhida. Sem base, preencha os campos próprios. Texto não é automação.</t>
      </text>
    </comment>
    <comment ref="E1950" authorId="0" shapeId="0">
      <text>
        <t>Em branco herda a base escolhida. Sem base, preencha os campos próprios. Texto não é automação.</t>
      </text>
    </comment>
    <comment ref="J1950" authorId="0" shapeId="0">
      <text>
        <t>Em branco herda a base escolhida. Sem base, preencha os campos próprios. Texto não é automação.</t>
      </text>
    </comment>
    <comment ref="M1950" authorId="0" shapeId="0">
      <text>
        <t>Em branco herda a base escolhida. Sem base, preencha os campos próprios. Texto não é automação.</t>
      </text>
    </comment>
    <comment ref="B1951" authorId="0" shapeId="0">
      <text>
        <t>Em branco herda a base escolhida. Sem base, preencha os campos próprios. Texto não é automação.</t>
      </text>
    </comment>
    <comment ref="E1951" authorId="0" shapeId="0">
      <text>
        <t>Em branco herda a base escolhida. Sem base, preencha os campos próprios. Texto não é automação.</t>
      </text>
    </comment>
    <comment ref="J1951" authorId="0" shapeId="0">
      <text>
        <t>Em branco herda a base escolhida. Sem base, preencha os campos próprios. Texto não é automação.</t>
      </text>
    </comment>
    <comment ref="M1951" authorId="0" shapeId="0">
      <text>
        <t>Em branco herda a base escolhida. Sem base, preencha os campos próprios. Texto não é automação.</t>
      </text>
    </comment>
    <comment ref="B1952" authorId="0" shapeId="0">
      <text>
        <t>Em branco herda a base escolhida. Sem base, preencha os campos próprios. Texto não é automação.</t>
      </text>
    </comment>
    <comment ref="E1952" authorId="0" shapeId="0">
      <text>
        <t>Em branco herda a base escolhida. Sem base, preencha os campos próprios. Texto não é automação.</t>
      </text>
    </comment>
    <comment ref="J1952" authorId="0" shapeId="0">
      <text>
        <t>Em branco herda a base escolhida. Sem base, preencha os campos próprios. Texto não é automação.</t>
      </text>
    </comment>
    <comment ref="M1952" authorId="0" shapeId="0">
      <text>
        <t>Em branco herda a base escolhida. Sem base, preencha os campos próprios. Texto não é automação.</t>
      </text>
    </comment>
    <comment ref="B1953" authorId="0" shapeId="0">
      <text>
        <t>Em branco herda a base escolhida. Sem base, preencha os campos próprios. Texto não é automação.</t>
      </text>
    </comment>
    <comment ref="E1953" authorId="0" shapeId="0">
      <text>
        <t>Em branco herda a base escolhida. Sem base, preencha os campos próprios. Texto não é automação.</t>
      </text>
    </comment>
    <comment ref="J1953" authorId="0" shapeId="0">
      <text>
        <t>Em branco herda a base escolhida. Sem base, preencha os campos próprios. Texto não é automação.</t>
      </text>
    </comment>
    <comment ref="M1953" authorId="0" shapeId="0">
      <text>
        <t>Em branco herda a base escolhida. Sem base, preencha os campos próprios. Texto não é automação.</t>
      </text>
    </comment>
    <comment ref="B1954" authorId="0" shapeId="0">
      <text>
        <t>Em branco herda a base escolhida. Sem base, preencha os campos próprios. Texto não é automação.</t>
      </text>
    </comment>
    <comment ref="E1954" authorId="0" shapeId="0">
      <text>
        <t>Em branco herda a base escolhida. Sem base, preencha os campos próprios. Texto não é automação.</t>
      </text>
    </comment>
    <comment ref="J1954" authorId="0" shapeId="0">
      <text>
        <t>Em branco herda a base escolhida. Sem base, preencha os campos próprios. Texto não é automação.</t>
      </text>
    </comment>
    <comment ref="M1954" authorId="0" shapeId="0">
      <text>
        <t>Em branco herda a base escolhida. Sem base, preencha os campos próprios. Texto não é automação.</t>
      </text>
    </comment>
    <comment ref="B1956" authorId="0" shapeId="0">
      <text>
        <t>Em branco herda a base escolhida. Sem base, preencha os campos próprios. Texto não é automação.</t>
      </text>
    </comment>
    <comment ref="J1956" authorId="0" shapeId="0">
      <text>
        <t>Em branco herda a base escolhida. Sem base, preencha os campos próprios. Texto não é automação.</t>
      </text>
    </comment>
    <comment ref="B1957" authorId="0" shapeId="0">
      <text>
        <t>Em branco herda a base escolhida. Sem base, preencha os campos próprios. Texto não é automação.</t>
      </text>
    </comment>
    <comment ref="J1957" authorId="0" shapeId="0">
      <text>
        <t>Em branco herda a base escolhida. Sem base, preencha os campos próprios. Texto não é automação.</t>
      </text>
    </comment>
    <comment ref="B1962" authorId="0" shapeId="0">
      <text>
        <t>Em branco herda a base escolhida. Sem base, preencha os campos próprios. Texto não é automação.</t>
      </text>
    </comment>
    <comment ref="J1962" authorId="0" shapeId="0">
      <text>
        <t>Em branco herda a base escolhida. Sem base, preencha os campos próprios. Texto não é automação.</t>
      </text>
    </comment>
    <comment ref="B1963" authorId="0" shapeId="0">
      <text>
        <t>Em branco herda a base escolhida. Sem base, preencha os campos próprios. Texto não é automação.</t>
      </text>
    </comment>
    <comment ref="J1963" authorId="0" shapeId="0">
      <text>
        <t>Em branco herda a base escolhida. Sem base, preencha os campos próprios. Texto não é automação.</t>
      </text>
    </comment>
    <comment ref="B1969" authorId="0" shapeId="0">
      <text>
        <t>Avisos do cadastro. Inválidos permanecem exportados e saem dos menus.</t>
      </text>
    </comment>
    <comment ref="J1969" authorId="0" shapeId="0">
      <text>
        <t>Avisos do cadastro. Inválidos permanecem exportados e saem dos menus.</t>
      </text>
    </comment>
    <comment ref="B1972" authorId="0" shapeId="0">
      <text>
        <t>Em branco herda a base escolhida. Sem base, preencha os campos próprios. Texto não é automação.</t>
      </text>
    </comment>
    <comment ref="J1972" authorId="0" shapeId="0">
      <text>
        <t>Em branco herda a base escolhida. Sem base, preencha os campos próprios. Texto não é automação.</t>
      </text>
    </comment>
    <comment ref="B1973" authorId="0" shapeId="0">
      <text>
        <t>Em branco herda a base escolhida. Sem base, preencha os campos próprios. Texto não é automação.</t>
      </text>
    </comment>
    <comment ref="F1973" authorId="0" shapeId="0">
      <text>
        <t>Em branco herda a base escolhida. Sem base, preencha os campos próprios. Texto não é automação.</t>
      </text>
    </comment>
    <comment ref="J1973" authorId="0" shapeId="0">
      <text>
        <t>Em branco herda a base escolhida. Sem base, preencha os campos próprios. Texto não é automação.</t>
      </text>
    </comment>
    <comment ref="N1973" authorId="0" shapeId="0">
      <text>
        <t>Em branco herda a base escolhida. Sem base, preencha os campos próprios. Texto não é automação.</t>
      </text>
    </comment>
    <comment ref="B1974" authorId="0" shapeId="0">
      <text>
        <t>Em branco herda a base escolhida. Sem base, preencha os campos próprios. Texto não é automação.</t>
      </text>
    </comment>
    <comment ref="F1974" authorId="0" shapeId="0">
      <text>
        <t>Lembrete. Aprovação pertence ao bot no chat.</t>
      </text>
    </comment>
    <comment ref="J1974" authorId="0" shapeId="0">
      <text>
        <t>Em branco herda a base escolhida. Sem base, preencha os campos próprios. Texto não é automação.</t>
      </text>
    </comment>
    <comment ref="N1974" authorId="0" shapeId="0">
      <text>
        <t>Lembrete. Aprovação pertence ao bot no chat.</t>
      </text>
    </comment>
    <comment ref="B1975" authorId="0" shapeId="0">
      <text>
        <t>Em branco herda a base escolhida. Sem base, preencha os campos próprios. Texto não é automação.</t>
      </text>
    </comment>
    <comment ref="J1975" authorId="0" shapeId="0">
      <text>
        <t>Em branco herda a base escolhida. Sem base, preencha os campos próprios. Texto não é automação.</t>
      </text>
    </comment>
    <comment ref="B1976" authorId="0" shapeId="0">
      <text>
        <t>Em branco herda a base escolhida. Sem base, preencha os campos próprios. Texto não é automação.</t>
      </text>
    </comment>
    <comment ref="J1976" authorId="0" shapeId="0">
      <text>
        <t>Em branco herda a base escolhida. Sem base, preencha os campos próprios. Texto não é automação.</t>
      </text>
    </comment>
    <comment ref="B1977" authorId="0" shapeId="0">
      <text>
        <t>Em branco herda a base escolhida. Sem base, preencha os campos próprios. Texto não é automação.</t>
      </text>
    </comment>
    <comment ref="E1977" authorId="0" shapeId="0">
      <text>
        <t>Em branco herda a base escolhida. Sem base, preencha os campos próprios. Texto não é automação.</t>
      </text>
    </comment>
    <comment ref="J1977" authorId="0" shapeId="0">
      <text>
        <t>Em branco herda a base escolhida. Sem base, preencha os campos próprios. Texto não é automação.</t>
      </text>
    </comment>
    <comment ref="M1977" authorId="0" shapeId="0">
      <text>
        <t>Em branco herda a base escolhida. Sem base, preencha os campos próprios. Texto não é automação.</t>
      </text>
    </comment>
    <comment ref="B1978" authorId="0" shapeId="0">
      <text>
        <t>Em branco herda a base escolhida. Sem base, preencha os campos próprios. Texto não é automação.</t>
      </text>
    </comment>
    <comment ref="E1978" authorId="0" shapeId="0">
      <text>
        <t>Em branco herda a base escolhida. Sem base, preencha os campos próprios. Texto não é automação.</t>
      </text>
    </comment>
    <comment ref="J1978" authorId="0" shapeId="0">
      <text>
        <t>Em branco herda a base escolhida. Sem base, preencha os campos próprios. Texto não é automação.</t>
      </text>
    </comment>
    <comment ref="M1978" authorId="0" shapeId="0">
      <text>
        <t>Em branco herda a base escolhida. Sem base, preencha os campos próprios. Texto não é automação.</t>
      </text>
    </comment>
    <comment ref="B1979" authorId="0" shapeId="0">
      <text>
        <t>Em branco herda a base escolhida. Sem base, preencha os campos próprios. Texto não é automação.</t>
      </text>
    </comment>
    <comment ref="E1979" authorId="0" shapeId="0">
      <text>
        <t>Em branco herda a base escolhida. Sem base, preencha os campos próprios. Texto não é automação.</t>
      </text>
    </comment>
    <comment ref="J1979" authorId="0" shapeId="0">
      <text>
        <t>Em branco herda a base escolhida. Sem base, preencha os campos próprios. Texto não é automação.</t>
      </text>
    </comment>
    <comment ref="M1979" authorId="0" shapeId="0">
      <text>
        <t>Em branco herda a base escolhida. Sem base, preencha os campos próprios. Texto não é automação.</t>
      </text>
    </comment>
    <comment ref="B1980" authorId="0" shapeId="0">
      <text>
        <t>Em branco herda a base escolhida. Sem base, preencha os campos próprios. Texto não é automação.</t>
      </text>
    </comment>
    <comment ref="E1980" authorId="0" shapeId="0">
      <text>
        <t>Em branco herda a base escolhida. Sem base, preencha os campos próprios. Texto não é automação.</t>
      </text>
    </comment>
    <comment ref="J1980" authorId="0" shapeId="0">
      <text>
        <t>Em branco herda a base escolhida. Sem base, preencha os campos próprios. Texto não é automação.</t>
      </text>
    </comment>
    <comment ref="M1980" authorId="0" shapeId="0">
      <text>
        <t>Em branco herda a base escolhida. Sem base, preencha os campos próprios. Texto não é automação.</t>
      </text>
    </comment>
    <comment ref="B1981" authorId="0" shapeId="0">
      <text>
        <t>Em branco herda a base escolhida. Sem base, preencha os campos próprios. Texto não é automação.</t>
      </text>
    </comment>
    <comment ref="E1981" authorId="0" shapeId="0">
      <text>
        <t>Em branco herda a base escolhida. Sem base, preencha os campos próprios. Texto não é automação.</t>
      </text>
    </comment>
    <comment ref="J1981" authorId="0" shapeId="0">
      <text>
        <t>Em branco herda a base escolhida. Sem base, preencha os campos próprios. Texto não é automação.</t>
      </text>
    </comment>
    <comment ref="M1981" authorId="0" shapeId="0">
      <text>
        <t>Em branco herda a base escolhida. Sem base, preencha os campos próprios. Texto não é automação.</t>
      </text>
    </comment>
    <comment ref="B1982" authorId="0" shapeId="0">
      <text>
        <t>Em branco herda a base escolhida. Sem base, preencha os campos próprios. Texto não é automação.</t>
      </text>
    </comment>
    <comment ref="E1982" authorId="0" shapeId="0">
      <text>
        <t>Em branco herda a base escolhida. Sem base, preencha os campos próprios. Texto não é automação.</t>
      </text>
    </comment>
    <comment ref="J1982" authorId="0" shapeId="0">
      <text>
        <t>Em branco herda a base escolhida. Sem base, preencha os campos próprios. Texto não é automação.</t>
      </text>
    </comment>
    <comment ref="M1982" authorId="0" shapeId="0">
      <text>
        <t>Em branco herda a base escolhida. Sem base, preencha os campos próprios. Texto não é automação.</t>
      </text>
    </comment>
    <comment ref="B1983" authorId="0" shapeId="0">
      <text>
        <t>Em branco herda a base escolhida. Sem base, preencha os campos próprios. Texto não é automação.</t>
      </text>
    </comment>
    <comment ref="E1983" authorId="0" shapeId="0">
      <text>
        <t>Em branco herda a base escolhida. Sem base, preencha os campos próprios. Texto não é automação.</t>
      </text>
    </comment>
    <comment ref="J1983" authorId="0" shapeId="0">
      <text>
        <t>Em branco herda a base escolhida. Sem base, preencha os campos próprios. Texto não é automação.</t>
      </text>
    </comment>
    <comment ref="M1983" authorId="0" shapeId="0">
      <text>
        <t>Em branco herda a base escolhida. Sem base, preencha os campos próprios. Texto não é automação.</t>
      </text>
    </comment>
    <comment ref="B1984" authorId="0" shapeId="0">
      <text>
        <t>Em branco herda a base escolhida. Sem base, preencha os campos próprios. Texto não é automação.</t>
      </text>
    </comment>
    <comment ref="E1984" authorId="0" shapeId="0">
      <text>
        <t>Em branco herda a base escolhida. Sem base, preencha os campos próprios. Texto não é automação.</t>
      </text>
    </comment>
    <comment ref="J1984" authorId="0" shapeId="0">
      <text>
        <t>Em branco herda a base escolhida. Sem base, preencha os campos próprios. Texto não é automação.</t>
      </text>
    </comment>
    <comment ref="M1984" authorId="0" shapeId="0">
      <text>
        <t>Em branco herda a base escolhida. Sem base, preencha os campos próprios. Texto não é automação.</t>
      </text>
    </comment>
    <comment ref="B1985" authorId="0" shapeId="0">
      <text>
        <t>Em branco herda a base escolhida. Sem base, preencha os campos próprios. Texto não é automação.</t>
      </text>
    </comment>
    <comment ref="E1985" authorId="0" shapeId="0">
      <text>
        <t>Em branco herda a base escolhida. Sem base, preencha os campos próprios. Texto não é automação.</t>
      </text>
    </comment>
    <comment ref="J1985" authorId="0" shapeId="0">
      <text>
        <t>Em branco herda a base escolhida. Sem base, preencha os campos próprios. Texto não é automação.</t>
      </text>
    </comment>
    <comment ref="M1985" authorId="0" shapeId="0">
      <text>
        <t>Em branco herda a base escolhida. Sem base, preencha os campos próprios. Texto não é automação.</t>
      </text>
    </comment>
    <comment ref="B1986" authorId="0" shapeId="0">
      <text>
        <t>Em branco herda a base escolhida. Sem base, preencha os campos próprios. Texto não é automação.</t>
      </text>
    </comment>
    <comment ref="E1986" authorId="0" shapeId="0">
      <text>
        <t>Em branco herda a base escolhida. Sem base, preencha os campos próprios. Texto não é automação.</t>
      </text>
    </comment>
    <comment ref="J1986" authorId="0" shapeId="0">
      <text>
        <t>Em branco herda a base escolhida. Sem base, preencha os campos próprios. Texto não é automação.</t>
      </text>
    </comment>
    <comment ref="M1986" authorId="0" shapeId="0">
      <text>
        <t>Em branco herda a base escolhida. Sem base, preencha os campos próprios. Texto não é automação.</t>
      </text>
    </comment>
    <comment ref="B1987" authorId="0" shapeId="0">
      <text>
        <t>Em branco herda a base escolhida. Sem base, preencha os campos próprios. Texto não é automação.</t>
      </text>
    </comment>
    <comment ref="E1987" authorId="0" shapeId="0">
      <text>
        <t>Em branco herda a base escolhida. Sem base, preencha os campos próprios. Texto não é automação.</t>
      </text>
    </comment>
    <comment ref="J1987" authorId="0" shapeId="0">
      <text>
        <t>Em branco herda a base escolhida. Sem base, preencha os campos próprios. Texto não é automação.</t>
      </text>
    </comment>
    <comment ref="M1987" authorId="0" shapeId="0">
      <text>
        <t>Em branco herda a base escolhida. Sem base, preencha os campos próprios. Texto não é automação.</t>
      </text>
    </comment>
    <comment ref="B1988" authorId="0" shapeId="0">
      <text>
        <t>Em branco herda a base escolhida. Sem base, preencha os campos próprios. Texto não é automação.</t>
      </text>
    </comment>
    <comment ref="E1988" authorId="0" shapeId="0">
      <text>
        <t>Em branco herda a base escolhida. Sem base, preencha os campos próprios. Texto não é automação.</t>
      </text>
    </comment>
    <comment ref="J1988" authorId="0" shapeId="0">
      <text>
        <t>Em branco herda a base escolhida. Sem base, preencha os campos próprios. Texto não é automação.</t>
      </text>
    </comment>
    <comment ref="M1988" authorId="0" shapeId="0">
      <text>
        <t>Em branco herda a base escolhida. Sem base, preencha os campos próprios. Texto não é automação.</t>
      </text>
    </comment>
    <comment ref="B1989" authorId="0" shapeId="0">
      <text>
        <t>Em branco herda a base escolhida. Sem base, preencha os campos próprios. Texto não é automação.</t>
      </text>
    </comment>
    <comment ref="E1989" authorId="0" shapeId="0">
      <text>
        <t>Em branco herda a base escolhida. Sem base, preencha os campos próprios. Texto não é automação.</t>
      </text>
    </comment>
    <comment ref="J1989" authorId="0" shapeId="0">
      <text>
        <t>Em branco herda a base escolhida. Sem base, preencha os campos próprios. Texto não é automação.</t>
      </text>
    </comment>
    <comment ref="M1989" authorId="0" shapeId="0">
      <text>
        <t>Em branco herda a base escolhida. Sem base, preencha os campos próprios. Texto não é automação.</t>
      </text>
    </comment>
    <comment ref="B1990" authorId="0" shapeId="0">
      <text>
        <t>Em branco herda a base escolhida. Sem base, preencha os campos próprios. Texto não é automação.</t>
      </text>
    </comment>
    <comment ref="E1990" authorId="0" shapeId="0">
      <text>
        <t>Em branco herda a base escolhida. Sem base, preencha os campos próprios. Texto não é automação.</t>
      </text>
    </comment>
    <comment ref="J1990" authorId="0" shapeId="0">
      <text>
        <t>Em branco herda a base escolhida. Sem base, preencha os campos próprios. Texto não é automação.</t>
      </text>
    </comment>
    <comment ref="M1990" authorId="0" shapeId="0">
      <text>
        <t>Em branco herda a base escolhida. Sem base, preencha os campos próprios. Texto não é automação.</t>
      </text>
    </comment>
    <comment ref="B1991" authorId="0" shapeId="0">
      <text>
        <t>Em branco herda a base escolhida. Sem base, preencha os campos próprios. Texto não é automação.</t>
      </text>
    </comment>
    <comment ref="E1991" authorId="0" shapeId="0">
      <text>
        <t>Em branco herda a base escolhida. Sem base, preencha os campos próprios. Texto não é automação.</t>
      </text>
    </comment>
    <comment ref="J1991" authorId="0" shapeId="0">
      <text>
        <t>Em branco herda a base escolhida. Sem base, preencha os campos próprios. Texto não é automação.</t>
      </text>
    </comment>
    <comment ref="M1991" authorId="0" shapeId="0">
      <text>
        <t>Em branco herda a base escolhida. Sem base, preencha os campos próprios. Texto não é automação.</t>
      </text>
    </comment>
    <comment ref="B1992" authorId="0" shapeId="0">
      <text>
        <t>Em branco herda a base escolhida. Sem base, preencha os campos próprios. Texto não é automação.</t>
      </text>
    </comment>
    <comment ref="E1992" authorId="0" shapeId="0">
      <text>
        <t>Em branco herda a base escolhida. Sem base, preencha os campos próprios. Texto não é automação.</t>
      </text>
    </comment>
    <comment ref="J1992" authorId="0" shapeId="0">
      <text>
        <t>Em branco herda a base escolhida. Sem base, preencha os campos próprios. Texto não é automação.</t>
      </text>
    </comment>
    <comment ref="M1992" authorId="0" shapeId="0">
      <text>
        <t>Em branco herda a base escolhida. Sem base, preencha os campos próprios. Texto não é automação.</t>
      </text>
    </comment>
    <comment ref="B1993" authorId="0" shapeId="0">
      <text>
        <t>Em branco herda a base escolhida. Sem base, preencha os campos próprios. Texto não é automação.</t>
      </text>
    </comment>
    <comment ref="E1993" authorId="0" shapeId="0">
      <text>
        <t>Em branco herda a base escolhida. Sem base, preencha os campos próprios. Texto não é automação.</t>
      </text>
    </comment>
    <comment ref="J1993" authorId="0" shapeId="0">
      <text>
        <t>Em branco herda a base escolhida. Sem base, preencha os campos próprios. Texto não é automação.</t>
      </text>
    </comment>
    <comment ref="M1993" authorId="0" shapeId="0">
      <text>
        <t>Em branco herda a base escolhida. Sem base, preencha os campos próprios. Texto não é automação.</t>
      </text>
    </comment>
    <comment ref="B1994" authorId="0" shapeId="0">
      <text>
        <t>Em branco herda a base escolhida. Sem base, preencha os campos próprios. Texto não é automação.</t>
      </text>
    </comment>
    <comment ref="E1994" authorId="0" shapeId="0">
      <text>
        <t>Em branco herda a base escolhida. Sem base, preencha os campos próprios. Texto não é automação.</t>
      </text>
    </comment>
    <comment ref="J1994" authorId="0" shapeId="0">
      <text>
        <t>Em branco herda a base escolhida. Sem base, preencha os campos próprios. Texto não é automação.</t>
      </text>
    </comment>
    <comment ref="M1994" authorId="0" shapeId="0">
      <text>
        <t>Em branco herda a base escolhida. Sem base, preencha os campos próprios. Texto não é automação.</t>
      </text>
    </comment>
    <comment ref="B1995" authorId="0" shapeId="0">
      <text>
        <t>Em branco herda a base escolhida. Sem base, preencha os campos próprios. Texto não é automação.</t>
      </text>
    </comment>
    <comment ref="E1995" authorId="0" shapeId="0">
      <text>
        <t>Em branco herda a base escolhida. Sem base, preencha os campos próprios. Texto não é automação.</t>
      </text>
    </comment>
    <comment ref="J1995" authorId="0" shapeId="0">
      <text>
        <t>Em branco herda a base escolhida. Sem base, preencha os campos próprios. Texto não é automação.</t>
      </text>
    </comment>
    <comment ref="M1995" authorId="0" shapeId="0">
      <text>
        <t>Em branco herda a base escolhida. Sem base, preencha os campos próprios. Texto não é automação.</t>
      </text>
    </comment>
    <comment ref="B1996" authorId="0" shapeId="0">
      <text>
        <t>Em branco herda a base escolhida. Sem base, preencha os campos próprios. Texto não é automação.</t>
      </text>
    </comment>
    <comment ref="E1996" authorId="0" shapeId="0">
      <text>
        <t>Em branco herda a base escolhida. Sem base, preencha os campos próprios. Texto não é automação.</t>
      </text>
    </comment>
    <comment ref="J1996" authorId="0" shapeId="0">
      <text>
        <t>Em branco herda a base escolhida. Sem base, preencha os campos próprios. Texto não é automação.</t>
      </text>
    </comment>
    <comment ref="M1996" authorId="0" shapeId="0">
      <text>
        <t>Em branco herda a base escolhida. Sem base, preencha os campos próprios. Texto não é automação.</t>
      </text>
    </comment>
    <comment ref="B1997" authorId="0" shapeId="0">
      <text>
        <t>Em branco herda a base escolhida. Sem base, preencha os campos próprios. Texto não é automação.</t>
      </text>
    </comment>
    <comment ref="E1997" authorId="0" shapeId="0">
      <text>
        <t>Em branco herda a base escolhida. Sem base, preencha os campos próprios. Texto não é automação.</t>
      </text>
    </comment>
    <comment ref="J1997" authorId="0" shapeId="0">
      <text>
        <t>Em branco herda a base escolhida. Sem base, preencha os campos próprios. Texto não é automação.</t>
      </text>
    </comment>
    <comment ref="M1997" authorId="0" shapeId="0">
      <text>
        <t>Em branco herda a base escolhida. Sem base, preencha os campos próprios. Texto não é automação.</t>
      </text>
    </comment>
    <comment ref="B1998" authorId="0" shapeId="0">
      <text>
        <t>Em branco herda a base escolhida. Sem base, preencha os campos próprios. Texto não é automação.</t>
      </text>
    </comment>
    <comment ref="E1998" authorId="0" shapeId="0">
      <text>
        <t>Em branco herda a base escolhida. Sem base, preencha os campos próprios. Texto não é automação.</t>
      </text>
    </comment>
    <comment ref="J1998" authorId="0" shapeId="0">
      <text>
        <t>Em branco herda a base escolhida. Sem base, preencha os campos próprios. Texto não é automação.</t>
      </text>
    </comment>
    <comment ref="M1998" authorId="0" shapeId="0">
      <text>
        <t>Em branco herda a base escolhida. Sem base, preencha os campos próprios. Texto não é automação.</t>
      </text>
    </comment>
    <comment ref="B1999" authorId="0" shapeId="0">
      <text>
        <t>Em branco herda a base escolhida. Sem base, preencha os campos próprios. Texto não é automação.</t>
      </text>
    </comment>
    <comment ref="E1999" authorId="0" shapeId="0">
      <text>
        <t>Em branco herda a base escolhida. Sem base, preencha os campos próprios. Texto não é automação.</t>
      </text>
    </comment>
    <comment ref="J1999" authorId="0" shapeId="0">
      <text>
        <t>Em branco herda a base escolhida. Sem base, preencha os campos próprios. Texto não é automação.</t>
      </text>
    </comment>
    <comment ref="M1999" authorId="0" shapeId="0">
      <text>
        <t>Em branco herda a base escolhida. Sem base, preencha os campos próprios. Texto não é automação.</t>
      </text>
    </comment>
    <comment ref="B2000" authorId="0" shapeId="0">
      <text>
        <t>Em branco herda a base escolhida. Sem base, preencha os campos próprios. Texto não é automação.</t>
      </text>
    </comment>
    <comment ref="E2000" authorId="0" shapeId="0">
      <text>
        <t>Em branco herda a base escolhida. Sem base, preencha os campos próprios. Texto não é automação.</t>
      </text>
    </comment>
    <comment ref="J2000" authorId="0" shapeId="0">
      <text>
        <t>Em branco herda a base escolhida. Sem base, preencha os campos próprios. Texto não é automação.</t>
      </text>
    </comment>
    <comment ref="M2000" authorId="0" shapeId="0">
      <text>
        <t>Em branco herda a base escolhida. Sem base, preencha os campos próprios. Texto não é automação.</t>
      </text>
    </comment>
    <comment ref="B2002" authorId="0" shapeId="0">
      <text>
        <t>Em branco herda a base escolhida. Sem base, preencha os campos próprios. Texto não é automação.</t>
      </text>
    </comment>
    <comment ref="J2002" authorId="0" shapeId="0">
      <text>
        <t>Em branco herda a base escolhida. Sem base, preencha os campos próprios. Texto não é automação.</t>
      </text>
    </comment>
    <comment ref="B2003" authorId="0" shapeId="0">
      <text>
        <t>Em branco herda a base escolhida. Sem base, preencha os campos próprios. Texto não é automação.</t>
      </text>
    </comment>
    <comment ref="J2003" authorId="0" shapeId="0">
      <text>
        <t>Em branco herda a base escolhida. Sem base, preencha os campos próprios. Texto não é automação.</t>
      </text>
    </comment>
    <comment ref="B2008" authorId="0" shapeId="0">
      <text>
        <t>Em branco herda a base escolhida. Sem base, preencha os campos próprios. Texto não é automação.</t>
      </text>
    </comment>
    <comment ref="J2008" authorId="0" shapeId="0">
      <text>
        <t>Em branco herda a base escolhida. Sem base, preencha os campos próprios. Texto não é automação.</t>
      </text>
    </comment>
    <comment ref="B2009" authorId="0" shapeId="0">
      <text>
        <t>Em branco herda a base escolhida. Sem base, preencha os campos próprios. Texto não é automação.</t>
      </text>
    </comment>
    <comment ref="J2009" authorId="0" shapeId="0">
      <text>
        <t>Em branco herda a base escolhida. Sem base, preencha os campos próprios. Texto não é automação.</t>
      </text>
    </comment>
    <comment ref="B2015" authorId="0" shapeId="0">
      <text>
        <t>Avisos do cadastro. Inválidos permanecem exportados e saem dos menus.</t>
      </text>
    </comment>
    <comment ref="J2015" authorId="0" shapeId="0">
      <text>
        <t>Avisos do cadastro. Inválidos permanecem exportados e saem dos menus.</t>
      </text>
    </comment>
    <comment ref="B2018" authorId="0" shapeId="0">
      <text>
        <t>Em branco herda a base escolhida. Sem base, preencha os campos próprios. Texto não é automação.</t>
      </text>
    </comment>
    <comment ref="J2018" authorId="0" shapeId="0">
      <text>
        <t>Em branco herda a base escolhida. Sem base, preencha os campos próprios. Texto não é automação.</t>
      </text>
    </comment>
    <comment ref="B2019" authorId="0" shapeId="0">
      <text>
        <t>Em branco herda a base escolhida. Sem base, preencha os campos próprios. Texto não é automação.</t>
      </text>
    </comment>
    <comment ref="F2019" authorId="0" shapeId="0">
      <text>
        <t>Em branco herda a base escolhida. Sem base, preencha os campos próprios. Texto não é automação.</t>
      </text>
    </comment>
    <comment ref="J2019" authorId="0" shapeId="0">
      <text>
        <t>Em branco herda a base escolhida. Sem base, preencha os campos próprios. Texto não é automação.</t>
      </text>
    </comment>
    <comment ref="N2019" authorId="0" shapeId="0">
      <text>
        <t>Em branco herda a base escolhida. Sem base, preencha os campos próprios. Texto não é automação.</t>
      </text>
    </comment>
    <comment ref="B2020" authorId="0" shapeId="0">
      <text>
        <t>Em branco herda a base escolhida. Sem base, preencha os campos próprios. Texto não é automação.</t>
      </text>
    </comment>
    <comment ref="F2020" authorId="0" shapeId="0">
      <text>
        <t>Lembrete. Aprovação pertence ao bot no chat.</t>
      </text>
    </comment>
    <comment ref="J2020" authorId="0" shapeId="0">
      <text>
        <t>Em branco herda a base escolhida. Sem base, preencha os campos próprios. Texto não é automação.</t>
      </text>
    </comment>
    <comment ref="N2020" authorId="0" shapeId="0">
      <text>
        <t>Lembrete. Aprovação pertence ao bot no chat.</t>
      </text>
    </comment>
    <comment ref="B2021" authorId="0" shapeId="0">
      <text>
        <t>Em branco herda a base escolhida. Sem base, preencha os campos próprios. Texto não é automação.</t>
      </text>
    </comment>
    <comment ref="J2021" authorId="0" shapeId="0">
      <text>
        <t>Em branco herda a base escolhida. Sem base, preencha os campos próprios. Texto não é automação.</t>
      </text>
    </comment>
    <comment ref="B2022" authorId="0" shapeId="0">
      <text>
        <t>Em branco herda a base escolhida. Sem base, preencha os campos próprios. Texto não é automação.</t>
      </text>
    </comment>
    <comment ref="J2022" authorId="0" shapeId="0">
      <text>
        <t>Em branco herda a base escolhida. Sem base, preencha os campos próprios. Texto não é automação.</t>
      </text>
    </comment>
    <comment ref="B2023" authorId="0" shapeId="0">
      <text>
        <t>Em branco herda a base escolhida. Sem base, preencha os campos próprios. Texto não é automação.</t>
      </text>
    </comment>
    <comment ref="E2023" authorId="0" shapeId="0">
      <text>
        <t>Em branco herda a base escolhida. Sem base, preencha os campos próprios. Texto não é automação.</t>
      </text>
    </comment>
    <comment ref="J2023" authorId="0" shapeId="0">
      <text>
        <t>Em branco herda a base escolhida. Sem base, preencha os campos próprios. Texto não é automação.</t>
      </text>
    </comment>
    <comment ref="M2023" authorId="0" shapeId="0">
      <text>
        <t>Em branco herda a base escolhida. Sem base, preencha os campos próprios. Texto não é automação.</t>
      </text>
    </comment>
    <comment ref="B2024" authorId="0" shapeId="0">
      <text>
        <t>Em branco herda a base escolhida. Sem base, preencha os campos próprios. Texto não é automação.</t>
      </text>
    </comment>
    <comment ref="E2024" authorId="0" shapeId="0">
      <text>
        <t>Em branco herda a base escolhida. Sem base, preencha os campos próprios. Texto não é automação.</t>
      </text>
    </comment>
    <comment ref="J2024" authorId="0" shapeId="0">
      <text>
        <t>Em branco herda a base escolhida. Sem base, preencha os campos próprios. Texto não é automação.</t>
      </text>
    </comment>
    <comment ref="M2024" authorId="0" shapeId="0">
      <text>
        <t>Em branco herda a base escolhida. Sem base, preencha os campos próprios. Texto não é automação.</t>
      </text>
    </comment>
    <comment ref="B2025" authorId="0" shapeId="0">
      <text>
        <t>Em branco herda a base escolhida. Sem base, preencha os campos próprios. Texto não é automação.</t>
      </text>
    </comment>
    <comment ref="E2025" authorId="0" shapeId="0">
      <text>
        <t>Em branco herda a base escolhida. Sem base, preencha os campos próprios. Texto não é automação.</t>
      </text>
    </comment>
    <comment ref="J2025" authorId="0" shapeId="0">
      <text>
        <t>Em branco herda a base escolhida. Sem base, preencha os campos próprios. Texto não é automação.</t>
      </text>
    </comment>
    <comment ref="M2025" authorId="0" shapeId="0">
      <text>
        <t>Em branco herda a base escolhida. Sem base, preencha os campos próprios. Texto não é automação.</t>
      </text>
    </comment>
    <comment ref="B2026" authorId="0" shapeId="0">
      <text>
        <t>Em branco herda a base escolhida. Sem base, preencha os campos próprios. Texto não é automação.</t>
      </text>
    </comment>
    <comment ref="E2026" authorId="0" shapeId="0">
      <text>
        <t>Em branco herda a base escolhida. Sem base, preencha os campos próprios. Texto não é automação.</t>
      </text>
    </comment>
    <comment ref="J2026" authorId="0" shapeId="0">
      <text>
        <t>Em branco herda a base escolhida. Sem base, preencha os campos próprios. Texto não é automação.</t>
      </text>
    </comment>
    <comment ref="M2026" authorId="0" shapeId="0">
      <text>
        <t>Em branco herda a base escolhida. Sem base, preencha os campos próprios. Texto não é automação.</t>
      </text>
    </comment>
    <comment ref="B2027" authorId="0" shapeId="0">
      <text>
        <t>Em branco herda a base escolhida. Sem base, preencha os campos próprios. Texto não é automação.</t>
      </text>
    </comment>
    <comment ref="E2027" authorId="0" shapeId="0">
      <text>
        <t>Em branco herda a base escolhida. Sem base, preencha os campos próprios. Texto não é automação.</t>
      </text>
    </comment>
    <comment ref="J2027" authorId="0" shapeId="0">
      <text>
        <t>Em branco herda a base escolhida. Sem base, preencha os campos próprios. Texto não é automação.</t>
      </text>
    </comment>
    <comment ref="M2027" authorId="0" shapeId="0">
      <text>
        <t>Em branco herda a base escolhida. Sem base, preencha os campos próprios. Texto não é automação.</t>
      </text>
    </comment>
    <comment ref="B2028" authorId="0" shapeId="0">
      <text>
        <t>Em branco herda a base escolhida. Sem base, preencha os campos próprios. Texto não é automação.</t>
      </text>
    </comment>
    <comment ref="E2028" authorId="0" shapeId="0">
      <text>
        <t>Em branco herda a base escolhida. Sem base, preencha os campos próprios. Texto não é automação.</t>
      </text>
    </comment>
    <comment ref="J2028" authorId="0" shapeId="0">
      <text>
        <t>Em branco herda a base escolhida. Sem base, preencha os campos próprios. Texto não é automação.</t>
      </text>
    </comment>
    <comment ref="M2028" authorId="0" shapeId="0">
      <text>
        <t>Em branco herda a base escolhida. Sem base, preencha os campos próprios. Texto não é automação.</t>
      </text>
    </comment>
    <comment ref="B2029" authorId="0" shapeId="0">
      <text>
        <t>Em branco herda a base escolhida. Sem base, preencha os campos próprios. Texto não é automação.</t>
      </text>
    </comment>
    <comment ref="E2029" authorId="0" shapeId="0">
      <text>
        <t>Em branco herda a base escolhida. Sem base, preencha os campos próprios. Texto não é automação.</t>
      </text>
    </comment>
    <comment ref="J2029" authorId="0" shapeId="0">
      <text>
        <t>Em branco herda a base escolhida. Sem base, preencha os campos próprios. Texto não é automação.</t>
      </text>
    </comment>
    <comment ref="M2029" authorId="0" shapeId="0">
      <text>
        <t>Em branco herda a base escolhida. Sem base, preencha os campos próprios. Texto não é automação.</t>
      </text>
    </comment>
    <comment ref="B2030" authorId="0" shapeId="0">
      <text>
        <t>Em branco herda a base escolhida. Sem base, preencha os campos próprios. Texto não é automação.</t>
      </text>
    </comment>
    <comment ref="E2030" authorId="0" shapeId="0">
      <text>
        <t>Em branco herda a base escolhida. Sem base, preencha os campos próprios. Texto não é automação.</t>
      </text>
    </comment>
    <comment ref="J2030" authorId="0" shapeId="0">
      <text>
        <t>Em branco herda a base escolhida. Sem base, preencha os campos próprios. Texto não é automação.</t>
      </text>
    </comment>
    <comment ref="M2030" authorId="0" shapeId="0">
      <text>
        <t>Em branco herda a base escolhida. Sem base, preencha os campos próprios. Texto não é automação.</t>
      </text>
    </comment>
    <comment ref="B2031" authorId="0" shapeId="0">
      <text>
        <t>Em branco herda a base escolhida. Sem base, preencha os campos próprios. Texto não é automação.</t>
      </text>
    </comment>
    <comment ref="E2031" authorId="0" shapeId="0">
      <text>
        <t>Em branco herda a base escolhida. Sem base, preencha os campos próprios. Texto não é automação.</t>
      </text>
    </comment>
    <comment ref="J2031" authorId="0" shapeId="0">
      <text>
        <t>Em branco herda a base escolhida. Sem base, preencha os campos próprios. Texto não é automação.</t>
      </text>
    </comment>
    <comment ref="M2031" authorId="0" shapeId="0">
      <text>
        <t>Em branco herda a base escolhida. Sem base, preencha os campos próprios. Texto não é automação.</t>
      </text>
    </comment>
    <comment ref="B2032" authorId="0" shapeId="0">
      <text>
        <t>Em branco herda a base escolhida. Sem base, preencha os campos próprios. Texto não é automação.</t>
      </text>
    </comment>
    <comment ref="E2032" authorId="0" shapeId="0">
      <text>
        <t>Em branco herda a base escolhida. Sem base, preencha os campos próprios. Texto não é automação.</t>
      </text>
    </comment>
    <comment ref="J2032" authorId="0" shapeId="0">
      <text>
        <t>Em branco herda a base escolhida. Sem base, preencha os campos próprios. Texto não é automação.</t>
      </text>
    </comment>
    <comment ref="M2032" authorId="0" shapeId="0">
      <text>
        <t>Em branco herda a base escolhida. Sem base, preencha os campos próprios. Texto não é automação.</t>
      </text>
    </comment>
    <comment ref="B2033" authorId="0" shapeId="0">
      <text>
        <t>Em branco herda a base escolhida. Sem base, preencha os campos próprios. Texto não é automação.</t>
      </text>
    </comment>
    <comment ref="E2033" authorId="0" shapeId="0">
      <text>
        <t>Em branco herda a base escolhida. Sem base, preencha os campos próprios. Texto não é automação.</t>
      </text>
    </comment>
    <comment ref="J2033" authorId="0" shapeId="0">
      <text>
        <t>Em branco herda a base escolhida. Sem base, preencha os campos próprios. Texto não é automação.</t>
      </text>
    </comment>
    <comment ref="M2033" authorId="0" shapeId="0">
      <text>
        <t>Em branco herda a base escolhida. Sem base, preencha os campos próprios. Texto não é automação.</t>
      </text>
    </comment>
    <comment ref="B2034" authorId="0" shapeId="0">
      <text>
        <t>Em branco herda a base escolhida. Sem base, preencha os campos próprios. Texto não é automação.</t>
      </text>
    </comment>
    <comment ref="E2034" authorId="0" shapeId="0">
      <text>
        <t>Em branco herda a base escolhida. Sem base, preencha os campos próprios. Texto não é automação.</t>
      </text>
    </comment>
    <comment ref="J2034" authorId="0" shapeId="0">
      <text>
        <t>Em branco herda a base escolhida. Sem base, preencha os campos próprios. Texto não é automação.</t>
      </text>
    </comment>
    <comment ref="M2034" authorId="0" shapeId="0">
      <text>
        <t>Em branco herda a base escolhida. Sem base, preencha os campos próprios. Texto não é automação.</t>
      </text>
    </comment>
    <comment ref="B2035" authorId="0" shapeId="0">
      <text>
        <t>Em branco herda a base escolhida. Sem base, preencha os campos próprios. Texto não é automação.</t>
      </text>
    </comment>
    <comment ref="E2035" authorId="0" shapeId="0">
      <text>
        <t>Em branco herda a base escolhida. Sem base, preencha os campos próprios. Texto não é automação.</t>
      </text>
    </comment>
    <comment ref="J2035" authorId="0" shapeId="0">
      <text>
        <t>Em branco herda a base escolhida. Sem base, preencha os campos próprios. Texto não é automação.</t>
      </text>
    </comment>
    <comment ref="M2035" authorId="0" shapeId="0">
      <text>
        <t>Em branco herda a base escolhida. Sem base, preencha os campos próprios. Texto não é automação.</t>
      </text>
    </comment>
    <comment ref="B2036" authorId="0" shapeId="0">
      <text>
        <t>Em branco herda a base escolhida. Sem base, preencha os campos próprios. Texto não é automação.</t>
      </text>
    </comment>
    <comment ref="E2036" authorId="0" shapeId="0">
      <text>
        <t>Em branco herda a base escolhida. Sem base, preencha os campos próprios. Texto não é automação.</t>
      </text>
    </comment>
    <comment ref="J2036" authorId="0" shapeId="0">
      <text>
        <t>Em branco herda a base escolhida. Sem base, preencha os campos próprios. Texto não é automação.</t>
      </text>
    </comment>
    <comment ref="M2036" authorId="0" shapeId="0">
      <text>
        <t>Em branco herda a base escolhida. Sem base, preencha os campos próprios. Texto não é automação.</t>
      </text>
    </comment>
    <comment ref="B2037" authorId="0" shapeId="0">
      <text>
        <t>Em branco herda a base escolhida. Sem base, preencha os campos próprios. Texto não é automação.</t>
      </text>
    </comment>
    <comment ref="E2037" authorId="0" shapeId="0">
      <text>
        <t>Em branco herda a base escolhida. Sem base, preencha os campos próprios. Texto não é automação.</t>
      </text>
    </comment>
    <comment ref="J2037" authorId="0" shapeId="0">
      <text>
        <t>Em branco herda a base escolhida. Sem base, preencha os campos próprios. Texto não é automação.</t>
      </text>
    </comment>
    <comment ref="M2037" authorId="0" shapeId="0">
      <text>
        <t>Em branco herda a base escolhida. Sem base, preencha os campos próprios. Texto não é automação.</t>
      </text>
    </comment>
    <comment ref="B2038" authorId="0" shapeId="0">
      <text>
        <t>Em branco herda a base escolhida. Sem base, preencha os campos próprios. Texto não é automação.</t>
      </text>
    </comment>
    <comment ref="E2038" authorId="0" shapeId="0">
      <text>
        <t>Em branco herda a base escolhida. Sem base, preencha os campos próprios. Texto não é automação.</t>
      </text>
    </comment>
    <comment ref="J2038" authorId="0" shapeId="0">
      <text>
        <t>Em branco herda a base escolhida. Sem base, preencha os campos próprios. Texto não é automação.</t>
      </text>
    </comment>
    <comment ref="M2038" authorId="0" shapeId="0">
      <text>
        <t>Em branco herda a base escolhida. Sem base, preencha os campos próprios. Texto não é automação.</t>
      </text>
    </comment>
    <comment ref="B2039" authorId="0" shapeId="0">
      <text>
        <t>Em branco herda a base escolhida. Sem base, preencha os campos próprios. Texto não é automação.</t>
      </text>
    </comment>
    <comment ref="E2039" authorId="0" shapeId="0">
      <text>
        <t>Em branco herda a base escolhida. Sem base, preencha os campos próprios. Texto não é automação.</t>
      </text>
    </comment>
    <comment ref="J2039" authorId="0" shapeId="0">
      <text>
        <t>Em branco herda a base escolhida. Sem base, preencha os campos próprios. Texto não é automação.</t>
      </text>
    </comment>
    <comment ref="M2039" authorId="0" shapeId="0">
      <text>
        <t>Em branco herda a base escolhida. Sem base, preencha os campos próprios. Texto não é automação.</t>
      </text>
    </comment>
    <comment ref="B2040" authorId="0" shapeId="0">
      <text>
        <t>Em branco herda a base escolhida. Sem base, preencha os campos próprios. Texto não é automação.</t>
      </text>
    </comment>
    <comment ref="E2040" authorId="0" shapeId="0">
      <text>
        <t>Em branco herda a base escolhida. Sem base, preencha os campos próprios. Texto não é automação.</t>
      </text>
    </comment>
    <comment ref="J2040" authorId="0" shapeId="0">
      <text>
        <t>Em branco herda a base escolhida. Sem base, preencha os campos próprios. Texto não é automação.</t>
      </text>
    </comment>
    <comment ref="M2040" authorId="0" shapeId="0">
      <text>
        <t>Em branco herda a base escolhida. Sem base, preencha os campos próprios. Texto não é automação.</t>
      </text>
    </comment>
    <comment ref="B2041" authorId="0" shapeId="0">
      <text>
        <t>Em branco herda a base escolhida. Sem base, preencha os campos próprios. Texto não é automação.</t>
      </text>
    </comment>
    <comment ref="E2041" authorId="0" shapeId="0">
      <text>
        <t>Em branco herda a base escolhida. Sem base, preencha os campos próprios. Texto não é automação.</t>
      </text>
    </comment>
    <comment ref="J2041" authorId="0" shapeId="0">
      <text>
        <t>Em branco herda a base escolhida. Sem base, preencha os campos próprios. Texto não é automação.</t>
      </text>
    </comment>
    <comment ref="M2041" authorId="0" shapeId="0">
      <text>
        <t>Em branco herda a base escolhida. Sem base, preencha os campos próprios. Texto não é automação.</t>
      </text>
    </comment>
    <comment ref="B2042" authorId="0" shapeId="0">
      <text>
        <t>Em branco herda a base escolhida. Sem base, preencha os campos próprios. Texto não é automação.</t>
      </text>
    </comment>
    <comment ref="E2042" authorId="0" shapeId="0">
      <text>
        <t>Em branco herda a base escolhida. Sem base, preencha os campos próprios. Texto não é automação.</t>
      </text>
    </comment>
    <comment ref="J2042" authorId="0" shapeId="0">
      <text>
        <t>Em branco herda a base escolhida. Sem base, preencha os campos próprios. Texto não é automação.</t>
      </text>
    </comment>
    <comment ref="M2042" authorId="0" shapeId="0">
      <text>
        <t>Em branco herda a base escolhida. Sem base, preencha os campos próprios. Texto não é automação.</t>
      </text>
    </comment>
    <comment ref="B2043" authorId="0" shapeId="0">
      <text>
        <t>Em branco herda a base escolhida. Sem base, preencha os campos próprios. Texto não é automação.</t>
      </text>
    </comment>
    <comment ref="E2043" authorId="0" shapeId="0">
      <text>
        <t>Em branco herda a base escolhida. Sem base, preencha os campos próprios. Texto não é automação.</t>
      </text>
    </comment>
    <comment ref="J2043" authorId="0" shapeId="0">
      <text>
        <t>Em branco herda a base escolhida. Sem base, preencha os campos próprios. Texto não é automação.</t>
      </text>
    </comment>
    <comment ref="M2043" authorId="0" shapeId="0">
      <text>
        <t>Em branco herda a base escolhida. Sem base, preencha os campos próprios. Texto não é automação.</t>
      </text>
    </comment>
    <comment ref="B2044" authorId="0" shapeId="0">
      <text>
        <t>Em branco herda a base escolhida. Sem base, preencha os campos próprios. Texto não é automação.</t>
      </text>
    </comment>
    <comment ref="E2044" authorId="0" shapeId="0">
      <text>
        <t>Em branco herda a base escolhida. Sem base, preencha os campos próprios. Texto não é automação.</t>
      </text>
    </comment>
    <comment ref="J2044" authorId="0" shapeId="0">
      <text>
        <t>Em branco herda a base escolhida. Sem base, preencha os campos próprios. Texto não é automação.</t>
      </text>
    </comment>
    <comment ref="M2044" authorId="0" shapeId="0">
      <text>
        <t>Em branco herda a base escolhida. Sem base, preencha os campos próprios. Texto não é automação.</t>
      </text>
    </comment>
    <comment ref="B2045" authorId="0" shapeId="0">
      <text>
        <t>Em branco herda a base escolhida. Sem base, preencha os campos próprios. Texto não é automação.</t>
      </text>
    </comment>
    <comment ref="E2045" authorId="0" shapeId="0">
      <text>
        <t>Em branco herda a base escolhida. Sem base, preencha os campos próprios. Texto não é automação.</t>
      </text>
    </comment>
    <comment ref="J2045" authorId="0" shapeId="0">
      <text>
        <t>Em branco herda a base escolhida. Sem base, preencha os campos próprios. Texto não é automação.</t>
      </text>
    </comment>
    <comment ref="M2045" authorId="0" shapeId="0">
      <text>
        <t>Em branco herda a base escolhida. Sem base, preencha os campos próprios. Texto não é automação.</t>
      </text>
    </comment>
    <comment ref="B2046" authorId="0" shapeId="0">
      <text>
        <t>Em branco herda a base escolhida. Sem base, preencha os campos próprios. Texto não é automação.</t>
      </text>
    </comment>
    <comment ref="E2046" authorId="0" shapeId="0">
      <text>
        <t>Em branco herda a base escolhida. Sem base, preencha os campos próprios. Texto não é automação.</t>
      </text>
    </comment>
    <comment ref="J2046" authorId="0" shapeId="0">
      <text>
        <t>Em branco herda a base escolhida. Sem base, preencha os campos próprios. Texto não é automação.</t>
      </text>
    </comment>
    <comment ref="M2046" authorId="0" shapeId="0">
      <text>
        <t>Em branco herda a base escolhida. Sem base, preencha os campos próprios. Texto não é automação.</t>
      </text>
    </comment>
    <comment ref="B2048" authorId="0" shapeId="0">
      <text>
        <t>Em branco herda a base escolhida. Sem base, preencha os campos próprios. Texto não é automação.</t>
      </text>
    </comment>
    <comment ref="J2048" authorId="0" shapeId="0">
      <text>
        <t>Em branco herda a base escolhida. Sem base, preencha os campos próprios. Texto não é automação.</t>
      </text>
    </comment>
    <comment ref="B2049" authorId="0" shapeId="0">
      <text>
        <t>Em branco herda a base escolhida. Sem base, preencha os campos próprios. Texto não é automação.</t>
      </text>
    </comment>
    <comment ref="J2049" authorId="0" shapeId="0">
      <text>
        <t>Em branco herda a base escolhida. Sem base, preencha os campos próprios. Texto não é automação.</t>
      </text>
    </comment>
    <comment ref="B2054" authorId="0" shapeId="0">
      <text>
        <t>Em branco herda a base escolhida. Sem base, preencha os campos próprios. Texto não é automação.</t>
      </text>
    </comment>
    <comment ref="J2054" authorId="0" shapeId="0">
      <text>
        <t>Em branco herda a base escolhida. Sem base, preencha os campos próprios. Texto não é automação.</t>
      </text>
    </comment>
    <comment ref="B2055" authorId="0" shapeId="0">
      <text>
        <t>Em branco herda a base escolhida. Sem base, preencha os campos próprios. Texto não é automação.</t>
      </text>
    </comment>
    <comment ref="J2055" authorId="0" shapeId="0">
      <text>
        <t>Em branco herda a base escolhida. Sem base, preencha os campos próprios. Texto não é automação.</t>
      </text>
    </comment>
    <comment ref="B2061" authorId="0" shapeId="0">
      <text>
        <t>Avisos do cadastro. Inválidos permanecem exportados e saem dos menus.</t>
      </text>
    </comment>
    <comment ref="J2061" authorId="0" shapeId="0">
      <text>
        <t>Avisos do cadastro. Inválidos permanecem exportados e saem dos menus.</t>
      </text>
    </comment>
    <comment ref="B2064" authorId="0" shapeId="0">
      <text>
        <t>Em branco herda a base escolhida. Sem base, preencha os campos próprios. Texto não é automação.</t>
      </text>
    </comment>
    <comment ref="J2064" authorId="0" shapeId="0">
      <text>
        <t>Em branco herda a base escolhida. Sem base, preencha os campos próprios. Texto não é automação.</t>
      </text>
    </comment>
    <comment ref="B2065" authorId="0" shapeId="0">
      <text>
        <t>Em branco herda a base escolhida. Sem base, preencha os campos próprios. Texto não é automação.</t>
      </text>
    </comment>
    <comment ref="F2065" authorId="0" shapeId="0">
      <text>
        <t>Em branco herda a base escolhida. Sem base, preencha os campos próprios. Texto não é automação.</t>
      </text>
    </comment>
    <comment ref="J2065" authorId="0" shapeId="0">
      <text>
        <t>Em branco herda a base escolhida. Sem base, preencha os campos próprios. Texto não é automação.</t>
      </text>
    </comment>
    <comment ref="N2065" authorId="0" shapeId="0">
      <text>
        <t>Em branco herda a base escolhida. Sem base, preencha os campos próprios. Texto não é automação.</t>
      </text>
    </comment>
    <comment ref="B2066" authorId="0" shapeId="0">
      <text>
        <t>Em branco herda a base escolhida. Sem base, preencha os campos próprios. Texto não é automação.</t>
      </text>
    </comment>
    <comment ref="F2066" authorId="0" shapeId="0">
      <text>
        <t>Lembrete. Aprovação pertence ao bot no chat.</t>
      </text>
    </comment>
    <comment ref="J2066" authorId="0" shapeId="0">
      <text>
        <t>Em branco herda a base escolhida. Sem base, preencha os campos próprios. Texto não é automação.</t>
      </text>
    </comment>
    <comment ref="N2066" authorId="0" shapeId="0">
      <text>
        <t>Lembrete. Aprovação pertence ao bot no chat.</t>
      </text>
    </comment>
    <comment ref="B2067" authorId="0" shapeId="0">
      <text>
        <t>Em branco herda a base escolhida. Sem base, preencha os campos próprios. Texto não é automação.</t>
      </text>
    </comment>
    <comment ref="J2067" authorId="0" shapeId="0">
      <text>
        <t>Em branco herda a base escolhida. Sem base, preencha os campos próprios. Texto não é automação.</t>
      </text>
    </comment>
    <comment ref="B2068" authorId="0" shapeId="0">
      <text>
        <t>Em branco herda a base escolhida. Sem base, preencha os campos próprios. Texto não é automação.</t>
      </text>
    </comment>
    <comment ref="J2068" authorId="0" shapeId="0">
      <text>
        <t>Em branco herda a base escolhida. Sem base, preencha os campos próprios. Texto não é automação.</t>
      </text>
    </comment>
    <comment ref="B2069" authorId="0" shapeId="0">
      <text>
        <t>Em branco herda a base escolhida. Sem base, preencha os campos próprios. Texto não é automação.</t>
      </text>
    </comment>
    <comment ref="E2069" authorId="0" shapeId="0">
      <text>
        <t>Em branco herda a base escolhida. Sem base, preencha os campos próprios. Texto não é automação.</t>
      </text>
    </comment>
    <comment ref="J2069" authorId="0" shapeId="0">
      <text>
        <t>Em branco herda a base escolhida. Sem base, preencha os campos próprios. Texto não é automação.</t>
      </text>
    </comment>
    <comment ref="M2069" authorId="0" shapeId="0">
      <text>
        <t>Em branco herda a base escolhida. Sem base, preencha os campos próprios. Texto não é automação.</t>
      </text>
    </comment>
    <comment ref="B2070" authorId="0" shapeId="0">
      <text>
        <t>Em branco herda a base escolhida. Sem base, preencha os campos próprios. Texto não é automação.</t>
      </text>
    </comment>
    <comment ref="E2070" authorId="0" shapeId="0">
      <text>
        <t>Em branco herda a base escolhida. Sem base, preencha os campos próprios. Texto não é automação.</t>
      </text>
    </comment>
    <comment ref="J2070" authorId="0" shapeId="0">
      <text>
        <t>Em branco herda a base escolhida. Sem base, preencha os campos próprios. Texto não é automação.</t>
      </text>
    </comment>
    <comment ref="M2070" authorId="0" shapeId="0">
      <text>
        <t>Em branco herda a base escolhida. Sem base, preencha os campos próprios. Texto não é automação.</t>
      </text>
    </comment>
    <comment ref="B2071" authorId="0" shapeId="0">
      <text>
        <t>Em branco herda a base escolhida. Sem base, preencha os campos próprios. Texto não é automação.</t>
      </text>
    </comment>
    <comment ref="E2071" authorId="0" shapeId="0">
      <text>
        <t>Em branco herda a base escolhida. Sem base, preencha os campos próprios. Texto não é automação.</t>
      </text>
    </comment>
    <comment ref="J2071" authorId="0" shapeId="0">
      <text>
        <t>Em branco herda a base escolhida. Sem base, preencha os campos próprios. Texto não é automação.</t>
      </text>
    </comment>
    <comment ref="M2071" authorId="0" shapeId="0">
      <text>
        <t>Em branco herda a base escolhida. Sem base, preencha os campos próprios. Texto não é automação.</t>
      </text>
    </comment>
    <comment ref="B2072" authorId="0" shapeId="0">
      <text>
        <t>Em branco herda a base escolhida. Sem base, preencha os campos próprios. Texto não é automação.</t>
      </text>
    </comment>
    <comment ref="E2072" authorId="0" shapeId="0">
      <text>
        <t>Em branco herda a base escolhida. Sem base, preencha os campos próprios. Texto não é automação.</t>
      </text>
    </comment>
    <comment ref="J2072" authorId="0" shapeId="0">
      <text>
        <t>Em branco herda a base escolhida. Sem base, preencha os campos próprios. Texto não é automação.</t>
      </text>
    </comment>
    <comment ref="M2072" authorId="0" shapeId="0">
      <text>
        <t>Em branco herda a base escolhida. Sem base, preencha os campos próprios. Texto não é automação.</t>
      </text>
    </comment>
    <comment ref="B2073" authorId="0" shapeId="0">
      <text>
        <t>Em branco herda a base escolhida. Sem base, preencha os campos próprios. Texto não é automação.</t>
      </text>
    </comment>
    <comment ref="E2073" authorId="0" shapeId="0">
      <text>
        <t>Em branco herda a base escolhida. Sem base, preencha os campos próprios. Texto não é automação.</t>
      </text>
    </comment>
    <comment ref="J2073" authorId="0" shapeId="0">
      <text>
        <t>Em branco herda a base escolhida. Sem base, preencha os campos próprios. Texto não é automação.</t>
      </text>
    </comment>
    <comment ref="M2073" authorId="0" shapeId="0">
      <text>
        <t>Em branco herda a base escolhida. Sem base, preencha os campos próprios. Texto não é automação.</t>
      </text>
    </comment>
    <comment ref="B2074" authorId="0" shapeId="0">
      <text>
        <t>Em branco herda a base escolhida. Sem base, preencha os campos próprios. Texto não é automação.</t>
      </text>
    </comment>
    <comment ref="E2074" authorId="0" shapeId="0">
      <text>
        <t>Em branco herda a base escolhida. Sem base, preencha os campos próprios. Texto não é automação.</t>
      </text>
    </comment>
    <comment ref="J2074" authorId="0" shapeId="0">
      <text>
        <t>Em branco herda a base escolhida. Sem base, preencha os campos próprios. Texto não é automação.</t>
      </text>
    </comment>
    <comment ref="M2074" authorId="0" shapeId="0">
      <text>
        <t>Em branco herda a base escolhida. Sem base, preencha os campos próprios. Texto não é automação.</t>
      </text>
    </comment>
    <comment ref="B2075" authorId="0" shapeId="0">
      <text>
        <t>Em branco herda a base escolhida. Sem base, preencha os campos próprios. Texto não é automação.</t>
      </text>
    </comment>
    <comment ref="E2075" authorId="0" shapeId="0">
      <text>
        <t>Em branco herda a base escolhida. Sem base, preencha os campos próprios. Texto não é automação.</t>
      </text>
    </comment>
    <comment ref="J2075" authorId="0" shapeId="0">
      <text>
        <t>Em branco herda a base escolhida. Sem base, preencha os campos próprios. Texto não é automação.</t>
      </text>
    </comment>
    <comment ref="M2075" authorId="0" shapeId="0">
      <text>
        <t>Em branco herda a base escolhida. Sem base, preencha os campos próprios. Texto não é automação.</t>
      </text>
    </comment>
    <comment ref="B2076" authorId="0" shapeId="0">
      <text>
        <t>Em branco herda a base escolhida. Sem base, preencha os campos próprios. Texto não é automação.</t>
      </text>
    </comment>
    <comment ref="E2076" authorId="0" shapeId="0">
      <text>
        <t>Em branco herda a base escolhida. Sem base, preencha os campos próprios. Texto não é automação.</t>
      </text>
    </comment>
    <comment ref="J2076" authorId="0" shapeId="0">
      <text>
        <t>Em branco herda a base escolhida. Sem base, preencha os campos próprios. Texto não é automação.</t>
      </text>
    </comment>
    <comment ref="M2076" authorId="0" shapeId="0">
      <text>
        <t>Em branco herda a base escolhida. Sem base, preencha os campos próprios. Texto não é automação.</t>
      </text>
    </comment>
    <comment ref="B2077" authorId="0" shapeId="0">
      <text>
        <t>Em branco herda a base escolhida. Sem base, preencha os campos próprios. Texto não é automação.</t>
      </text>
    </comment>
    <comment ref="E2077" authorId="0" shapeId="0">
      <text>
        <t>Em branco herda a base escolhida. Sem base, preencha os campos próprios. Texto não é automação.</t>
      </text>
    </comment>
    <comment ref="J2077" authorId="0" shapeId="0">
      <text>
        <t>Em branco herda a base escolhida. Sem base, preencha os campos próprios. Texto não é automação.</t>
      </text>
    </comment>
    <comment ref="M2077" authorId="0" shapeId="0">
      <text>
        <t>Em branco herda a base escolhida. Sem base, preencha os campos próprios. Texto não é automação.</t>
      </text>
    </comment>
    <comment ref="B2078" authorId="0" shapeId="0">
      <text>
        <t>Em branco herda a base escolhida. Sem base, preencha os campos próprios. Texto não é automação.</t>
      </text>
    </comment>
    <comment ref="E2078" authorId="0" shapeId="0">
      <text>
        <t>Em branco herda a base escolhida. Sem base, preencha os campos próprios. Texto não é automação.</t>
      </text>
    </comment>
    <comment ref="J2078" authorId="0" shapeId="0">
      <text>
        <t>Em branco herda a base escolhida. Sem base, preencha os campos próprios. Texto não é automação.</t>
      </text>
    </comment>
    <comment ref="M2078" authorId="0" shapeId="0">
      <text>
        <t>Em branco herda a base escolhida. Sem base, preencha os campos próprios. Texto não é automação.</t>
      </text>
    </comment>
    <comment ref="B2079" authorId="0" shapeId="0">
      <text>
        <t>Em branco herda a base escolhida. Sem base, preencha os campos próprios. Texto não é automação.</t>
      </text>
    </comment>
    <comment ref="E2079" authorId="0" shapeId="0">
      <text>
        <t>Em branco herda a base escolhida. Sem base, preencha os campos próprios. Texto não é automação.</t>
      </text>
    </comment>
    <comment ref="J2079" authorId="0" shapeId="0">
      <text>
        <t>Em branco herda a base escolhida. Sem base, preencha os campos próprios. Texto não é automação.</t>
      </text>
    </comment>
    <comment ref="M2079" authorId="0" shapeId="0">
      <text>
        <t>Em branco herda a base escolhida. Sem base, preencha os campos próprios. Texto não é automação.</t>
      </text>
    </comment>
    <comment ref="B2080" authorId="0" shapeId="0">
      <text>
        <t>Em branco herda a base escolhida. Sem base, preencha os campos próprios. Texto não é automação.</t>
      </text>
    </comment>
    <comment ref="E2080" authorId="0" shapeId="0">
      <text>
        <t>Em branco herda a base escolhida. Sem base, preencha os campos próprios. Texto não é automação.</t>
      </text>
    </comment>
    <comment ref="J2080" authorId="0" shapeId="0">
      <text>
        <t>Em branco herda a base escolhida. Sem base, preencha os campos próprios. Texto não é automação.</t>
      </text>
    </comment>
    <comment ref="M2080" authorId="0" shapeId="0">
      <text>
        <t>Em branco herda a base escolhida. Sem base, preencha os campos próprios. Texto não é automação.</t>
      </text>
    </comment>
    <comment ref="B2081" authorId="0" shapeId="0">
      <text>
        <t>Em branco herda a base escolhida. Sem base, preencha os campos próprios. Texto não é automação.</t>
      </text>
    </comment>
    <comment ref="E2081" authorId="0" shapeId="0">
      <text>
        <t>Em branco herda a base escolhida. Sem base, preencha os campos próprios. Texto não é automação.</t>
      </text>
    </comment>
    <comment ref="J2081" authorId="0" shapeId="0">
      <text>
        <t>Em branco herda a base escolhida. Sem base, preencha os campos próprios. Texto não é automação.</t>
      </text>
    </comment>
    <comment ref="M2081" authorId="0" shapeId="0">
      <text>
        <t>Em branco herda a base escolhida. Sem base, preencha os campos próprios. Texto não é automação.</t>
      </text>
    </comment>
    <comment ref="B2082" authorId="0" shapeId="0">
      <text>
        <t>Em branco herda a base escolhida. Sem base, preencha os campos próprios. Texto não é automação.</t>
      </text>
    </comment>
    <comment ref="E2082" authorId="0" shapeId="0">
      <text>
        <t>Em branco herda a base escolhida. Sem base, preencha os campos próprios. Texto não é automação.</t>
      </text>
    </comment>
    <comment ref="J2082" authorId="0" shapeId="0">
      <text>
        <t>Em branco herda a base escolhida. Sem base, preencha os campos próprios. Texto não é automação.</t>
      </text>
    </comment>
    <comment ref="M2082" authorId="0" shapeId="0">
      <text>
        <t>Em branco herda a base escolhida. Sem base, preencha os campos próprios. Texto não é automação.</t>
      </text>
    </comment>
    <comment ref="B2083" authorId="0" shapeId="0">
      <text>
        <t>Em branco herda a base escolhida. Sem base, preencha os campos próprios. Texto não é automação.</t>
      </text>
    </comment>
    <comment ref="E2083" authorId="0" shapeId="0">
      <text>
        <t>Em branco herda a base escolhida. Sem base, preencha os campos próprios. Texto não é automação.</t>
      </text>
    </comment>
    <comment ref="J2083" authorId="0" shapeId="0">
      <text>
        <t>Em branco herda a base escolhida. Sem base, preencha os campos próprios. Texto não é automação.</t>
      </text>
    </comment>
    <comment ref="M2083" authorId="0" shapeId="0">
      <text>
        <t>Em branco herda a base escolhida. Sem base, preencha os campos próprios. Texto não é automação.</t>
      </text>
    </comment>
    <comment ref="B2084" authorId="0" shapeId="0">
      <text>
        <t>Em branco herda a base escolhida. Sem base, preencha os campos próprios. Texto não é automação.</t>
      </text>
    </comment>
    <comment ref="E2084" authorId="0" shapeId="0">
      <text>
        <t>Em branco herda a base escolhida. Sem base, preencha os campos próprios. Texto não é automação.</t>
      </text>
    </comment>
    <comment ref="J2084" authorId="0" shapeId="0">
      <text>
        <t>Em branco herda a base escolhida. Sem base, preencha os campos próprios. Texto não é automação.</t>
      </text>
    </comment>
    <comment ref="M2084" authorId="0" shapeId="0">
      <text>
        <t>Em branco herda a base escolhida. Sem base, preencha os campos próprios. Texto não é automação.</t>
      </text>
    </comment>
    <comment ref="B2085" authorId="0" shapeId="0">
      <text>
        <t>Em branco herda a base escolhida. Sem base, preencha os campos próprios. Texto não é automação.</t>
      </text>
    </comment>
    <comment ref="E2085" authorId="0" shapeId="0">
      <text>
        <t>Em branco herda a base escolhida. Sem base, preencha os campos próprios. Texto não é automação.</t>
      </text>
    </comment>
    <comment ref="J2085" authorId="0" shapeId="0">
      <text>
        <t>Em branco herda a base escolhida. Sem base, preencha os campos próprios. Texto não é automação.</t>
      </text>
    </comment>
    <comment ref="M2085" authorId="0" shapeId="0">
      <text>
        <t>Em branco herda a base escolhida. Sem base, preencha os campos próprios. Texto não é automação.</t>
      </text>
    </comment>
    <comment ref="B2086" authorId="0" shapeId="0">
      <text>
        <t>Em branco herda a base escolhida. Sem base, preencha os campos próprios. Texto não é automação.</t>
      </text>
    </comment>
    <comment ref="E2086" authorId="0" shapeId="0">
      <text>
        <t>Em branco herda a base escolhida. Sem base, preencha os campos próprios. Texto não é automação.</t>
      </text>
    </comment>
    <comment ref="J2086" authorId="0" shapeId="0">
      <text>
        <t>Em branco herda a base escolhida. Sem base, preencha os campos próprios. Texto não é automação.</t>
      </text>
    </comment>
    <comment ref="M2086" authorId="0" shapeId="0">
      <text>
        <t>Em branco herda a base escolhida. Sem base, preencha os campos próprios. Texto não é automação.</t>
      </text>
    </comment>
    <comment ref="B2087" authorId="0" shapeId="0">
      <text>
        <t>Em branco herda a base escolhida. Sem base, preencha os campos próprios. Texto não é automação.</t>
      </text>
    </comment>
    <comment ref="E2087" authorId="0" shapeId="0">
      <text>
        <t>Em branco herda a base escolhida. Sem base, preencha os campos próprios. Texto não é automação.</t>
      </text>
    </comment>
    <comment ref="J2087" authorId="0" shapeId="0">
      <text>
        <t>Em branco herda a base escolhida. Sem base, preencha os campos próprios. Texto não é automação.</t>
      </text>
    </comment>
    <comment ref="M2087" authorId="0" shapeId="0">
      <text>
        <t>Em branco herda a base escolhida. Sem base, preencha os campos próprios. Texto não é automação.</t>
      </text>
    </comment>
    <comment ref="B2088" authorId="0" shapeId="0">
      <text>
        <t>Em branco herda a base escolhida. Sem base, preencha os campos próprios. Texto não é automação.</t>
      </text>
    </comment>
    <comment ref="E2088" authorId="0" shapeId="0">
      <text>
        <t>Em branco herda a base escolhida. Sem base, preencha os campos próprios. Texto não é automação.</t>
      </text>
    </comment>
    <comment ref="J2088" authorId="0" shapeId="0">
      <text>
        <t>Em branco herda a base escolhida. Sem base, preencha os campos próprios. Texto não é automação.</t>
      </text>
    </comment>
    <comment ref="M2088" authorId="0" shapeId="0">
      <text>
        <t>Em branco herda a base escolhida. Sem base, preencha os campos próprios. Texto não é automação.</t>
      </text>
    </comment>
    <comment ref="B2089" authorId="0" shapeId="0">
      <text>
        <t>Em branco herda a base escolhida. Sem base, preencha os campos próprios. Texto não é automação.</t>
      </text>
    </comment>
    <comment ref="E2089" authorId="0" shapeId="0">
      <text>
        <t>Em branco herda a base escolhida. Sem base, preencha os campos próprios. Texto não é automação.</t>
      </text>
    </comment>
    <comment ref="J2089" authorId="0" shapeId="0">
      <text>
        <t>Em branco herda a base escolhida. Sem base, preencha os campos próprios. Texto não é automação.</t>
      </text>
    </comment>
    <comment ref="M2089" authorId="0" shapeId="0">
      <text>
        <t>Em branco herda a base escolhida. Sem base, preencha os campos próprios. Texto não é automação.</t>
      </text>
    </comment>
    <comment ref="B2090" authorId="0" shapeId="0">
      <text>
        <t>Em branco herda a base escolhida. Sem base, preencha os campos próprios. Texto não é automação.</t>
      </text>
    </comment>
    <comment ref="E2090" authorId="0" shapeId="0">
      <text>
        <t>Em branco herda a base escolhida. Sem base, preencha os campos próprios. Texto não é automação.</t>
      </text>
    </comment>
    <comment ref="J2090" authorId="0" shapeId="0">
      <text>
        <t>Em branco herda a base escolhida. Sem base, preencha os campos próprios. Texto não é automação.</t>
      </text>
    </comment>
    <comment ref="M2090" authorId="0" shapeId="0">
      <text>
        <t>Em branco herda a base escolhida. Sem base, preencha os campos próprios. Texto não é automação.</t>
      </text>
    </comment>
    <comment ref="B2091" authorId="0" shapeId="0">
      <text>
        <t>Em branco herda a base escolhida. Sem base, preencha os campos próprios. Texto não é automação.</t>
      </text>
    </comment>
    <comment ref="E2091" authorId="0" shapeId="0">
      <text>
        <t>Em branco herda a base escolhida. Sem base, preencha os campos próprios. Texto não é automação.</t>
      </text>
    </comment>
    <comment ref="J2091" authorId="0" shapeId="0">
      <text>
        <t>Em branco herda a base escolhida. Sem base, preencha os campos próprios. Texto não é automação.</t>
      </text>
    </comment>
    <comment ref="M2091" authorId="0" shapeId="0">
      <text>
        <t>Em branco herda a base escolhida. Sem base, preencha os campos próprios. Texto não é automação.</t>
      </text>
    </comment>
    <comment ref="B2092" authorId="0" shapeId="0">
      <text>
        <t>Em branco herda a base escolhida. Sem base, preencha os campos próprios. Texto não é automação.</t>
      </text>
    </comment>
    <comment ref="E2092" authorId="0" shapeId="0">
      <text>
        <t>Em branco herda a base escolhida. Sem base, preencha os campos próprios. Texto não é automação.</t>
      </text>
    </comment>
    <comment ref="J2092" authorId="0" shapeId="0">
      <text>
        <t>Em branco herda a base escolhida. Sem base, preencha os campos próprios. Texto não é automação.</t>
      </text>
    </comment>
    <comment ref="M2092" authorId="0" shapeId="0">
      <text>
        <t>Em branco herda a base escolhida. Sem base, preencha os campos próprios. Texto não é automação.</t>
      </text>
    </comment>
    <comment ref="B2094" authorId="0" shapeId="0">
      <text>
        <t>Em branco herda a base escolhida. Sem base, preencha os campos próprios. Texto não é automação.</t>
      </text>
    </comment>
    <comment ref="J2094" authorId="0" shapeId="0">
      <text>
        <t>Em branco herda a base escolhida. Sem base, preencha os campos próprios. Texto não é automação.</t>
      </text>
    </comment>
    <comment ref="B2095" authorId="0" shapeId="0">
      <text>
        <t>Em branco herda a base escolhida. Sem base, preencha os campos próprios. Texto não é automação.</t>
      </text>
    </comment>
    <comment ref="J2095" authorId="0" shapeId="0">
      <text>
        <t>Em branco herda a base escolhida. Sem base, preencha os campos próprios. Texto não é automação.</t>
      </text>
    </comment>
    <comment ref="B2100" authorId="0" shapeId="0">
      <text>
        <t>Em branco herda a base escolhida. Sem base, preencha os campos próprios. Texto não é automação.</t>
      </text>
    </comment>
    <comment ref="J2100" authorId="0" shapeId="0">
      <text>
        <t>Em branco herda a base escolhida. Sem base, preencha os campos próprios. Texto não é automação.</t>
      </text>
    </comment>
    <comment ref="B2101" authorId="0" shapeId="0">
      <text>
        <t>Em branco herda a base escolhida. Sem base, preencha os campos próprios. Texto não é automação.</t>
      </text>
    </comment>
    <comment ref="J2101" authorId="0" shapeId="0">
      <text>
        <t>Em branco herda a base escolhida. Sem base, preencha os campos próprios. Texto não é automação.</t>
      </text>
    </comment>
    <comment ref="B2107" authorId="0" shapeId="0">
      <text>
        <t>Avisos do cadastro. Inválidos permanecem exportados e saem dos menus.</t>
      </text>
    </comment>
    <comment ref="J2107" authorId="0" shapeId="0">
      <text>
        <t>Avisos do cadastro. Inválidos permanecem exportados e saem dos menus.</t>
      </text>
    </comment>
    <comment ref="B2113" authorId="0" shapeId="0">
      <text>
        <t>Em branco herda a base escolhida. Sem base, preencha os campos próprios. Texto não é automação.</t>
      </text>
    </comment>
    <comment ref="B2116" authorId="0" shapeId="0">
      <text>
        <t>Em branco herda a base escolhida. Sem base, preencha os campos próprios. Texto não é automação.</t>
      </text>
    </comment>
    <comment ref="J2116" authorId="0" shapeId="0">
      <text>
        <t>Em branco herda a base escolhida. Sem base, preencha os campos próprios. Texto não é automação.</t>
      </text>
    </comment>
    <comment ref="B2117" authorId="0" shapeId="0">
      <text>
        <t>Em branco herda a base escolhida. Sem base, preencha os campos próprios. Texto não é automação.</t>
      </text>
    </comment>
    <comment ref="F2117" authorId="0" shapeId="0">
      <text>
        <t>Em branco herda a base escolhida. Sem base, preencha os campos próprios. Texto não é automação.</t>
      </text>
    </comment>
    <comment ref="J2117" authorId="0" shapeId="0">
      <text>
        <t>Em branco herda a base escolhida. Sem base, preencha os campos próprios. Texto não é automação.</t>
      </text>
    </comment>
    <comment ref="N2117" authorId="0" shapeId="0">
      <text>
        <t>Em branco herda a base escolhida. Sem base, preencha os campos próprios. Texto não é automação.</t>
      </text>
    </comment>
    <comment ref="B2118" authorId="0" shapeId="0">
      <text>
        <t>Em branco herda a base escolhida. Sem base, preencha os campos próprios. Texto não é automação.</t>
      </text>
    </comment>
    <comment ref="F2118" authorId="0" shapeId="0">
      <text>
        <t>Lembrete. Aprovação pertence ao bot no chat.</t>
      </text>
    </comment>
    <comment ref="J2118" authorId="0" shapeId="0">
      <text>
        <t>Em branco herda a base escolhida. Sem base, preencha os campos próprios. Texto não é automação.</t>
      </text>
    </comment>
    <comment ref="N2118" authorId="0" shapeId="0">
      <text>
        <t>Lembrete. Aprovação pertence ao bot no chat.</t>
      </text>
    </comment>
    <comment ref="B2119" authorId="0" shapeId="0">
      <text>
        <t>Em branco herda a base escolhida. Sem base, preencha os campos próprios. Texto não é automação.</t>
      </text>
    </comment>
    <comment ref="J2119" authorId="0" shapeId="0">
      <text>
        <t>Em branco herda a base escolhida. Sem base, preencha os campos próprios. Texto não é automação.</t>
      </text>
    </comment>
    <comment ref="B2120" authorId="0" shapeId="0">
      <text>
        <t>Em branco herda a base escolhida. Sem base, preencha os campos próprios. Texto não é automação.</t>
      </text>
    </comment>
    <comment ref="J2120" authorId="0" shapeId="0">
      <text>
        <t>Em branco herda a base escolhida. Sem base, preencha os campos próprios. Texto não é automação.</t>
      </text>
    </comment>
    <comment ref="B2121" authorId="0" shapeId="0">
      <text>
        <t>Em branco herda a base escolhida. Sem base, preencha os campos próprios. Texto não é automação.</t>
      </text>
    </comment>
    <comment ref="E2121" authorId="0" shapeId="0">
      <text>
        <t>Em branco herda a base escolhida. Sem base, preencha os campos próprios. Texto não é automação.</t>
      </text>
    </comment>
    <comment ref="J2121" authorId="0" shapeId="0">
      <text>
        <t>Em branco herda a base escolhida. Sem base, preencha os campos próprios. Texto não é automação.</t>
      </text>
    </comment>
    <comment ref="M2121" authorId="0" shapeId="0">
      <text>
        <t>Em branco herda a base escolhida. Sem base, preencha os campos próprios. Texto não é automação.</t>
      </text>
    </comment>
    <comment ref="B2122" authorId="0" shapeId="0">
      <text>
        <t>Em branco herda a base escolhida. Sem base, preencha os campos próprios. Texto não é automação.</t>
      </text>
    </comment>
    <comment ref="E2122" authorId="0" shapeId="0">
      <text>
        <t>Em branco herda a base escolhida. Sem base, preencha os campos próprios. Texto não é automação.</t>
      </text>
    </comment>
    <comment ref="J2122" authorId="0" shapeId="0">
      <text>
        <t>Em branco herda a base escolhida. Sem base, preencha os campos próprios. Texto não é automação.</t>
      </text>
    </comment>
    <comment ref="M2122" authorId="0" shapeId="0">
      <text>
        <t>Em branco herda a base escolhida. Sem base, preencha os campos próprios. Texto não é automação.</t>
      </text>
    </comment>
    <comment ref="B2123" authorId="0" shapeId="0">
      <text>
        <t>Em branco herda a base escolhida. Sem base, preencha os campos próprios. Texto não é automação.</t>
      </text>
    </comment>
    <comment ref="E2123" authorId="0" shapeId="0">
      <text>
        <t>Em branco herda a base escolhida. Sem base, preencha os campos próprios. Texto não é automação.</t>
      </text>
    </comment>
    <comment ref="J2123" authorId="0" shapeId="0">
      <text>
        <t>Em branco herda a base escolhida. Sem base, preencha os campos próprios. Texto não é automação.</t>
      </text>
    </comment>
    <comment ref="M2123" authorId="0" shapeId="0">
      <text>
        <t>Em branco herda a base escolhida. Sem base, preencha os campos próprios. Texto não é automação.</t>
      </text>
    </comment>
    <comment ref="B2124" authorId="0" shapeId="0">
      <text>
        <t>Em branco herda a base escolhida. Sem base, preencha os campos próprios. Texto não é automação.</t>
      </text>
    </comment>
    <comment ref="E2124" authorId="0" shapeId="0">
      <text>
        <t>Em branco herda a base escolhida. Sem base, preencha os campos próprios. Texto não é automação.</t>
      </text>
    </comment>
    <comment ref="J2124" authorId="0" shapeId="0">
      <text>
        <t>Em branco herda a base escolhida. Sem base, preencha os campos próprios. Texto não é automação.</t>
      </text>
    </comment>
    <comment ref="M2124" authorId="0" shapeId="0">
      <text>
        <t>Em branco herda a base escolhida. Sem base, preencha os campos próprios. Texto não é automação.</t>
      </text>
    </comment>
    <comment ref="B2125" authorId="0" shapeId="0">
      <text>
        <t>Em branco herda a base escolhida. Sem base, preencha os campos próprios. Texto não é automação.</t>
      </text>
    </comment>
    <comment ref="E2125" authorId="0" shapeId="0">
      <text>
        <t>Em branco herda a base escolhida. Sem base, preencha os campos próprios. Texto não é automação.</t>
      </text>
    </comment>
    <comment ref="J2125" authorId="0" shapeId="0">
      <text>
        <t>Em branco herda a base escolhida. Sem base, preencha os campos próprios. Texto não é automação.</t>
      </text>
    </comment>
    <comment ref="M2125" authorId="0" shapeId="0">
      <text>
        <t>Em branco herda a base escolhida. Sem base, preencha os campos próprios. Texto não é automação.</t>
      </text>
    </comment>
    <comment ref="B2127" authorId="0" shapeId="0">
      <text>
        <t>Em branco herda a base escolhida. Sem base, preencha os campos próprios. Texto não é automação.</t>
      </text>
    </comment>
    <comment ref="J2127" authorId="0" shapeId="0">
      <text>
        <t>Em branco herda a base escolhida. Sem base, preencha os campos próprios. Texto não é automação.</t>
      </text>
    </comment>
    <comment ref="B2128" authorId="0" shapeId="0">
      <text>
        <t>Em branco herda a base escolhida. Sem base, preencha os campos próprios. Texto não é automação.</t>
      </text>
    </comment>
    <comment ref="J2128" authorId="0" shapeId="0">
      <text>
        <t>Em branco herda a base escolhida. Sem base, preencha os campos próprios. Texto não é automação.</t>
      </text>
    </comment>
    <comment ref="B2133" authorId="0" shapeId="0">
      <text>
        <t>Em branco herda a base escolhida. Sem base, preencha os campos próprios. Texto não é automação.</t>
      </text>
    </comment>
    <comment ref="J2133" authorId="0" shapeId="0">
      <text>
        <t>Em branco herda a base escolhida. Sem base, preencha os campos próprios. Texto não é automação.</t>
      </text>
    </comment>
    <comment ref="B2134" authorId="0" shapeId="0">
      <text>
        <t>Em branco herda a base escolhida. Sem base, preencha os campos próprios. Texto não é automação.</t>
      </text>
    </comment>
    <comment ref="J2134" authorId="0" shapeId="0">
      <text>
        <t>Em branco herda a base escolhida. Sem base, preencha os campos próprios. Texto não é automação.</t>
      </text>
    </comment>
    <comment ref="B2140" authorId="0" shapeId="0">
      <text>
        <t>Avisos do cadastro. Inválidos permanecem exportados e saem dos menus.</t>
      </text>
    </comment>
    <comment ref="J2140" authorId="0" shapeId="0">
      <text>
        <t>Avisos do cadastro. Inválidos permanecem exportados e saem dos menus.</t>
      </text>
    </comment>
    <comment ref="B2143" authorId="0" shapeId="0">
      <text>
        <t>Em branco herda a base escolhida. Sem base, preencha os campos próprios. Texto não é automação.</t>
      </text>
    </comment>
    <comment ref="J2143" authorId="0" shapeId="0">
      <text>
        <t>Em branco herda a base escolhida. Sem base, preencha os campos próprios. Texto não é automação.</t>
      </text>
    </comment>
    <comment ref="B2144" authorId="0" shapeId="0">
      <text>
        <t>Em branco herda a base escolhida. Sem base, preencha os campos próprios. Texto não é automação.</t>
      </text>
    </comment>
    <comment ref="F2144" authorId="0" shapeId="0">
      <text>
        <t>Em branco herda a base escolhida. Sem base, preencha os campos próprios. Texto não é automação.</t>
      </text>
    </comment>
    <comment ref="J2144" authorId="0" shapeId="0">
      <text>
        <t>Em branco herda a base escolhida. Sem base, preencha os campos próprios. Texto não é automação.</t>
      </text>
    </comment>
    <comment ref="N2144" authorId="0" shapeId="0">
      <text>
        <t>Em branco herda a base escolhida. Sem base, preencha os campos próprios. Texto não é automação.</t>
      </text>
    </comment>
    <comment ref="B2145" authorId="0" shapeId="0">
      <text>
        <t>Em branco herda a base escolhida. Sem base, preencha os campos próprios. Texto não é automação.</t>
      </text>
    </comment>
    <comment ref="F2145" authorId="0" shapeId="0">
      <text>
        <t>Lembrete. Aprovação pertence ao bot no chat.</t>
      </text>
    </comment>
    <comment ref="J2145" authorId="0" shapeId="0">
      <text>
        <t>Em branco herda a base escolhida. Sem base, preencha os campos próprios. Texto não é automação.</t>
      </text>
    </comment>
    <comment ref="N2145" authorId="0" shapeId="0">
      <text>
        <t>Lembrete. Aprovação pertence ao bot no chat.</t>
      </text>
    </comment>
    <comment ref="B2146" authorId="0" shapeId="0">
      <text>
        <t>Em branco herda a base escolhida. Sem base, preencha os campos próprios. Texto não é automação.</t>
      </text>
    </comment>
    <comment ref="J2146" authorId="0" shapeId="0">
      <text>
        <t>Em branco herda a base escolhida. Sem base, preencha os campos próprios. Texto não é automação.</t>
      </text>
    </comment>
    <comment ref="B2147" authorId="0" shapeId="0">
      <text>
        <t>Em branco herda a base escolhida. Sem base, preencha os campos próprios. Texto não é automação.</t>
      </text>
    </comment>
    <comment ref="J2147" authorId="0" shapeId="0">
      <text>
        <t>Em branco herda a base escolhida. Sem base, preencha os campos próprios. Texto não é automação.</t>
      </text>
    </comment>
    <comment ref="B2148" authorId="0" shapeId="0">
      <text>
        <t>Em branco herda a base escolhida. Sem base, preencha os campos próprios. Texto não é automação.</t>
      </text>
    </comment>
    <comment ref="E2148" authorId="0" shapeId="0">
      <text>
        <t>Em branco herda a base escolhida. Sem base, preencha os campos próprios. Texto não é automação.</t>
      </text>
    </comment>
    <comment ref="J2148" authorId="0" shapeId="0">
      <text>
        <t>Em branco herda a base escolhida. Sem base, preencha os campos próprios. Texto não é automação.</t>
      </text>
    </comment>
    <comment ref="M2148" authorId="0" shapeId="0">
      <text>
        <t>Em branco herda a base escolhida. Sem base, preencha os campos próprios. Texto não é automação.</t>
      </text>
    </comment>
    <comment ref="B2149" authorId="0" shapeId="0">
      <text>
        <t>Em branco herda a base escolhida. Sem base, preencha os campos próprios. Texto não é automação.</t>
      </text>
    </comment>
    <comment ref="E2149" authorId="0" shapeId="0">
      <text>
        <t>Em branco herda a base escolhida. Sem base, preencha os campos próprios. Texto não é automação.</t>
      </text>
    </comment>
    <comment ref="J2149" authorId="0" shapeId="0">
      <text>
        <t>Em branco herda a base escolhida. Sem base, preencha os campos próprios. Texto não é automação.</t>
      </text>
    </comment>
    <comment ref="M2149" authorId="0" shapeId="0">
      <text>
        <t>Em branco herda a base escolhida. Sem base, preencha os campos próprios. Texto não é automação.</t>
      </text>
    </comment>
    <comment ref="B2150" authorId="0" shapeId="0">
      <text>
        <t>Em branco herda a base escolhida. Sem base, preencha os campos próprios. Texto não é automação.</t>
      </text>
    </comment>
    <comment ref="E2150" authorId="0" shapeId="0">
      <text>
        <t>Em branco herda a base escolhida. Sem base, preencha os campos próprios. Texto não é automação.</t>
      </text>
    </comment>
    <comment ref="J2150" authorId="0" shapeId="0">
      <text>
        <t>Em branco herda a base escolhida. Sem base, preencha os campos próprios. Texto não é automação.</t>
      </text>
    </comment>
    <comment ref="M2150" authorId="0" shapeId="0">
      <text>
        <t>Em branco herda a base escolhida. Sem base, preencha os campos próprios. Texto não é automação.</t>
      </text>
    </comment>
    <comment ref="B2151" authorId="0" shapeId="0">
      <text>
        <t>Em branco herda a base escolhida. Sem base, preencha os campos próprios. Texto não é automação.</t>
      </text>
    </comment>
    <comment ref="E2151" authorId="0" shapeId="0">
      <text>
        <t>Em branco herda a base escolhida. Sem base, preencha os campos próprios. Texto não é automação.</t>
      </text>
    </comment>
    <comment ref="J2151" authorId="0" shapeId="0">
      <text>
        <t>Em branco herda a base escolhida. Sem base, preencha os campos próprios. Texto não é automação.</t>
      </text>
    </comment>
    <comment ref="M2151" authorId="0" shapeId="0">
      <text>
        <t>Em branco herda a base escolhida. Sem base, preencha os campos próprios. Texto não é automação.</t>
      </text>
    </comment>
    <comment ref="B2152" authorId="0" shapeId="0">
      <text>
        <t>Em branco herda a base escolhida. Sem base, preencha os campos próprios. Texto não é automação.</t>
      </text>
    </comment>
    <comment ref="E2152" authorId="0" shapeId="0">
      <text>
        <t>Em branco herda a base escolhida. Sem base, preencha os campos próprios. Texto não é automação.</t>
      </text>
    </comment>
    <comment ref="J2152" authorId="0" shapeId="0">
      <text>
        <t>Em branco herda a base escolhida. Sem base, preencha os campos próprios. Texto não é automação.</t>
      </text>
    </comment>
    <comment ref="M2152" authorId="0" shapeId="0">
      <text>
        <t>Em branco herda a base escolhida. Sem base, preencha os campos próprios. Texto não é automação.</t>
      </text>
    </comment>
    <comment ref="B2154" authorId="0" shapeId="0">
      <text>
        <t>Em branco herda a base escolhida. Sem base, preencha os campos próprios. Texto não é automação.</t>
      </text>
    </comment>
    <comment ref="J2154" authorId="0" shapeId="0">
      <text>
        <t>Em branco herda a base escolhida. Sem base, preencha os campos próprios. Texto não é automação.</t>
      </text>
    </comment>
    <comment ref="B2155" authorId="0" shapeId="0">
      <text>
        <t>Em branco herda a base escolhida. Sem base, preencha os campos próprios. Texto não é automação.</t>
      </text>
    </comment>
    <comment ref="J2155" authorId="0" shapeId="0">
      <text>
        <t>Em branco herda a base escolhida. Sem base, preencha os campos próprios. Texto não é automação.</t>
      </text>
    </comment>
    <comment ref="B2160" authorId="0" shapeId="0">
      <text>
        <t>Em branco herda a base escolhida. Sem base, preencha os campos próprios. Texto não é automação.</t>
      </text>
    </comment>
    <comment ref="J2160" authorId="0" shapeId="0">
      <text>
        <t>Em branco herda a base escolhida. Sem base, preencha os campos próprios. Texto não é automação.</t>
      </text>
    </comment>
    <comment ref="B2161" authorId="0" shapeId="0">
      <text>
        <t>Em branco herda a base escolhida. Sem base, preencha os campos próprios. Texto não é automação.</t>
      </text>
    </comment>
    <comment ref="J2161" authorId="0" shapeId="0">
      <text>
        <t>Em branco herda a base escolhida. Sem base, preencha os campos próprios. Texto não é automação.</t>
      </text>
    </comment>
    <comment ref="B2167" authorId="0" shapeId="0">
      <text>
        <t>Avisos do cadastro. Inválidos permanecem exportados e saem dos menus.</t>
      </text>
    </comment>
    <comment ref="J2167" authorId="0" shapeId="0">
      <text>
        <t>Avisos do cadastro. Inválidos permanecem exportados e saem dos menus.</t>
      </text>
    </comment>
    <comment ref="B2170" authorId="0" shapeId="0">
      <text>
        <t>Em branco herda a base escolhida. Sem base, preencha os campos próprios. Texto não é automação.</t>
      </text>
    </comment>
    <comment ref="J2170" authorId="0" shapeId="0">
      <text>
        <t>Em branco herda a base escolhida. Sem base, preencha os campos próprios. Texto não é automação.</t>
      </text>
    </comment>
    <comment ref="B2171" authorId="0" shapeId="0">
      <text>
        <t>Em branco herda a base escolhida. Sem base, preencha os campos próprios. Texto não é automação.</t>
      </text>
    </comment>
    <comment ref="F2171" authorId="0" shapeId="0">
      <text>
        <t>Em branco herda a base escolhida. Sem base, preencha os campos próprios. Texto não é automação.</t>
      </text>
    </comment>
    <comment ref="J2171" authorId="0" shapeId="0">
      <text>
        <t>Em branco herda a base escolhida. Sem base, preencha os campos próprios. Texto não é automação.</t>
      </text>
    </comment>
    <comment ref="N2171" authorId="0" shapeId="0">
      <text>
        <t>Em branco herda a base escolhida. Sem base, preencha os campos próprios. Texto não é automação.</t>
      </text>
    </comment>
    <comment ref="B2172" authorId="0" shapeId="0">
      <text>
        <t>Em branco herda a base escolhida. Sem base, preencha os campos próprios. Texto não é automação.</t>
      </text>
    </comment>
    <comment ref="F2172" authorId="0" shapeId="0">
      <text>
        <t>Lembrete. Aprovação pertence ao bot no chat.</t>
      </text>
    </comment>
    <comment ref="J2172" authorId="0" shapeId="0">
      <text>
        <t>Em branco herda a base escolhida. Sem base, preencha os campos próprios. Texto não é automação.</t>
      </text>
    </comment>
    <comment ref="N2172" authorId="0" shapeId="0">
      <text>
        <t>Lembrete. Aprovação pertence ao bot no chat.</t>
      </text>
    </comment>
    <comment ref="B2173" authorId="0" shapeId="0">
      <text>
        <t>Em branco herda a base escolhida. Sem base, preencha os campos próprios. Texto não é automação.</t>
      </text>
    </comment>
    <comment ref="J2173" authorId="0" shapeId="0">
      <text>
        <t>Em branco herda a base escolhida. Sem base, preencha os campos próprios. Texto não é automação.</t>
      </text>
    </comment>
    <comment ref="B2174" authorId="0" shapeId="0">
      <text>
        <t>Em branco herda a base escolhida. Sem base, preencha os campos próprios. Texto não é automação.</t>
      </text>
    </comment>
    <comment ref="J2174" authorId="0" shapeId="0">
      <text>
        <t>Em branco herda a base escolhida. Sem base, preencha os campos próprios. Texto não é automação.</t>
      </text>
    </comment>
    <comment ref="B2175" authorId="0" shapeId="0">
      <text>
        <t>Em branco herda a base escolhida. Sem base, preencha os campos próprios. Texto não é automação.</t>
      </text>
    </comment>
    <comment ref="E2175" authorId="0" shapeId="0">
      <text>
        <t>Em branco herda a base escolhida. Sem base, preencha os campos próprios. Texto não é automação.</t>
      </text>
    </comment>
    <comment ref="J2175" authorId="0" shapeId="0">
      <text>
        <t>Em branco herda a base escolhida. Sem base, preencha os campos próprios. Texto não é automação.</t>
      </text>
    </comment>
    <comment ref="M2175" authorId="0" shapeId="0">
      <text>
        <t>Em branco herda a base escolhida. Sem base, preencha os campos próprios. Texto não é automação.</t>
      </text>
    </comment>
    <comment ref="B2176" authorId="0" shapeId="0">
      <text>
        <t>Em branco herda a base escolhida. Sem base, preencha os campos próprios. Texto não é automação.</t>
      </text>
    </comment>
    <comment ref="E2176" authorId="0" shapeId="0">
      <text>
        <t>Em branco herda a base escolhida. Sem base, preencha os campos próprios. Texto não é automação.</t>
      </text>
    </comment>
    <comment ref="J2176" authorId="0" shapeId="0">
      <text>
        <t>Em branco herda a base escolhida. Sem base, preencha os campos próprios. Texto não é automação.</t>
      </text>
    </comment>
    <comment ref="M2176" authorId="0" shapeId="0">
      <text>
        <t>Em branco herda a base escolhida. Sem base, preencha os campos próprios. Texto não é automação.</t>
      </text>
    </comment>
    <comment ref="B2177" authorId="0" shapeId="0">
      <text>
        <t>Em branco herda a base escolhida. Sem base, preencha os campos próprios. Texto não é automação.</t>
      </text>
    </comment>
    <comment ref="E2177" authorId="0" shapeId="0">
      <text>
        <t>Em branco herda a base escolhida. Sem base, preencha os campos próprios. Texto não é automação.</t>
      </text>
    </comment>
    <comment ref="J2177" authorId="0" shapeId="0">
      <text>
        <t>Em branco herda a base escolhida. Sem base, preencha os campos próprios. Texto não é automação.</t>
      </text>
    </comment>
    <comment ref="M2177" authorId="0" shapeId="0">
      <text>
        <t>Em branco herda a base escolhida. Sem base, preencha os campos próprios. Texto não é automação.</t>
      </text>
    </comment>
    <comment ref="B2178" authorId="0" shapeId="0">
      <text>
        <t>Em branco herda a base escolhida. Sem base, preencha os campos próprios. Texto não é automação.</t>
      </text>
    </comment>
    <comment ref="E2178" authorId="0" shapeId="0">
      <text>
        <t>Em branco herda a base escolhida. Sem base, preencha os campos próprios. Texto não é automação.</t>
      </text>
    </comment>
    <comment ref="J2178" authorId="0" shapeId="0">
      <text>
        <t>Em branco herda a base escolhida. Sem base, preencha os campos próprios. Texto não é automação.</t>
      </text>
    </comment>
    <comment ref="M2178" authorId="0" shapeId="0">
      <text>
        <t>Em branco herda a base escolhida. Sem base, preencha os campos próprios. Texto não é automação.</t>
      </text>
    </comment>
    <comment ref="B2179" authorId="0" shapeId="0">
      <text>
        <t>Em branco herda a base escolhida. Sem base, preencha os campos próprios. Texto não é automação.</t>
      </text>
    </comment>
    <comment ref="E2179" authorId="0" shapeId="0">
      <text>
        <t>Em branco herda a base escolhida. Sem base, preencha os campos próprios. Texto não é automação.</t>
      </text>
    </comment>
    <comment ref="J2179" authorId="0" shapeId="0">
      <text>
        <t>Em branco herda a base escolhida. Sem base, preencha os campos próprios. Texto não é automação.</t>
      </text>
    </comment>
    <comment ref="M2179" authorId="0" shapeId="0">
      <text>
        <t>Em branco herda a base escolhida. Sem base, preencha os campos próprios. Texto não é automação.</t>
      </text>
    </comment>
    <comment ref="B2181" authorId="0" shapeId="0">
      <text>
        <t>Em branco herda a base escolhida. Sem base, preencha os campos próprios. Texto não é automação.</t>
      </text>
    </comment>
    <comment ref="J2181" authorId="0" shapeId="0">
      <text>
        <t>Em branco herda a base escolhida. Sem base, preencha os campos próprios. Texto não é automação.</t>
      </text>
    </comment>
    <comment ref="B2182" authorId="0" shapeId="0">
      <text>
        <t>Em branco herda a base escolhida. Sem base, preencha os campos próprios. Texto não é automação.</t>
      </text>
    </comment>
    <comment ref="J2182" authorId="0" shapeId="0">
      <text>
        <t>Em branco herda a base escolhida. Sem base, preencha os campos próprios. Texto não é automação.</t>
      </text>
    </comment>
    <comment ref="B2187" authorId="0" shapeId="0">
      <text>
        <t>Em branco herda a base escolhida. Sem base, preencha os campos próprios. Texto não é automação.</t>
      </text>
    </comment>
    <comment ref="J2187" authorId="0" shapeId="0">
      <text>
        <t>Em branco herda a base escolhida. Sem base, preencha os campos próprios. Texto não é automação.</t>
      </text>
    </comment>
    <comment ref="B2188" authorId="0" shapeId="0">
      <text>
        <t>Em branco herda a base escolhida. Sem base, preencha os campos próprios. Texto não é automação.</t>
      </text>
    </comment>
    <comment ref="J2188" authorId="0" shapeId="0">
      <text>
        <t>Em branco herda a base escolhida. Sem base, preencha os campos próprios. Texto não é automação.</t>
      </text>
    </comment>
    <comment ref="B2194" authorId="0" shapeId="0">
      <text>
        <t>Avisos do cadastro. Inválidos permanecem exportados e saem dos menus.</t>
      </text>
    </comment>
    <comment ref="J2194" authorId="0" shapeId="0">
      <text>
        <t>Avisos do cadastro. Inválidos permanecem exportados e saem dos menus.</t>
      </text>
    </comment>
    <comment ref="B2197" authorId="0" shapeId="0">
      <text>
        <t>Em branco herda a base escolhida. Sem base, preencha os campos próprios. Texto não é automação.</t>
      </text>
    </comment>
    <comment ref="J2197" authorId="0" shapeId="0">
      <text>
        <t>Em branco herda a base escolhida. Sem base, preencha os campos próprios. Texto não é automação.</t>
      </text>
    </comment>
    <comment ref="B2198" authorId="0" shapeId="0">
      <text>
        <t>Em branco herda a base escolhida. Sem base, preencha os campos próprios. Texto não é automação.</t>
      </text>
    </comment>
    <comment ref="F2198" authorId="0" shapeId="0">
      <text>
        <t>Em branco herda a base escolhida. Sem base, preencha os campos próprios. Texto não é automação.</t>
      </text>
    </comment>
    <comment ref="J2198" authorId="0" shapeId="0">
      <text>
        <t>Em branco herda a base escolhida. Sem base, preencha os campos próprios. Texto não é automação.</t>
      </text>
    </comment>
    <comment ref="N2198" authorId="0" shapeId="0">
      <text>
        <t>Em branco herda a base escolhida. Sem base, preencha os campos próprios. Texto não é automação.</t>
      </text>
    </comment>
    <comment ref="B2199" authorId="0" shapeId="0">
      <text>
        <t>Em branco herda a base escolhida. Sem base, preencha os campos próprios. Texto não é automação.</t>
      </text>
    </comment>
    <comment ref="F2199" authorId="0" shapeId="0">
      <text>
        <t>Lembrete. Aprovação pertence ao bot no chat.</t>
      </text>
    </comment>
    <comment ref="J2199" authorId="0" shapeId="0">
      <text>
        <t>Em branco herda a base escolhida. Sem base, preencha os campos próprios. Texto não é automação.</t>
      </text>
    </comment>
    <comment ref="N2199" authorId="0" shapeId="0">
      <text>
        <t>Lembrete. Aprovação pertence ao bot no chat.</t>
      </text>
    </comment>
    <comment ref="B2200" authorId="0" shapeId="0">
      <text>
        <t>Em branco herda a base escolhida. Sem base, preencha os campos próprios. Texto não é automação.</t>
      </text>
    </comment>
    <comment ref="J2200" authorId="0" shapeId="0">
      <text>
        <t>Em branco herda a base escolhida. Sem base, preencha os campos próprios. Texto não é automação.</t>
      </text>
    </comment>
    <comment ref="B2201" authorId="0" shapeId="0">
      <text>
        <t>Em branco herda a base escolhida. Sem base, preencha os campos próprios. Texto não é automação.</t>
      </text>
    </comment>
    <comment ref="J2201" authorId="0" shapeId="0">
      <text>
        <t>Em branco herda a base escolhida. Sem base, preencha os campos próprios. Texto não é automação.</t>
      </text>
    </comment>
    <comment ref="B2202" authorId="0" shapeId="0">
      <text>
        <t>Em branco herda a base escolhida. Sem base, preencha os campos próprios. Texto não é automação.</t>
      </text>
    </comment>
    <comment ref="E2202" authorId="0" shapeId="0">
      <text>
        <t>Em branco herda a base escolhida. Sem base, preencha os campos próprios. Texto não é automação.</t>
      </text>
    </comment>
    <comment ref="J2202" authorId="0" shapeId="0">
      <text>
        <t>Em branco herda a base escolhida. Sem base, preencha os campos próprios. Texto não é automação.</t>
      </text>
    </comment>
    <comment ref="M2202" authorId="0" shapeId="0">
      <text>
        <t>Em branco herda a base escolhida. Sem base, preencha os campos próprios. Texto não é automação.</t>
      </text>
    </comment>
    <comment ref="B2203" authorId="0" shapeId="0">
      <text>
        <t>Em branco herda a base escolhida. Sem base, preencha os campos próprios. Texto não é automação.</t>
      </text>
    </comment>
    <comment ref="E2203" authorId="0" shapeId="0">
      <text>
        <t>Em branco herda a base escolhida. Sem base, preencha os campos próprios. Texto não é automação.</t>
      </text>
    </comment>
    <comment ref="J2203" authorId="0" shapeId="0">
      <text>
        <t>Em branco herda a base escolhida. Sem base, preencha os campos próprios. Texto não é automação.</t>
      </text>
    </comment>
    <comment ref="M2203" authorId="0" shapeId="0">
      <text>
        <t>Em branco herda a base escolhida. Sem base, preencha os campos próprios. Texto não é automação.</t>
      </text>
    </comment>
    <comment ref="B2204" authorId="0" shapeId="0">
      <text>
        <t>Em branco herda a base escolhida. Sem base, preencha os campos próprios. Texto não é automação.</t>
      </text>
    </comment>
    <comment ref="E2204" authorId="0" shapeId="0">
      <text>
        <t>Em branco herda a base escolhida. Sem base, preencha os campos próprios. Texto não é automação.</t>
      </text>
    </comment>
    <comment ref="J2204" authorId="0" shapeId="0">
      <text>
        <t>Em branco herda a base escolhida. Sem base, preencha os campos próprios. Texto não é automação.</t>
      </text>
    </comment>
    <comment ref="M2204" authorId="0" shapeId="0">
      <text>
        <t>Em branco herda a base escolhida. Sem base, preencha os campos próprios. Texto não é automação.</t>
      </text>
    </comment>
    <comment ref="B2205" authorId="0" shapeId="0">
      <text>
        <t>Em branco herda a base escolhida. Sem base, preencha os campos próprios. Texto não é automação.</t>
      </text>
    </comment>
    <comment ref="E2205" authorId="0" shapeId="0">
      <text>
        <t>Em branco herda a base escolhida. Sem base, preencha os campos próprios. Texto não é automação.</t>
      </text>
    </comment>
    <comment ref="J2205" authorId="0" shapeId="0">
      <text>
        <t>Em branco herda a base escolhida. Sem base, preencha os campos próprios. Texto não é automação.</t>
      </text>
    </comment>
    <comment ref="M2205" authorId="0" shapeId="0">
      <text>
        <t>Em branco herda a base escolhida. Sem base, preencha os campos próprios. Texto não é automação.</t>
      </text>
    </comment>
    <comment ref="B2206" authorId="0" shapeId="0">
      <text>
        <t>Em branco herda a base escolhida. Sem base, preencha os campos próprios. Texto não é automação.</t>
      </text>
    </comment>
    <comment ref="E2206" authorId="0" shapeId="0">
      <text>
        <t>Em branco herda a base escolhida. Sem base, preencha os campos próprios. Texto não é automação.</t>
      </text>
    </comment>
    <comment ref="J2206" authorId="0" shapeId="0">
      <text>
        <t>Em branco herda a base escolhida. Sem base, preencha os campos próprios. Texto não é automação.</t>
      </text>
    </comment>
    <comment ref="M2206" authorId="0" shapeId="0">
      <text>
        <t>Em branco herda a base escolhida. Sem base, preencha os campos próprios. Texto não é automação.</t>
      </text>
    </comment>
    <comment ref="B2208" authorId="0" shapeId="0">
      <text>
        <t>Em branco herda a base escolhida. Sem base, preencha os campos próprios. Texto não é automação.</t>
      </text>
    </comment>
    <comment ref="J2208" authorId="0" shapeId="0">
      <text>
        <t>Em branco herda a base escolhida. Sem base, preencha os campos próprios. Texto não é automação.</t>
      </text>
    </comment>
    <comment ref="B2209" authorId="0" shapeId="0">
      <text>
        <t>Em branco herda a base escolhida. Sem base, preencha os campos próprios. Texto não é automação.</t>
      </text>
    </comment>
    <comment ref="J2209" authorId="0" shapeId="0">
      <text>
        <t>Em branco herda a base escolhida. Sem base, preencha os campos próprios. Texto não é automação.</t>
      </text>
    </comment>
    <comment ref="B2214" authorId="0" shapeId="0">
      <text>
        <t>Em branco herda a base escolhida. Sem base, preencha os campos próprios. Texto não é automação.</t>
      </text>
    </comment>
    <comment ref="J2214" authorId="0" shapeId="0">
      <text>
        <t>Em branco herda a base escolhida. Sem base, preencha os campos próprios. Texto não é automação.</t>
      </text>
    </comment>
    <comment ref="B2215" authorId="0" shapeId="0">
      <text>
        <t>Em branco herda a base escolhida. Sem base, preencha os campos próprios. Texto não é automação.</t>
      </text>
    </comment>
    <comment ref="J2215" authorId="0" shapeId="0">
      <text>
        <t>Em branco herda a base escolhida. Sem base, preencha os campos próprios. Texto não é automação.</t>
      </text>
    </comment>
    <comment ref="B2221" authorId="0" shapeId="0">
      <text>
        <t>Avisos do cadastro. Inválidos permanecem exportados e saem dos menus.</t>
      </text>
    </comment>
    <comment ref="J2221" authorId="0" shapeId="0">
      <text>
        <t>Avisos do cadastro. Inválidos permanecem exportados e saem dos menus.</t>
      </text>
    </comment>
    <comment ref="B2224" authorId="0" shapeId="0">
      <text>
        <t>Em branco herda a base escolhida. Sem base, preencha os campos próprios. Texto não é automação.</t>
      </text>
    </comment>
    <comment ref="J2224" authorId="0" shapeId="0">
      <text>
        <t>Em branco herda a base escolhida. Sem base, preencha os campos próprios. Texto não é automação.</t>
      </text>
    </comment>
    <comment ref="B2225" authorId="0" shapeId="0">
      <text>
        <t>Em branco herda a base escolhida. Sem base, preencha os campos próprios. Texto não é automação.</t>
      </text>
    </comment>
    <comment ref="F2225" authorId="0" shapeId="0">
      <text>
        <t>Em branco herda a base escolhida. Sem base, preencha os campos próprios. Texto não é automação.</t>
      </text>
    </comment>
    <comment ref="J2225" authorId="0" shapeId="0">
      <text>
        <t>Em branco herda a base escolhida. Sem base, preencha os campos próprios. Texto não é automação.</t>
      </text>
    </comment>
    <comment ref="N2225" authorId="0" shapeId="0">
      <text>
        <t>Em branco herda a base escolhida. Sem base, preencha os campos próprios. Texto não é automação.</t>
      </text>
    </comment>
    <comment ref="B2226" authorId="0" shapeId="0">
      <text>
        <t>Em branco herda a base escolhida. Sem base, preencha os campos próprios. Texto não é automação.</t>
      </text>
    </comment>
    <comment ref="F2226" authorId="0" shapeId="0">
      <text>
        <t>Lembrete. Aprovação pertence ao bot no chat.</t>
      </text>
    </comment>
    <comment ref="J2226" authorId="0" shapeId="0">
      <text>
        <t>Em branco herda a base escolhida. Sem base, preencha os campos próprios. Texto não é automação.</t>
      </text>
    </comment>
    <comment ref="N2226" authorId="0" shapeId="0">
      <text>
        <t>Lembrete. Aprovação pertence ao bot no chat.</t>
      </text>
    </comment>
    <comment ref="B2227" authorId="0" shapeId="0">
      <text>
        <t>Em branco herda a base escolhida. Sem base, preencha os campos próprios. Texto não é automação.</t>
      </text>
    </comment>
    <comment ref="J2227" authorId="0" shapeId="0">
      <text>
        <t>Em branco herda a base escolhida. Sem base, preencha os campos próprios. Texto não é automação.</t>
      </text>
    </comment>
    <comment ref="B2228" authorId="0" shapeId="0">
      <text>
        <t>Em branco herda a base escolhida. Sem base, preencha os campos próprios. Texto não é automação.</t>
      </text>
    </comment>
    <comment ref="J2228" authorId="0" shapeId="0">
      <text>
        <t>Em branco herda a base escolhida. Sem base, preencha os campos próprios. Texto não é automação.</t>
      </text>
    </comment>
    <comment ref="B2229" authorId="0" shapeId="0">
      <text>
        <t>Em branco herda a base escolhida. Sem base, preencha os campos próprios. Texto não é automação.</t>
      </text>
    </comment>
    <comment ref="E2229" authorId="0" shapeId="0">
      <text>
        <t>Em branco herda a base escolhida. Sem base, preencha os campos próprios. Texto não é automação.</t>
      </text>
    </comment>
    <comment ref="J2229" authorId="0" shapeId="0">
      <text>
        <t>Em branco herda a base escolhida. Sem base, preencha os campos próprios. Texto não é automação.</t>
      </text>
    </comment>
    <comment ref="M2229" authorId="0" shapeId="0">
      <text>
        <t>Em branco herda a base escolhida. Sem base, preencha os campos próprios. Texto não é automação.</t>
      </text>
    </comment>
    <comment ref="B2230" authorId="0" shapeId="0">
      <text>
        <t>Em branco herda a base escolhida. Sem base, preencha os campos próprios. Texto não é automação.</t>
      </text>
    </comment>
    <comment ref="E2230" authorId="0" shapeId="0">
      <text>
        <t>Em branco herda a base escolhida. Sem base, preencha os campos próprios. Texto não é automação.</t>
      </text>
    </comment>
    <comment ref="J2230" authorId="0" shapeId="0">
      <text>
        <t>Em branco herda a base escolhida. Sem base, preencha os campos próprios. Texto não é automação.</t>
      </text>
    </comment>
    <comment ref="M2230" authorId="0" shapeId="0">
      <text>
        <t>Em branco herda a base escolhida. Sem base, preencha os campos próprios. Texto não é automação.</t>
      </text>
    </comment>
    <comment ref="B2231" authorId="0" shapeId="0">
      <text>
        <t>Em branco herda a base escolhida. Sem base, preencha os campos próprios. Texto não é automação.</t>
      </text>
    </comment>
    <comment ref="E2231" authorId="0" shapeId="0">
      <text>
        <t>Em branco herda a base escolhida. Sem base, preencha os campos próprios. Texto não é automação.</t>
      </text>
    </comment>
    <comment ref="J2231" authorId="0" shapeId="0">
      <text>
        <t>Em branco herda a base escolhida. Sem base, preencha os campos próprios. Texto não é automação.</t>
      </text>
    </comment>
    <comment ref="M2231" authorId="0" shapeId="0">
      <text>
        <t>Em branco herda a base escolhida. Sem base, preencha os campos próprios. Texto não é automação.</t>
      </text>
    </comment>
    <comment ref="B2232" authorId="0" shapeId="0">
      <text>
        <t>Em branco herda a base escolhida. Sem base, preencha os campos próprios. Texto não é automação.</t>
      </text>
    </comment>
    <comment ref="E2232" authorId="0" shapeId="0">
      <text>
        <t>Em branco herda a base escolhida. Sem base, preencha os campos próprios. Texto não é automação.</t>
      </text>
    </comment>
    <comment ref="J2232" authorId="0" shapeId="0">
      <text>
        <t>Em branco herda a base escolhida. Sem base, preencha os campos próprios. Texto não é automação.</t>
      </text>
    </comment>
    <comment ref="M2232" authorId="0" shapeId="0">
      <text>
        <t>Em branco herda a base escolhida. Sem base, preencha os campos próprios. Texto não é automação.</t>
      </text>
    </comment>
    <comment ref="B2233" authorId="0" shapeId="0">
      <text>
        <t>Em branco herda a base escolhida. Sem base, preencha os campos próprios. Texto não é automação.</t>
      </text>
    </comment>
    <comment ref="E2233" authorId="0" shapeId="0">
      <text>
        <t>Em branco herda a base escolhida. Sem base, preencha os campos próprios. Texto não é automação.</t>
      </text>
    </comment>
    <comment ref="J2233" authorId="0" shapeId="0">
      <text>
        <t>Em branco herda a base escolhida. Sem base, preencha os campos próprios. Texto não é automação.</t>
      </text>
    </comment>
    <comment ref="M2233" authorId="0" shapeId="0">
      <text>
        <t>Em branco herda a base escolhida. Sem base, preencha os campos próprios. Texto não é automação.</t>
      </text>
    </comment>
    <comment ref="B2235" authorId="0" shapeId="0">
      <text>
        <t>Em branco herda a base escolhida. Sem base, preencha os campos próprios. Texto não é automação.</t>
      </text>
    </comment>
    <comment ref="J2235" authorId="0" shapeId="0">
      <text>
        <t>Em branco herda a base escolhida. Sem base, preencha os campos próprios. Texto não é automação.</t>
      </text>
    </comment>
    <comment ref="B2236" authorId="0" shapeId="0">
      <text>
        <t>Em branco herda a base escolhida. Sem base, preencha os campos próprios. Texto não é automação.</t>
      </text>
    </comment>
    <comment ref="J2236" authorId="0" shapeId="0">
      <text>
        <t>Em branco herda a base escolhida. Sem base, preencha os campos próprios. Texto não é automação.</t>
      </text>
    </comment>
    <comment ref="B2241" authorId="0" shapeId="0">
      <text>
        <t>Em branco herda a base escolhida. Sem base, preencha os campos próprios. Texto não é automação.</t>
      </text>
    </comment>
    <comment ref="J2241" authorId="0" shapeId="0">
      <text>
        <t>Em branco herda a base escolhida. Sem base, preencha os campos próprios. Texto não é automação.</t>
      </text>
    </comment>
    <comment ref="B2242" authorId="0" shapeId="0">
      <text>
        <t>Em branco herda a base escolhida. Sem base, preencha os campos próprios. Texto não é automação.</t>
      </text>
    </comment>
    <comment ref="J2242" authorId="0" shapeId="0">
      <text>
        <t>Em branco herda a base escolhida. Sem base, preencha os campos próprios. Texto não é automação.</t>
      </text>
    </comment>
    <comment ref="B2248" authorId="0" shapeId="0">
      <text>
        <t>Avisos do cadastro. Inválidos permanecem exportados e saem dos menus.</t>
      </text>
    </comment>
    <comment ref="J2248" authorId="0" shapeId="0">
      <text>
        <t>Avisos do cadastro. Inválidos permanecem exportados e saem dos menus.</t>
      </text>
    </comment>
    <comment ref="B2254" authorId="0" shapeId="0">
      <text>
        <t>Em branco herda a base escolhida. Sem base, preencha os campos próprios. Texto não é automação.</t>
      </text>
    </comment>
    <comment ref="B2257" authorId="0" shapeId="0">
      <text>
        <t>Em branco herda a base escolhida. Sem base, preencha os campos próprios. Texto não é automação.</t>
      </text>
    </comment>
    <comment ref="J2257" authorId="0" shapeId="0">
      <text>
        <t>Em branco herda a base escolhida. Sem base, preencha os campos próprios. Texto não é automação.</t>
      </text>
    </comment>
    <comment ref="B2258" authorId="0" shapeId="0">
      <text>
        <t>Em branco herda a base escolhida. Sem base, preencha os campos próprios. Texto não é automação.</t>
      </text>
    </comment>
    <comment ref="F2258" authorId="0" shapeId="0">
      <text>
        <t>Em branco herda a base escolhida. Sem base, preencha os campos próprios. Texto não é automação.</t>
      </text>
    </comment>
    <comment ref="J2258" authorId="0" shapeId="0">
      <text>
        <t>Em branco herda a base escolhida. Sem base, preencha os campos próprios. Texto não é automação.</t>
      </text>
    </comment>
    <comment ref="N2258" authorId="0" shapeId="0">
      <text>
        <t>Em branco herda a base escolhida. Sem base, preencha os campos próprios. Texto não é automação.</t>
      </text>
    </comment>
    <comment ref="B2259" authorId="0" shapeId="0">
      <text>
        <t>Em branco herda a base escolhida. Sem base, preencha os campos próprios. Texto não é automação.</t>
      </text>
    </comment>
    <comment ref="F2259" authorId="0" shapeId="0">
      <text>
        <t>Lembrete. Aprovação pertence ao bot no chat.</t>
      </text>
    </comment>
    <comment ref="J2259" authorId="0" shapeId="0">
      <text>
        <t>Em branco herda a base escolhida. Sem base, preencha os campos próprios. Texto não é automação.</t>
      </text>
    </comment>
    <comment ref="N2259" authorId="0" shapeId="0">
      <text>
        <t>Lembrete. Aprovação pertence ao bot no chat.</t>
      </text>
    </comment>
    <comment ref="B2260" authorId="0" shapeId="0">
      <text>
        <t>Em branco herda a base escolhida. Sem base, preencha os campos próprios. Texto não é automação.</t>
      </text>
    </comment>
    <comment ref="J2260" authorId="0" shapeId="0">
      <text>
        <t>Em branco herda a base escolhida. Sem base, preencha os campos próprios. Texto não é automação.</t>
      </text>
    </comment>
    <comment ref="B2261" authorId="0" shapeId="0">
      <text>
        <t>Em branco herda a base escolhida. Sem base, preencha os campos próprios. Texto não é automação.</t>
      </text>
    </comment>
    <comment ref="J2261" authorId="0" shapeId="0">
      <text>
        <t>Em branco herda a base escolhida. Sem base, preencha os campos próprios. Texto não é automação.</t>
      </text>
    </comment>
    <comment ref="B2262" authorId="0" shapeId="0">
      <text>
        <t>Em branco herda a base escolhida. Sem base, preencha os campos próprios. Texto não é automação.</t>
      </text>
    </comment>
    <comment ref="E2262" authorId="0" shapeId="0">
      <text>
        <t>Em branco herda a base escolhida. Sem base, preencha os campos próprios. Texto não é automação.</t>
      </text>
    </comment>
    <comment ref="J2262" authorId="0" shapeId="0">
      <text>
        <t>Em branco herda a base escolhida. Sem base, preencha os campos próprios. Texto não é automação.</t>
      </text>
    </comment>
    <comment ref="M2262" authorId="0" shapeId="0">
      <text>
        <t>Em branco herda a base escolhida. Sem base, preencha os campos próprios. Texto não é automação.</t>
      </text>
    </comment>
    <comment ref="B2263" authorId="0" shapeId="0">
      <text>
        <t>Em branco herda a base escolhida. Sem base, preencha os campos próprios. Texto não é automação.</t>
      </text>
    </comment>
    <comment ref="E2263" authorId="0" shapeId="0">
      <text>
        <t>Em branco herda a base escolhida. Sem base, preencha os campos próprios. Texto não é automação.</t>
      </text>
    </comment>
    <comment ref="J2263" authorId="0" shapeId="0">
      <text>
        <t>Em branco herda a base escolhida. Sem base, preencha os campos próprios. Texto não é automação.</t>
      </text>
    </comment>
    <comment ref="M2263" authorId="0" shapeId="0">
      <text>
        <t>Em branco herda a base escolhida. Sem base, preencha os campos próprios. Texto não é automação.</t>
      </text>
    </comment>
    <comment ref="B2264" authorId="0" shapeId="0">
      <text>
        <t>Em branco herda a base escolhida. Sem base, preencha os campos próprios. Texto não é automação.</t>
      </text>
    </comment>
    <comment ref="E2264" authorId="0" shapeId="0">
      <text>
        <t>Em branco herda a base escolhida. Sem base, preencha os campos próprios. Texto não é automação.</t>
      </text>
    </comment>
    <comment ref="J2264" authorId="0" shapeId="0">
      <text>
        <t>Em branco herda a base escolhida. Sem base, preencha os campos próprios. Texto não é automação.</t>
      </text>
    </comment>
    <comment ref="M2264" authorId="0" shapeId="0">
      <text>
        <t>Em branco herda a base escolhida. Sem base, preencha os campos próprios. Texto não é automação.</t>
      </text>
    </comment>
    <comment ref="B2266" authorId="0" shapeId="0">
      <text>
        <t>Em branco herda a base escolhida. Sem base, preencha os campos próprios. Texto não é automação.</t>
      </text>
    </comment>
    <comment ref="J2266" authorId="0" shapeId="0">
      <text>
        <t>Em branco herda a base escolhida. Sem base, preencha os campos próprios. Texto não é automação.</t>
      </text>
    </comment>
    <comment ref="B2267" authorId="0" shapeId="0">
      <text>
        <t>Em branco herda a base escolhida. Sem base, preencha os campos próprios. Texto não é automação.</t>
      </text>
    </comment>
    <comment ref="J2267" authorId="0" shapeId="0">
      <text>
        <t>Em branco herda a base escolhida. Sem base, preencha os campos próprios. Texto não é automação.</t>
      </text>
    </comment>
    <comment ref="B2272" authorId="0" shapeId="0">
      <text>
        <t>Em branco herda a base escolhida. Sem base, preencha os campos próprios. Texto não é automação.</t>
      </text>
    </comment>
    <comment ref="J2272" authorId="0" shapeId="0">
      <text>
        <t>Em branco herda a base escolhida. Sem base, preencha os campos próprios. Texto não é automação.</t>
      </text>
    </comment>
    <comment ref="B2273" authorId="0" shapeId="0">
      <text>
        <t>Em branco herda a base escolhida. Sem base, preencha os campos próprios. Texto não é automação.</t>
      </text>
    </comment>
    <comment ref="J2273" authorId="0" shapeId="0">
      <text>
        <t>Em branco herda a base escolhida. Sem base, preencha os campos próprios. Texto não é automação.</t>
      </text>
    </comment>
    <comment ref="B2279" authorId="0" shapeId="0">
      <text>
        <t>Avisos do cadastro. Inválidos permanecem exportados e saem dos menus.</t>
      </text>
    </comment>
    <comment ref="J2279" authorId="0" shapeId="0">
      <text>
        <t>Avisos do cadastro. Inválidos permanecem exportados e saem dos menus.</t>
      </text>
    </comment>
    <comment ref="B2282" authorId="0" shapeId="0">
      <text>
        <t>Em branco herda a base escolhida. Sem base, preencha os campos próprios. Texto não é automação.</t>
      </text>
    </comment>
    <comment ref="J2282" authorId="0" shapeId="0">
      <text>
        <t>Em branco herda a base escolhida. Sem base, preencha os campos próprios. Texto não é automação.</t>
      </text>
    </comment>
    <comment ref="B2283" authorId="0" shapeId="0">
      <text>
        <t>Em branco herda a base escolhida. Sem base, preencha os campos próprios. Texto não é automação.</t>
      </text>
    </comment>
    <comment ref="F2283" authorId="0" shapeId="0">
      <text>
        <t>Em branco herda a base escolhida. Sem base, preencha os campos próprios. Texto não é automação.</t>
      </text>
    </comment>
    <comment ref="J2283" authorId="0" shapeId="0">
      <text>
        <t>Em branco herda a base escolhida. Sem base, preencha os campos próprios. Texto não é automação.</t>
      </text>
    </comment>
    <comment ref="N2283" authorId="0" shapeId="0">
      <text>
        <t>Em branco herda a base escolhida. Sem base, preencha os campos próprios. Texto não é automação.</t>
      </text>
    </comment>
    <comment ref="B2284" authorId="0" shapeId="0">
      <text>
        <t>Em branco herda a base escolhida. Sem base, preencha os campos próprios. Texto não é automação.</t>
      </text>
    </comment>
    <comment ref="F2284" authorId="0" shapeId="0">
      <text>
        <t>Lembrete. Aprovação pertence ao bot no chat.</t>
      </text>
    </comment>
    <comment ref="J2284" authorId="0" shapeId="0">
      <text>
        <t>Em branco herda a base escolhida. Sem base, preencha os campos próprios. Texto não é automação.</t>
      </text>
    </comment>
    <comment ref="N2284" authorId="0" shapeId="0">
      <text>
        <t>Lembrete. Aprovação pertence ao bot no chat.</t>
      </text>
    </comment>
    <comment ref="B2285" authorId="0" shapeId="0">
      <text>
        <t>Em branco herda a base escolhida. Sem base, preencha os campos próprios. Texto não é automação.</t>
      </text>
    </comment>
    <comment ref="J2285" authorId="0" shapeId="0">
      <text>
        <t>Em branco herda a base escolhida. Sem base, preencha os campos próprios. Texto não é automação.</t>
      </text>
    </comment>
    <comment ref="B2286" authorId="0" shapeId="0">
      <text>
        <t>Em branco herda a base escolhida. Sem base, preencha os campos próprios. Texto não é automação.</t>
      </text>
    </comment>
    <comment ref="J2286" authorId="0" shapeId="0">
      <text>
        <t>Em branco herda a base escolhida. Sem base, preencha os campos próprios. Texto não é automação.</t>
      </text>
    </comment>
    <comment ref="B2287" authorId="0" shapeId="0">
      <text>
        <t>Em branco herda a base escolhida. Sem base, preencha os campos próprios. Texto não é automação.</t>
      </text>
    </comment>
    <comment ref="E2287" authorId="0" shapeId="0">
      <text>
        <t>Em branco herda a base escolhida. Sem base, preencha os campos próprios. Texto não é automação.</t>
      </text>
    </comment>
    <comment ref="J2287" authorId="0" shapeId="0">
      <text>
        <t>Em branco herda a base escolhida. Sem base, preencha os campos próprios. Texto não é automação.</t>
      </text>
    </comment>
    <comment ref="M2287" authorId="0" shapeId="0">
      <text>
        <t>Em branco herda a base escolhida. Sem base, preencha os campos próprios. Texto não é automação.</t>
      </text>
    </comment>
    <comment ref="B2288" authorId="0" shapeId="0">
      <text>
        <t>Em branco herda a base escolhida. Sem base, preencha os campos próprios. Texto não é automação.</t>
      </text>
    </comment>
    <comment ref="E2288" authorId="0" shapeId="0">
      <text>
        <t>Em branco herda a base escolhida. Sem base, preencha os campos próprios. Texto não é automação.</t>
      </text>
    </comment>
    <comment ref="J2288" authorId="0" shapeId="0">
      <text>
        <t>Em branco herda a base escolhida. Sem base, preencha os campos próprios. Texto não é automação.</t>
      </text>
    </comment>
    <comment ref="M2288" authorId="0" shapeId="0">
      <text>
        <t>Em branco herda a base escolhida. Sem base, preencha os campos próprios. Texto não é automação.</t>
      </text>
    </comment>
    <comment ref="B2289" authorId="0" shapeId="0">
      <text>
        <t>Em branco herda a base escolhida. Sem base, preencha os campos próprios. Texto não é automação.</t>
      </text>
    </comment>
    <comment ref="E2289" authorId="0" shapeId="0">
      <text>
        <t>Em branco herda a base escolhida. Sem base, preencha os campos próprios. Texto não é automação.</t>
      </text>
    </comment>
    <comment ref="J2289" authorId="0" shapeId="0">
      <text>
        <t>Em branco herda a base escolhida. Sem base, preencha os campos próprios. Texto não é automação.</t>
      </text>
    </comment>
    <comment ref="M2289" authorId="0" shapeId="0">
      <text>
        <t>Em branco herda a base escolhida. Sem base, preencha os campos próprios. Texto não é automação.</t>
      </text>
    </comment>
    <comment ref="B2291" authorId="0" shapeId="0">
      <text>
        <t>Em branco herda a base escolhida. Sem base, preencha os campos próprios. Texto não é automação.</t>
      </text>
    </comment>
    <comment ref="J2291" authorId="0" shapeId="0">
      <text>
        <t>Em branco herda a base escolhida. Sem base, preencha os campos próprios. Texto não é automação.</t>
      </text>
    </comment>
    <comment ref="B2292" authorId="0" shapeId="0">
      <text>
        <t>Em branco herda a base escolhida. Sem base, preencha os campos próprios. Texto não é automação.</t>
      </text>
    </comment>
    <comment ref="J2292" authorId="0" shapeId="0">
      <text>
        <t>Em branco herda a base escolhida. Sem base, preencha os campos próprios. Texto não é automação.</t>
      </text>
    </comment>
    <comment ref="B2297" authorId="0" shapeId="0">
      <text>
        <t>Em branco herda a base escolhida. Sem base, preencha os campos próprios. Texto não é automação.</t>
      </text>
    </comment>
    <comment ref="J2297" authorId="0" shapeId="0">
      <text>
        <t>Em branco herda a base escolhida. Sem base, preencha os campos próprios. Texto não é automação.</t>
      </text>
    </comment>
    <comment ref="B2298" authorId="0" shapeId="0">
      <text>
        <t>Em branco herda a base escolhida. Sem base, preencha os campos próprios. Texto não é automação.</t>
      </text>
    </comment>
    <comment ref="J2298" authorId="0" shapeId="0">
      <text>
        <t>Em branco herda a base escolhida. Sem base, preencha os campos próprios. Texto não é automação.</t>
      </text>
    </comment>
    <comment ref="B2304" authorId="0" shapeId="0">
      <text>
        <t>Avisos do cadastro. Inválidos permanecem exportados e saem dos menus.</t>
      </text>
    </comment>
    <comment ref="J2304" authorId="0" shapeId="0">
      <text>
        <t>Avisos do cadastro. Inválidos permanecem exportados e saem dos menus.</t>
      </text>
    </comment>
    <comment ref="B2307" authorId="0" shapeId="0">
      <text>
        <t>Em branco herda a base escolhida. Sem base, preencha os campos próprios. Texto não é automação.</t>
      </text>
    </comment>
    <comment ref="J2307" authorId="0" shapeId="0">
      <text>
        <t>Em branco herda a base escolhida. Sem base, preencha os campos próprios. Texto não é automação.</t>
      </text>
    </comment>
    <comment ref="B2308" authorId="0" shapeId="0">
      <text>
        <t>Em branco herda a base escolhida. Sem base, preencha os campos próprios. Texto não é automação.</t>
      </text>
    </comment>
    <comment ref="F2308" authorId="0" shapeId="0">
      <text>
        <t>Em branco herda a base escolhida. Sem base, preencha os campos próprios. Texto não é automação.</t>
      </text>
    </comment>
    <comment ref="J2308" authorId="0" shapeId="0">
      <text>
        <t>Em branco herda a base escolhida. Sem base, preencha os campos próprios. Texto não é automação.</t>
      </text>
    </comment>
    <comment ref="N2308" authorId="0" shapeId="0">
      <text>
        <t>Em branco herda a base escolhida. Sem base, preencha os campos próprios. Texto não é automação.</t>
      </text>
    </comment>
    <comment ref="B2309" authorId="0" shapeId="0">
      <text>
        <t>Em branco herda a base escolhida. Sem base, preencha os campos próprios. Texto não é automação.</t>
      </text>
    </comment>
    <comment ref="F2309" authorId="0" shapeId="0">
      <text>
        <t>Lembrete. Aprovação pertence ao bot no chat.</t>
      </text>
    </comment>
    <comment ref="J2309" authorId="0" shapeId="0">
      <text>
        <t>Em branco herda a base escolhida. Sem base, preencha os campos próprios. Texto não é automação.</t>
      </text>
    </comment>
    <comment ref="N2309" authorId="0" shapeId="0">
      <text>
        <t>Lembrete. Aprovação pertence ao bot no chat.</t>
      </text>
    </comment>
    <comment ref="B2310" authorId="0" shapeId="0">
      <text>
        <t>Em branco herda a base escolhida. Sem base, preencha os campos próprios. Texto não é automação.</t>
      </text>
    </comment>
    <comment ref="J2310" authorId="0" shapeId="0">
      <text>
        <t>Em branco herda a base escolhida. Sem base, preencha os campos próprios. Texto não é automação.</t>
      </text>
    </comment>
    <comment ref="B2311" authorId="0" shapeId="0">
      <text>
        <t>Em branco herda a base escolhida. Sem base, preencha os campos próprios. Texto não é automação.</t>
      </text>
    </comment>
    <comment ref="J2311" authorId="0" shapeId="0">
      <text>
        <t>Em branco herda a base escolhida. Sem base, preencha os campos próprios. Texto não é automação.</t>
      </text>
    </comment>
    <comment ref="B2312" authorId="0" shapeId="0">
      <text>
        <t>Em branco herda a base escolhida. Sem base, preencha os campos próprios. Texto não é automação.</t>
      </text>
    </comment>
    <comment ref="E2312" authorId="0" shapeId="0">
      <text>
        <t>Em branco herda a base escolhida. Sem base, preencha os campos próprios. Texto não é automação.</t>
      </text>
    </comment>
    <comment ref="J2312" authorId="0" shapeId="0">
      <text>
        <t>Em branco herda a base escolhida. Sem base, preencha os campos próprios. Texto não é automação.</t>
      </text>
    </comment>
    <comment ref="M2312" authorId="0" shapeId="0">
      <text>
        <t>Em branco herda a base escolhida. Sem base, preencha os campos próprios. Texto não é automação.</t>
      </text>
    </comment>
    <comment ref="B2313" authorId="0" shapeId="0">
      <text>
        <t>Em branco herda a base escolhida. Sem base, preencha os campos próprios. Texto não é automação.</t>
      </text>
    </comment>
    <comment ref="E2313" authorId="0" shapeId="0">
      <text>
        <t>Em branco herda a base escolhida. Sem base, preencha os campos próprios. Texto não é automação.</t>
      </text>
    </comment>
    <comment ref="J2313" authorId="0" shapeId="0">
      <text>
        <t>Em branco herda a base escolhida. Sem base, preencha os campos próprios. Texto não é automação.</t>
      </text>
    </comment>
    <comment ref="M2313" authorId="0" shapeId="0">
      <text>
        <t>Em branco herda a base escolhida. Sem base, preencha os campos próprios. Texto não é automação.</t>
      </text>
    </comment>
    <comment ref="B2314" authorId="0" shapeId="0">
      <text>
        <t>Em branco herda a base escolhida. Sem base, preencha os campos próprios. Texto não é automação.</t>
      </text>
    </comment>
    <comment ref="E2314" authorId="0" shapeId="0">
      <text>
        <t>Em branco herda a base escolhida. Sem base, preencha os campos próprios. Texto não é automação.</t>
      </text>
    </comment>
    <comment ref="J2314" authorId="0" shapeId="0">
      <text>
        <t>Em branco herda a base escolhida. Sem base, preencha os campos próprios. Texto não é automação.</t>
      </text>
    </comment>
    <comment ref="M2314" authorId="0" shapeId="0">
      <text>
        <t>Em branco herda a base escolhida. Sem base, preencha os campos próprios. Texto não é automação.</t>
      </text>
    </comment>
    <comment ref="B2316" authorId="0" shapeId="0">
      <text>
        <t>Em branco herda a base escolhida. Sem base, preencha os campos próprios. Texto não é automação.</t>
      </text>
    </comment>
    <comment ref="J2316" authorId="0" shapeId="0">
      <text>
        <t>Em branco herda a base escolhida. Sem base, preencha os campos próprios. Texto não é automação.</t>
      </text>
    </comment>
    <comment ref="B2317" authorId="0" shapeId="0">
      <text>
        <t>Em branco herda a base escolhida. Sem base, preencha os campos próprios. Texto não é automação.</t>
      </text>
    </comment>
    <comment ref="J2317" authorId="0" shapeId="0">
      <text>
        <t>Em branco herda a base escolhida. Sem base, preencha os campos próprios. Texto não é automação.</t>
      </text>
    </comment>
    <comment ref="B2322" authorId="0" shapeId="0">
      <text>
        <t>Em branco herda a base escolhida. Sem base, preencha os campos próprios. Texto não é automação.</t>
      </text>
    </comment>
    <comment ref="J2322" authorId="0" shapeId="0">
      <text>
        <t>Em branco herda a base escolhida. Sem base, preencha os campos próprios. Texto não é automação.</t>
      </text>
    </comment>
    <comment ref="B2323" authorId="0" shapeId="0">
      <text>
        <t>Em branco herda a base escolhida. Sem base, preencha os campos próprios. Texto não é automação.</t>
      </text>
    </comment>
    <comment ref="J2323" authorId="0" shapeId="0">
      <text>
        <t>Em branco herda a base escolhida. Sem base, preencha os campos próprios. Texto não é automação.</t>
      </text>
    </comment>
    <comment ref="B2329" authorId="0" shapeId="0">
      <text>
        <t>Avisos do cadastro. Inválidos permanecem exportados e saem dos menus.</t>
      </text>
    </comment>
    <comment ref="J2329" authorId="0" shapeId="0">
      <text>
        <t>Avisos do cadastro. Inválidos permanecem exportados e saem dos menus.</t>
      </text>
    </comment>
    <comment ref="B2332" authorId="0" shapeId="0">
      <text>
        <t>Em branco herda a base escolhida. Sem base, preencha os campos próprios. Texto não é automação.</t>
      </text>
    </comment>
    <comment ref="J2332" authorId="0" shapeId="0">
      <text>
        <t>Em branco herda a base escolhida. Sem base, preencha os campos próprios. Texto não é automação.</t>
      </text>
    </comment>
    <comment ref="B2333" authorId="0" shapeId="0">
      <text>
        <t>Em branco herda a base escolhida. Sem base, preencha os campos próprios. Texto não é automação.</t>
      </text>
    </comment>
    <comment ref="F2333" authorId="0" shapeId="0">
      <text>
        <t>Em branco herda a base escolhida. Sem base, preencha os campos próprios. Texto não é automação.</t>
      </text>
    </comment>
    <comment ref="J2333" authorId="0" shapeId="0">
      <text>
        <t>Em branco herda a base escolhida. Sem base, preencha os campos próprios. Texto não é automação.</t>
      </text>
    </comment>
    <comment ref="N2333" authorId="0" shapeId="0">
      <text>
        <t>Em branco herda a base escolhida. Sem base, preencha os campos próprios. Texto não é automação.</t>
      </text>
    </comment>
    <comment ref="B2334" authorId="0" shapeId="0">
      <text>
        <t>Em branco herda a base escolhida. Sem base, preencha os campos próprios. Texto não é automação.</t>
      </text>
    </comment>
    <comment ref="F2334" authorId="0" shapeId="0">
      <text>
        <t>Lembrete. Aprovação pertence ao bot no chat.</t>
      </text>
    </comment>
    <comment ref="J2334" authorId="0" shapeId="0">
      <text>
        <t>Em branco herda a base escolhida. Sem base, preencha os campos próprios. Texto não é automação.</t>
      </text>
    </comment>
    <comment ref="N2334" authorId="0" shapeId="0">
      <text>
        <t>Lembrete. Aprovação pertence ao bot no chat.</t>
      </text>
    </comment>
    <comment ref="B2335" authorId="0" shapeId="0">
      <text>
        <t>Em branco herda a base escolhida. Sem base, preencha os campos próprios. Texto não é automação.</t>
      </text>
    </comment>
    <comment ref="J2335" authorId="0" shapeId="0">
      <text>
        <t>Em branco herda a base escolhida. Sem base, preencha os campos próprios. Texto não é automação.</t>
      </text>
    </comment>
    <comment ref="B2336" authorId="0" shapeId="0">
      <text>
        <t>Em branco herda a base escolhida. Sem base, preencha os campos próprios. Texto não é automação.</t>
      </text>
    </comment>
    <comment ref="J2336" authorId="0" shapeId="0">
      <text>
        <t>Em branco herda a base escolhida. Sem base, preencha os campos próprios. Texto não é automação.</t>
      </text>
    </comment>
    <comment ref="B2337" authorId="0" shapeId="0">
      <text>
        <t>Em branco herda a base escolhida. Sem base, preencha os campos próprios. Texto não é automação.</t>
      </text>
    </comment>
    <comment ref="E2337" authorId="0" shapeId="0">
      <text>
        <t>Em branco herda a base escolhida. Sem base, preencha os campos próprios. Texto não é automação.</t>
      </text>
    </comment>
    <comment ref="J2337" authorId="0" shapeId="0">
      <text>
        <t>Em branco herda a base escolhida. Sem base, preencha os campos próprios. Texto não é automação.</t>
      </text>
    </comment>
    <comment ref="M2337" authorId="0" shapeId="0">
      <text>
        <t>Em branco herda a base escolhida. Sem base, preencha os campos próprios. Texto não é automação.</t>
      </text>
    </comment>
    <comment ref="B2338" authorId="0" shapeId="0">
      <text>
        <t>Em branco herda a base escolhida. Sem base, preencha os campos próprios. Texto não é automação.</t>
      </text>
    </comment>
    <comment ref="E2338" authorId="0" shapeId="0">
      <text>
        <t>Em branco herda a base escolhida. Sem base, preencha os campos próprios. Texto não é automação.</t>
      </text>
    </comment>
    <comment ref="J2338" authorId="0" shapeId="0">
      <text>
        <t>Em branco herda a base escolhida. Sem base, preencha os campos próprios. Texto não é automação.</t>
      </text>
    </comment>
    <comment ref="M2338" authorId="0" shapeId="0">
      <text>
        <t>Em branco herda a base escolhida. Sem base, preencha os campos próprios. Texto não é automação.</t>
      </text>
    </comment>
    <comment ref="B2339" authorId="0" shapeId="0">
      <text>
        <t>Em branco herda a base escolhida. Sem base, preencha os campos próprios. Texto não é automação.</t>
      </text>
    </comment>
    <comment ref="E2339" authorId="0" shapeId="0">
      <text>
        <t>Em branco herda a base escolhida. Sem base, preencha os campos próprios. Texto não é automação.</t>
      </text>
    </comment>
    <comment ref="J2339" authorId="0" shapeId="0">
      <text>
        <t>Em branco herda a base escolhida. Sem base, preencha os campos próprios. Texto não é automação.</t>
      </text>
    </comment>
    <comment ref="M2339" authorId="0" shapeId="0">
      <text>
        <t>Em branco herda a base escolhida. Sem base, preencha os campos próprios. Texto não é automação.</t>
      </text>
    </comment>
    <comment ref="B2341" authorId="0" shapeId="0">
      <text>
        <t>Em branco herda a base escolhida. Sem base, preencha os campos próprios. Texto não é automação.</t>
      </text>
    </comment>
    <comment ref="J2341" authorId="0" shapeId="0">
      <text>
        <t>Em branco herda a base escolhida. Sem base, preencha os campos próprios. Texto não é automação.</t>
      </text>
    </comment>
    <comment ref="B2342" authorId="0" shapeId="0">
      <text>
        <t>Em branco herda a base escolhida. Sem base, preencha os campos próprios. Texto não é automação.</t>
      </text>
    </comment>
    <comment ref="J2342" authorId="0" shapeId="0">
      <text>
        <t>Em branco herda a base escolhida. Sem base, preencha os campos próprios. Texto não é automação.</t>
      </text>
    </comment>
    <comment ref="B2347" authorId="0" shapeId="0">
      <text>
        <t>Em branco herda a base escolhida. Sem base, preencha os campos próprios. Texto não é automação.</t>
      </text>
    </comment>
    <comment ref="J2347" authorId="0" shapeId="0">
      <text>
        <t>Em branco herda a base escolhida. Sem base, preencha os campos próprios. Texto não é automação.</t>
      </text>
    </comment>
    <comment ref="B2348" authorId="0" shapeId="0">
      <text>
        <t>Em branco herda a base escolhida. Sem base, preencha os campos próprios. Texto não é automação.</t>
      </text>
    </comment>
    <comment ref="J2348" authorId="0" shapeId="0">
      <text>
        <t>Em branco herda a base escolhida. Sem base, preencha os campos próprios. Texto não é automação.</t>
      </text>
    </comment>
    <comment ref="B2354" authorId="0" shapeId="0">
      <text>
        <t>Avisos do cadastro. Inválidos permanecem exportados e saem dos menus.</t>
      </text>
    </comment>
    <comment ref="J2354" authorId="0" shapeId="0">
      <text>
        <t>Avisos do cadastro. Inválidos permanecem exportados e saem dos menus.</t>
      </text>
    </comment>
    <comment ref="B2357" authorId="0" shapeId="0">
      <text>
        <t>Em branco herda a base escolhida. Sem base, preencha os campos próprios. Texto não é automação.</t>
      </text>
    </comment>
    <comment ref="J2357" authorId="0" shapeId="0">
      <text>
        <t>Em branco herda a base escolhida. Sem base, preencha os campos próprios. Texto não é automação.</t>
      </text>
    </comment>
    <comment ref="B2358" authorId="0" shapeId="0">
      <text>
        <t>Em branco herda a base escolhida. Sem base, preencha os campos próprios. Texto não é automação.</t>
      </text>
    </comment>
    <comment ref="F2358" authorId="0" shapeId="0">
      <text>
        <t>Em branco herda a base escolhida. Sem base, preencha os campos próprios. Texto não é automação.</t>
      </text>
    </comment>
    <comment ref="J2358" authorId="0" shapeId="0">
      <text>
        <t>Em branco herda a base escolhida. Sem base, preencha os campos próprios. Texto não é automação.</t>
      </text>
    </comment>
    <comment ref="N2358" authorId="0" shapeId="0">
      <text>
        <t>Em branco herda a base escolhida. Sem base, preencha os campos próprios. Texto não é automação.</t>
      </text>
    </comment>
    <comment ref="B2359" authorId="0" shapeId="0">
      <text>
        <t>Em branco herda a base escolhida. Sem base, preencha os campos próprios. Texto não é automação.</t>
      </text>
    </comment>
    <comment ref="F2359" authorId="0" shapeId="0">
      <text>
        <t>Lembrete. Aprovação pertence ao bot no chat.</t>
      </text>
    </comment>
    <comment ref="J2359" authorId="0" shapeId="0">
      <text>
        <t>Em branco herda a base escolhida. Sem base, preencha os campos próprios. Texto não é automação.</t>
      </text>
    </comment>
    <comment ref="N2359" authorId="0" shapeId="0">
      <text>
        <t>Lembrete. Aprovação pertence ao bot no chat.</t>
      </text>
    </comment>
    <comment ref="B2360" authorId="0" shapeId="0">
      <text>
        <t>Em branco herda a base escolhida. Sem base, preencha os campos próprios. Texto não é automação.</t>
      </text>
    </comment>
    <comment ref="J2360" authorId="0" shapeId="0">
      <text>
        <t>Em branco herda a base escolhida. Sem base, preencha os campos próprios. Texto não é automação.</t>
      </text>
    </comment>
    <comment ref="B2361" authorId="0" shapeId="0">
      <text>
        <t>Em branco herda a base escolhida. Sem base, preencha os campos próprios. Texto não é automação.</t>
      </text>
    </comment>
    <comment ref="J2361" authorId="0" shapeId="0">
      <text>
        <t>Em branco herda a base escolhida. Sem base, preencha os campos próprios. Texto não é automação.</t>
      </text>
    </comment>
    <comment ref="B2362" authorId="0" shapeId="0">
      <text>
        <t>Em branco herda a base escolhida. Sem base, preencha os campos próprios. Texto não é automação.</t>
      </text>
    </comment>
    <comment ref="E2362" authorId="0" shapeId="0">
      <text>
        <t>Em branco herda a base escolhida. Sem base, preencha os campos próprios. Texto não é automação.</t>
      </text>
    </comment>
    <comment ref="J2362" authorId="0" shapeId="0">
      <text>
        <t>Em branco herda a base escolhida. Sem base, preencha os campos próprios. Texto não é automação.</t>
      </text>
    </comment>
    <comment ref="M2362" authorId="0" shapeId="0">
      <text>
        <t>Em branco herda a base escolhida. Sem base, preencha os campos próprios. Texto não é automação.</t>
      </text>
    </comment>
    <comment ref="B2363" authorId="0" shapeId="0">
      <text>
        <t>Em branco herda a base escolhida. Sem base, preencha os campos próprios. Texto não é automação.</t>
      </text>
    </comment>
    <comment ref="E2363" authorId="0" shapeId="0">
      <text>
        <t>Em branco herda a base escolhida. Sem base, preencha os campos próprios. Texto não é automação.</t>
      </text>
    </comment>
    <comment ref="J2363" authorId="0" shapeId="0">
      <text>
        <t>Em branco herda a base escolhida. Sem base, preencha os campos próprios. Texto não é automação.</t>
      </text>
    </comment>
    <comment ref="M2363" authorId="0" shapeId="0">
      <text>
        <t>Em branco herda a base escolhida. Sem base, preencha os campos próprios. Texto não é automação.</t>
      </text>
    </comment>
    <comment ref="B2364" authorId="0" shapeId="0">
      <text>
        <t>Em branco herda a base escolhida. Sem base, preencha os campos próprios. Texto não é automação.</t>
      </text>
    </comment>
    <comment ref="E2364" authorId="0" shapeId="0">
      <text>
        <t>Em branco herda a base escolhida. Sem base, preencha os campos próprios. Texto não é automação.</t>
      </text>
    </comment>
    <comment ref="J2364" authorId="0" shapeId="0">
      <text>
        <t>Em branco herda a base escolhida. Sem base, preencha os campos próprios. Texto não é automação.</t>
      </text>
    </comment>
    <comment ref="M2364" authorId="0" shapeId="0">
      <text>
        <t>Em branco herda a base escolhida. Sem base, preencha os campos próprios. Texto não é automação.</t>
      </text>
    </comment>
    <comment ref="B2366" authorId="0" shapeId="0">
      <text>
        <t>Em branco herda a base escolhida. Sem base, preencha os campos próprios. Texto não é automação.</t>
      </text>
    </comment>
    <comment ref="J2366" authorId="0" shapeId="0">
      <text>
        <t>Em branco herda a base escolhida. Sem base, preencha os campos próprios. Texto não é automação.</t>
      </text>
    </comment>
    <comment ref="B2367" authorId="0" shapeId="0">
      <text>
        <t>Em branco herda a base escolhida. Sem base, preencha os campos próprios. Texto não é automação.</t>
      </text>
    </comment>
    <comment ref="J2367" authorId="0" shapeId="0">
      <text>
        <t>Em branco herda a base escolhida. Sem base, preencha os campos próprios. Texto não é automação.</t>
      </text>
    </comment>
    <comment ref="B2372" authorId="0" shapeId="0">
      <text>
        <t>Em branco herda a base escolhida. Sem base, preencha os campos próprios. Texto não é automação.</t>
      </text>
    </comment>
    <comment ref="J2372" authorId="0" shapeId="0">
      <text>
        <t>Em branco herda a base escolhida. Sem base, preencha os campos próprios. Texto não é automação.</t>
      </text>
    </comment>
    <comment ref="B2373" authorId="0" shapeId="0">
      <text>
        <t>Em branco herda a base escolhida. Sem base, preencha os campos próprios. Texto não é automação.</t>
      </text>
    </comment>
    <comment ref="J2373" authorId="0" shapeId="0">
      <text>
        <t>Em branco herda a base escolhida. Sem base, preencha os campos próprios. Texto não é automação.</t>
      </text>
    </comment>
    <comment ref="B2379" authorId="0" shapeId="0">
      <text>
        <t>Avisos do cadastro. Inválidos permanecem exportados e saem dos menus.</t>
      </text>
    </comment>
    <comment ref="J2379" authorId="0" shapeId="0">
      <text>
        <t>Avisos do cadastro. Inválidos permanecem exportados e saem dos menus.</t>
      </text>
    </comment>
    <comment ref="B2386" authorId="0" shapeId="0">
      <text>
        <t>Cadastro custom de entidade. Em branco herda a base do livro, quando escolhida.</t>
      </text>
    </comment>
    <comment ref="B2388" authorId="0" shapeId="0">
      <text>
        <t>Cadastro custom de entidade. Em branco herda a base do livro, quando escolhida.</t>
      </text>
    </comment>
    <comment ref="J2388" authorId="0" shapeId="0">
      <text>
        <t>Cadastro custom de entidade. Em branco herda a base do livro, quando escolhida.</t>
      </text>
    </comment>
    <comment ref="B2389" authorId="0" shapeId="0">
      <text>
        <t>Nome único. O menu da ficha reunirá o livro e os cadastros válidos.</t>
      </text>
    </comment>
    <comment ref="F2389" authorId="0" shapeId="0">
      <text>
        <t>Cadastro custom de entidade. Em branco herda a base do livro, quando escolhida.</t>
      </text>
    </comment>
    <comment ref="J2389" authorId="0" shapeId="0">
      <text>
        <t>Nome único. O menu da ficha reunirá o livro e os cadastros válidos.</t>
      </text>
    </comment>
    <comment ref="N2389" authorId="0" shapeId="0">
      <text>
        <t>Cadastro custom de entidade. Em branco herda a base do livro, quando escolhida.</t>
      </text>
    </comment>
    <comment ref="B2390" authorId="0" shapeId="0">
      <text>
        <t>Nome próprio do conteúdo criado com o mestre.</t>
      </text>
    </comment>
    <comment ref="F2390" authorId="0" shapeId="0">
      <text>
        <t>Lembrete marcado pelo jogador; aprovação é feita pelo bot, no chat.</t>
      </text>
    </comment>
    <comment ref="J2390" authorId="0" shapeId="0">
      <text>
        <t>Nome próprio do conteúdo criado com o mestre.</t>
      </text>
    </comment>
    <comment ref="N2390" authorId="0" shapeId="0">
      <text>
        <t>Lembrete marcado pelo jogador; aprovação é feita pelo bot, no chat.</t>
      </text>
    </comment>
    <comment ref="B2392" authorId="0" shapeId="0">
      <text>
        <t>Opcional. Em branco nos demais campos, uma base herda as automações do livro. Nenhuma permite conteúdo próprio. O texto não é interpretado como fórmula.</t>
      </text>
    </comment>
    <comment ref="E2392" authorId="0" shapeId="0">
      <text>
        <t>Opcional. Em branco nos demais campos, uma base herda as automações do livro. Nenhuma permite conteúdo próprio. O texto não é interpretado como fórmula.</t>
      </text>
    </comment>
    <comment ref="J2392" authorId="0" shapeId="0">
      <text>
        <t>Opcional. Em branco nos demais campos, uma base herda as automações do livro. Nenhuma permite conteúdo próprio. O texto não é interpretado como fórmula.</t>
      </text>
    </comment>
    <comment ref="M2392" authorId="0" shapeId="0">
      <text>
        <t>Opcional. Em branco nos demais campos, uma base herda as automações do livro. Nenhuma permite conteúdo próprio. O texto não é interpretado como fórmula.</t>
      </text>
    </comment>
    <comment ref="B2393" authorId="0" shapeId="0">
      <text>
        <t>Em branco herda a base; sem base usa a vida normal. Corpo de criação usa 4 + Constituição por nível após o primeiro.</t>
      </text>
    </comment>
    <comment ref="E2393" authorId="0" shapeId="0">
      <text>
        <t>Em branco herda a base; sem base usa a vida normal. Corpo de criação usa 4 + Constituição por nível após o primeiro.</t>
      </text>
    </comment>
    <comment ref="J2393" authorId="0" shapeId="0">
      <text>
        <t>Em branco herda a base; sem base usa a vida normal. Corpo de criação usa 4 + Constituição por nível após o primeiro.</t>
      </text>
    </comment>
    <comment ref="M2393" authorId="0" shapeId="0">
      <text>
        <t>Em branco herda a base; sem base usa a vida normal. Corpo de criação usa 4 + Constituição por nível após o primeiro.</t>
      </text>
    </comment>
    <comment ref="B2394" authorId="0" shapeId="0">
      <text>
        <t>Em branco herda a base; sem base não usa. Usar habilita a carga do talismã na entrada da entidade.</t>
      </text>
    </comment>
    <comment ref="E2394" authorId="0" shapeId="0">
      <text>
        <t>Em branco herda a base; sem base não usa. Usar habilita a carga do talismã na entrada da entidade.</t>
      </text>
    </comment>
    <comment ref="J2394" authorId="0" shapeId="0">
      <text>
        <t>Em branco herda a base; sem base não usa. Usar habilita a carga do talismã na entrada da entidade.</t>
      </text>
    </comment>
    <comment ref="M2394" authorId="0" shapeId="0">
      <text>
        <t>Em branco herda a base; sem base não usa. Usar habilita a carga do talismã na entrada da entidade.</t>
      </text>
    </comment>
    <comment ref="B2396" authorId="0" shapeId="0">
      <text>
        <t>Em branco herda a base; sem base usa a reserva normal. A opção domada aplica o cálculo já publicado.</t>
      </text>
    </comment>
    <comment ref="E2396" authorId="0" shapeId="0">
      <text>
        <t>Em branco herda a base; sem base usa a reserva normal. A opção domada aplica o cálculo já publicado.</t>
      </text>
    </comment>
    <comment ref="J2396" authorId="0" shapeId="0">
      <text>
        <t>Em branco herda a base; sem base usa a reserva normal. A opção domada aplica o cálculo já publicado.</t>
      </text>
    </comment>
    <comment ref="M2396" authorId="0" shapeId="0">
      <text>
        <t>Em branco herda a base; sem base usa a reserva normal. A opção domada aplica o cálculo já publicado.</t>
      </text>
    </comment>
    <comment ref="B2399" authorId="0" shapeId="0">
      <text>
        <t>Corpo, natureza e características do tipo. Em branco herda a base; aparece na nota do seletor TIPO da invocação.</t>
      </text>
    </comment>
    <comment ref="J2399" authorId="0" shapeId="0">
      <text>
        <t>Corpo, natureza e características do tipo. Em branco herda a base; aparece na nota do seletor TIPO da invocação.</t>
      </text>
    </comment>
    <comment ref="B2400" authorId="0" shapeId="0">
      <text>
        <t>Corpo, natureza e características do tipo. Em branco herda a base; aparece na nota do seletor TIPO da invocação.</t>
      </text>
    </comment>
    <comment ref="J2400" authorId="0" shapeId="0">
      <text>
        <t>Corpo, natureza e características do tipo. Em branco herda a base; aparece na nota do seletor TIPO da invocação.</t>
      </text>
    </comment>
    <comment ref="B2404" authorId="0" shapeId="0">
      <text>
        <t>Em branco herda a base. Aparece na nota do seletor TIPO; texto livre não cria automações. Revise a descrição ao sobrescrever campos mecânicos.</t>
      </text>
    </comment>
    <comment ref="J2404" authorId="0" shapeId="0">
      <text>
        <t>Em branco herda a base. Aparece na nota do seletor TIPO; texto livre não cria automações. Revise a descrição ao sobrescrever campos mecânicos.</t>
      </text>
    </comment>
    <comment ref="B2405" authorId="0" shapeId="0">
      <text>
        <t>Em branco herda a base. Aparece na nota do seletor TIPO; texto livre não cria automações. Revise a descrição ao sobrescrever campos mecânicos.</t>
      </text>
    </comment>
    <comment ref="J2405" authorId="0" shapeId="0">
      <text>
        <t>Em branco herda a base. Aparece na nota do seletor TIPO; texto livre não cria automações. Revise a descrição ao sobrescrever campos mecânicos.</t>
      </text>
    </comment>
    <comment ref="B2414" authorId="0" shapeId="0">
      <text>
        <t>Problema do cadastro. Cadastros com problema ficam fora dos menus da ficha.</t>
      </text>
    </comment>
    <comment ref="J2414" authorId="0" shapeId="0">
      <text>
        <t>Problema do cadastro. Cadastros com problema ficam fora dos menus da ficha.</t>
      </text>
    </comment>
    <comment ref="B2416" authorId="0" shapeId="0">
      <text>
        <t>Cadastro custom de entidade. Em branco herda a base do livro, quando escolhida.</t>
      </text>
    </comment>
    <comment ref="J2416" authorId="0" shapeId="0">
      <text>
        <t>Cadastro custom de entidade. Em branco herda a base do livro, quando escolhida.</t>
      </text>
    </comment>
    <comment ref="B2417" authorId="0" shapeId="0">
      <text>
        <t>Nome único. O menu da ficha reunirá o livro e os cadastros válidos.</t>
      </text>
    </comment>
    <comment ref="F2417" authorId="0" shapeId="0">
      <text>
        <t>Cadastro custom de entidade. Em branco herda a base do livro, quando escolhida.</t>
      </text>
    </comment>
    <comment ref="J2417" authorId="0" shapeId="0">
      <text>
        <t>Nome único. O menu da ficha reunirá o livro e os cadastros válidos.</t>
      </text>
    </comment>
    <comment ref="N2417" authorId="0" shapeId="0">
      <text>
        <t>Cadastro custom de entidade. Em branco herda a base do livro, quando escolhida.</t>
      </text>
    </comment>
    <comment ref="B2418" authorId="0" shapeId="0">
      <text>
        <t>Nome próprio do conteúdo criado com o mestre.</t>
      </text>
    </comment>
    <comment ref="F2418" authorId="0" shapeId="0">
      <text>
        <t>Lembrete marcado pelo jogador; aprovação é feita pelo bot, no chat.</t>
      </text>
    </comment>
    <comment ref="J2418" authorId="0" shapeId="0">
      <text>
        <t>Nome próprio do conteúdo criado com o mestre.</t>
      </text>
    </comment>
    <comment ref="N2418" authorId="0" shapeId="0">
      <text>
        <t>Lembrete marcado pelo jogador; aprovação é feita pelo bot, no chat.</t>
      </text>
    </comment>
    <comment ref="B2420" authorId="0" shapeId="0">
      <text>
        <t>Opcional. Em branco nos demais campos, uma base herda as automações do livro. Nenhuma permite conteúdo próprio. O texto não é interpretado como fórmula.</t>
      </text>
    </comment>
    <comment ref="E2420" authorId="0" shapeId="0">
      <text>
        <t>Opcional. Em branco nos demais campos, uma base herda as automações do livro. Nenhuma permite conteúdo próprio. O texto não é interpretado como fórmula.</t>
      </text>
    </comment>
    <comment ref="J2420" authorId="0" shapeId="0">
      <text>
        <t>Opcional. Em branco nos demais campos, uma base herda as automações do livro. Nenhuma permite conteúdo próprio. O texto não é interpretado como fórmula.</t>
      </text>
    </comment>
    <comment ref="M2420" authorId="0" shapeId="0">
      <text>
        <t>Opcional. Em branco nos demais campos, uma base herda as automações do livro. Nenhuma permite conteúdo próprio. O texto não é interpretado como fórmula.</t>
      </text>
    </comment>
    <comment ref="B2421" authorId="0" shapeId="0">
      <text>
        <t>Em branco herda a base; sem base usa a vida normal. Corpo de criação usa 4 + Constituição por nível após o primeiro.</t>
      </text>
    </comment>
    <comment ref="E2421" authorId="0" shapeId="0">
      <text>
        <t>Em branco herda a base; sem base usa a vida normal. Corpo de criação usa 4 + Constituição por nível após o primeiro.</t>
      </text>
    </comment>
    <comment ref="J2421" authorId="0" shapeId="0">
      <text>
        <t>Em branco herda a base; sem base usa a vida normal. Corpo de criação usa 4 + Constituição por nível após o primeiro.</t>
      </text>
    </comment>
    <comment ref="M2421" authorId="0" shapeId="0">
      <text>
        <t>Em branco herda a base; sem base usa a vida normal. Corpo de criação usa 4 + Constituição por nível após o primeiro.</t>
      </text>
    </comment>
    <comment ref="B2422" authorId="0" shapeId="0">
      <text>
        <t>Em branco herda a base; sem base não usa. Usar habilita a carga do talismã na entrada da entidade.</t>
      </text>
    </comment>
    <comment ref="E2422" authorId="0" shapeId="0">
      <text>
        <t>Em branco herda a base; sem base não usa. Usar habilita a carga do talismã na entrada da entidade.</t>
      </text>
    </comment>
    <comment ref="J2422" authorId="0" shapeId="0">
      <text>
        <t>Em branco herda a base; sem base não usa. Usar habilita a carga do talismã na entrada da entidade.</t>
      </text>
    </comment>
    <comment ref="M2422" authorId="0" shapeId="0">
      <text>
        <t>Em branco herda a base; sem base não usa. Usar habilita a carga do talismã na entrada da entidade.</t>
      </text>
    </comment>
    <comment ref="B2424" authorId="0" shapeId="0">
      <text>
        <t>Em branco herda a base; sem base usa a reserva normal. A opção domada aplica o cálculo já publicado.</t>
      </text>
    </comment>
    <comment ref="E2424" authorId="0" shapeId="0">
      <text>
        <t>Em branco herda a base; sem base usa a reserva normal. A opção domada aplica o cálculo já publicado.</t>
      </text>
    </comment>
    <comment ref="J2424" authorId="0" shapeId="0">
      <text>
        <t>Em branco herda a base; sem base usa a reserva normal. A opção domada aplica o cálculo já publicado.</t>
      </text>
    </comment>
    <comment ref="M2424" authorId="0" shapeId="0">
      <text>
        <t>Em branco herda a base; sem base usa a reserva normal. A opção domada aplica o cálculo já publicado.</t>
      </text>
    </comment>
    <comment ref="B2427" authorId="0" shapeId="0">
      <text>
        <t>Corpo, natureza e características do tipo. Em branco herda a base; aparece na nota do seletor TIPO da invocação.</t>
      </text>
    </comment>
    <comment ref="J2427" authorId="0" shapeId="0">
      <text>
        <t>Corpo, natureza e características do tipo. Em branco herda a base; aparece na nota do seletor TIPO da invocação.</t>
      </text>
    </comment>
    <comment ref="B2428" authorId="0" shapeId="0">
      <text>
        <t>Corpo, natureza e características do tipo. Em branco herda a base; aparece na nota do seletor TIPO da invocação.</t>
      </text>
    </comment>
    <comment ref="J2428" authorId="0" shapeId="0">
      <text>
        <t>Corpo, natureza e características do tipo. Em branco herda a base; aparece na nota do seletor TIPO da invocação.</t>
      </text>
    </comment>
    <comment ref="B2432" authorId="0" shapeId="0">
      <text>
        <t>Em branco herda a base. Aparece na nota do seletor TIPO; texto livre não cria automações. Revise a descrição ao sobrescrever campos mecânicos.</t>
      </text>
    </comment>
    <comment ref="J2432" authorId="0" shapeId="0">
      <text>
        <t>Em branco herda a base. Aparece na nota do seletor TIPO; texto livre não cria automações. Revise a descrição ao sobrescrever campos mecânicos.</t>
      </text>
    </comment>
    <comment ref="B2433" authorId="0" shapeId="0">
      <text>
        <t>Em branco herda a base. Aparece na nota do seletor TIPO; texto livre não cria automações. Revise a descrição ao sobrescrever campos mecânicos.</t>
      </text>
    </comment>
    <comment ref="J2433" authorId="0" shapeId="0">
      <text>
        <t>Em branco herda a base. Aparece na nota do seletor TIPO; texto livre não cria automações. Revise a descrição ao sobrescrever campos mecânicos.</t>
      </text>
    </comment>
    <comment ref="B2442" authorId="0" shapeId="0">
      <text>
        <t>Problema do cadastro. Cadastros com problema ficam fora dos menus da ficha.</t>
      </text>
    </comment>
    <comment ref="J2442" authorId="0" shapeId="0">
      <text>
        <t>Problema do cadastro. Cadastros com problema ficam fora dos menus da ficha.</t>
      </text>
    </comment>
    <comment ref="B2444" authorId="0" shapeId="0">
      <text>
        <t>Cadastro custom de entidade. Em branco herda a base do livro, quando escolhida.</t>
      </text>
    </comment>
    <comment ref="J2444" authorId="0" shapeId="0">
      <text>
        <t>Cadastro custom de entidade. Em branco herda a base do livro, quando escolhida.</t>
      </text>
    </comment>
    <comment ref="B2445" authorId="0" shapeId="0">
      <text>
        <t>Nome único. O menu da ficha reunirá o livro e os cadastros válidos.</t>
      </text>
    </comment>
    <comment ref="F2445" authorId="0" shapeId="0">
      <text>
        <t>Cadastro custom de entidade. Em branco herda a base do livro, quando escolhida.</t>
      </text>
    </comment>
    <comment ref="J2445" authorId="0" shapeId="0">
      <text>
        <t>Nome único. O menu da ficha reunirá o livro e os cadastros válidos.</t>
      </text>
    </comment>
    <comment ref="N2445" authorId="0" shapeId="0">
      <text>
        <t>Cadastro custom de entidade. Em branco herda a base do livro, quando escolhida.</t>
      </text>
    </comment>
    <comment ref="B2446" authorId="0" shapeId="0">
      <text>
        <t>Nome próprio do conteúdo criado com o mestre.</t>
      </text>
    </comment>
    <comment ref="F2446" authorId="0" shapeId="0">
      <text>
        <t>Lembrete marcado pelo jogador; aprovação é feita pelo bot, no chat.</t>
      </text>
    </comment>
    <comment ref="J2446" authorId="0" shapeId="0">
      <text>
        <t>Nome próprio do conteúdo criado com o mestre.</t>
      </text>
    </comment>
    <comment ref="N2446" authorId="0" shapeId="0">
      <text>
        <t>Lembrete marcado pelo jogador; aprovação é feita pelo bot, no chat.</t>
      </text>
    </comment>
    <comment ref="B2448" authorId="0" shapeId="0">
      <text>
        <t>Opcional. Em branco nos demais campos, uma base herda as automações do livro. Nenhuma permite conteúdo próprio. O texto não é interpretado como fórmula.</t>
      </text>
    </comment>
    <comment ref="E2448" authorId="0" shapeId="0">
      <text>
        <t>Opcional. Em branco nos demais campos, uma base herda as automações do livro. Nenhuma permite conteúdo próprio. O texto não é interpretado como fórmula.</t>
      </text>
    </comment>
    <comment ref="J2448" authorId="0" shapeId="0">
      <text>
        <t>Opcional. Em branco nos demais campos, uma base herda as automações do livro. Nenhuma permite conteúdo próprio. O texto não é interpretado como fórmula.</t>
      </text>
    </comment>
    <comment ref="M2448" authorId="0" shapeId="0">
      <text>
        <t>Opcional. Em branco nos demais campos, uma base herda as automações do livro. Nenhuma permite conteúdo próprio. O texto não é interpretado como fórmula.</t>
      </text>
    </comment>
    <comment ref="B2449" authorId="0" shapeId="0">
      <text>
        <t>Em branco herda a base; sem base usa a vida normal. Corpo de criação usa 4 + Constituição por nível após o primeiro.</t>
      </text>
    </comment>
    <comment ref="E2449" authorId="0" shapeId="0">
      <text>
        <t>Em branco herda a base; sem base usa a vida normal. Corpo de criação usa 4 + Constituição por nível após o primeiro.</t>
      </text>
    </comment>
    <comment ref="J2449" authorId="0" shapeId="0">
      <text>
        <t>Em branco herda a base; sem base usa a vida normal. Corpo de criação usa 4 + Constituição por nível após o primeiro.</t>
      </text>
    </comment>
    <comment ref="M2449" authorId="0" shapeId="0">
      <text>
        <t>Em branco herda a base; sem base usa a vida normal. Corpo de criação usa 4 + Constituição por nível após o primeiro.</t>
      </text>
    </comment>
    <comment ref="B2450" authorId="0" shapeId="0">
      <text>
        <t>Em branco herda a base; sem base não usa. Usar habilita a carga do talismã na entrada da entidade.</t>
      </text>
    </comment>
    <comment ref="E2450" authorId="0" shapeId="0">
      <text>
        <t>Em branco herda a base; sem base não usa. Usar habilita a carga do talismã na entrada da entidade.</t>
      </text>
    </comment>
    <comment ref="J2450" authorId="0" shapeId="0">
      <text>
        <t>Em branco herda a base; sem base não usa. Usar habilita a carga do talismã na entrada da entidade.</t>
      </text>
    </comment>
    <comment ref="M2450" authorId="0" shapeId="0">
      <text>
        <t>Em branco herda a base; sem base não usa. Usar habilita a carga do talismã na entrada da entidade.</t>
      </text>
    </comment>
    <comment ref="B2452" authorId="0" shapeId="0">
      <text>
        <t>Em branco herda a base; sem base usa a reserva normal. A opção domada aplica o cálculo já publicado.</t>
      </text>
    </comment>
    <comment ref="E2452" authorId="0" shapeId="0">
      <text>
        <t>Em branco herda a base; sem base usa a reserva normal. A opção domada aplica o cálculo já publicado.</t>
      </text>
    </comment>
    <comment ref="J2452" authorId="0" shapeId="0">
      <text>
        <t>Em branco herda a base; sem base usa a reserva normal. A opção domada aplica o cálculo já publicado.</t>
      </text>
    </comment>
    <comment ref="M2452" authorId="0" shapeId="0">
      <text>
        <t>Em branco herda a base; sem base usa a reserva normal. A opção domada aplica o cálculo já publicado.</t>
      </text>
    </comment>
    <comment ref="B2455" authorId="0" shapeId="0">
      <text>
        <t>Corpo, natureza e características do tipo. Em branco herda a base; aparece na nota do seletor TIPO da invocação.</t>
      </text>
    </comment>
    <comment ref="J2455" authorId="0" shapeId="0">
      <text>
        <t>Corpo, natureza e características do tipo. Em branco herda a base; aparece na nota do seletor TIPO da invocação.</t>
      </text>
    </comment>
    <comment ref="B2456" authorId="0" shapeId="0">
      <text>
        <t>Corpo, natureza e características do tipo. Em branco herda a base; aparece na nota do seletor TIPO da invocação.</t>
      </text>
    </comment>
    <comment ref="J2456" authorId="0" shapeId="0">
      <text>
        <t>Corpo, natureza e características do tipo. Em branco herda a base; aparece na nota do seletor TIPO da invocação.</t>
      </text>
    </comment>
    <comment ref="B2460" authorId="0" shapeId="0">
      <text>
        <t>Em branco herda a base. Aparece na nota do seletor TIPO; texto livre não cria automações. Revise a descrição ao sobrescrever campos mecânicos.</t>
      </text>
    </comment>
    <comment ref="J2460" authorId="0" shapeId="0">
      <text>
        <t>Em branco herda a base. Aparece na nota do seletor TIPO; texto livre não cria automações. Revise a descrição ao sobrescrever campos mecânicos.</t>
      </text>
    </comment>
    <comment ref="B2461" authorId="0" shapeId="0">
      <text>
        <t>Em branco herda a base. Aparece na nota do seletor TIPO; texto livre não cria automações. Revise a descrição ao sobrescrever campos mecânicos.</t>
      </text>
    </comment>
    <comment ref="J2461" authorId="0" shapeId="0">
      <text>
        <t>Em branco herda a base. Aparece na nota do seletor TIPO; texto livre não cria automações. Revise a descrição ao sobrescrever campos mecânicos.</t>
      </text>
    </comment>
    <comment ref="B2470" authorId="0" shapeId="0">
      <text>
        <t>Problema do cadastro. Cadastros com problema ficam fora dos menus da ficha.</t>
      </text>
    </comment>
    <comment ref="J2470" authorId="0" shapeId="0">
      <text>
        <t>Problema do cadastro. Cadastros com problema ficam fora dos menus da ficha.</t>
      </text>
    </comment>
    <comment ref="B2472" authorId="0" shapeId="0">
      <text>
        <t>Cadastro custom de entidade. Em branco herda a base do livro, quando escolhida.</t>
      </text>
    </comment>
    <comment ref="J2472" authorId="0" shapeId="0">
      <text>
        <t>Cadastro custom de entidade. Em branco herda a base do livro, quando escolhida.</t>
      </text>
    </comment>
    <comment ref="B2473" authorId="0" shapeId="0">
      <text>
        <t>Nome único. O menu da ficha reunirá o livro e os cadastros válidos.</t>
      </text>
    </comment>
    <comment ref="F2473" authorId="0" shapeId="0">
      <text>
        <t>Cadastro custom de entidade. Em branco herda a base do livro, quando escolhida.</t>
      </text>
    </comment>
    <comment ref="J2473" authorId="0" shapeId="0">
      <text>
        <t>Nome único. O menu da ficha reunirá o livro e os cadastros válidos.</t>
      </text>
    </comment>
    <comment ref="N2473" authorId="0" shapeId="0">
      <text>
        <t>Cadastro custom de entidade. Em branco herda a base do livro, quando escolhida.</t>
      </text>
    </comment>
    <comment ref="B2474" authorId="0" shapeId="0">
      <text>
        <t>Nome próprio do conteúdo criado com o mestre.</t>
      </text>
    </comment>
    <comment ref="F2474" authorId="0" shapeId="0">
      <text>
        <t>Lembrete marcado pelo jogador; aprovação é feita pelo bot, no chat.</t>
      </text>
    </comment>
    <comment ref="J2474" authorId="0" shapeId="0">
      <text>
        <t>Nome próprio do conteúdo criado com o mestre.</t>
      </text>
    </comment>
    <comment ref="N2474" authorId="0" shapeId="0">
      <text>
        <t>Lembrete marcado pelo jogador; aprovação é feita pelo bot, no chat.</t>
      </text>
    </comment>
    <comment ref="B2476" authorId="0" shapeId="0">
      <text>
        <t>Opcional. Em branco nos demais campos, uma base herda as automações do livro. Nenhuma permite conteúdo próprio. O texto não é interpretado como fórmula.</t>
      </text>
    </comment>
    <comment ref="E2476" authorId="0" shapeId="0">
      <text>
        <t>Opcional. Em branco nos demais campos, uma base herda as automações do livro. Nenhuma permite conteúdo próprio. O texto não é interpretado como fórmula.</t>
      </text>
    </comment>
    <comment ref="J2476" authorId="0" shapeId="0">
      <text>
        <t>Opcional. Em branco nos demais campos, uma base herda as automações do livro. Nenhuma permite conteúdo próprio. O texto não é interpretado como fórmula.</t>
      </text>
    </comment>
    <comment ref="M2476" authorId="0" shapeId="0">
      <text>
        <t>Opcional. Em branco nos demais campos, uma base herda as automações do livro. Nenhuma permite conteúdo próprio. O texto não é interpretado como fórmula.</t>
      </text>
    </comment>
    <comment ref="B2477" authorId="0" shapeId="0">
      <text>
        <t>Em branco herda a base; sem base usa a vida normal. Corpo de criação usa 4 + Constituição por nível após o primeiro.</t>
      </text>
    </comment>
    <comment ref="E2477" authorId="0" shapeId="0">
      <text>
        <t>Em branco herda a base; sem base usa a vida normal. Corpo de criação usa 4 + Constituição por nível após o primeiro.</t>
      </text>
    </comment>
    <comment ref="J2477" authorId="0" shapeId="0">
      <text>
        <t>Em branco herda a base; sem base usa a vida normal. Corpo de criação usa 4 + Constituição por nível após o primeiro.</t>
      </text>
    </comment>
    <comment ref="M2477" authorId="0" shapeId="0">
      <text>
        <t>Em branco herda a base; sem base usa a vida normal. Corpo de criação usa 4 + Constituição por nível após o primeiro.</t>
      </text>
    </comment>
    <comment ref="B2478" authorId="0" shapeId="0">
      <text>
        <t>Em branco herda a base; sem base não usa. Usar habilita a carga do talismã na entrada da entidade.</t>
      </text>
    </comment>
    <comment ref="E2478" authorId="0" shapeId="0">
      <text>
        <t>Em branco herda a base; sem base não usa. Usar habilita a carga do talismã na entrada da entidade.</t>
      </text>
    </comment>
    <comment ref="J2478" authorId="0" shapeId="0">
      <text>
        <t>Em branco herda a base; sem base não usa. Usar habilita a carga do talismã na entrada da entidade.</t>
      </text>
    </comment>
    <comment ref="M2478" authorId="0" shapeId="0">
      <text>
        <t>Em branco herda a base; sem base não usa. Usar habilita a carga do talismã na entrada da entidade.</t>
      </text>
    </comment>
    <comment ref="B2480" authorId="0" shapeId="0">
      <text>
        <t>Em branco herda a base; sem base usa a reserva normal. A opção domada aplica o cálculo já publicado.</t>
      </text>
    </comment>
    <comment ref="E2480" authorId="0" shapeId="0">
      <text>
        <t>Em branco herda a base; sem base usa a reserva normal. A opção domada aplica o cálculo já publicado.</t>
      </text>
    </comment>
    <comment ref="J2480" authorId="0" shapeId="0">
      <text>
        <t>Em branco herda a base; sem base usa a reserva normal. A opção domada aplica o cálculo já publicado.</t>
      </text>
    </comment>
    <comment ref="M2480" authorId="0" shapeId="0">
      <text>
        <t>Em branco herda a base; sem base usa a reserva normal. A opção domada aplica o cálculo já publicado.</t>
      </text>
    </comment>
    <comment ref="B2483" authorId="0" shapeId="0">
      <text>
        <t>Corpo, natureza e características do tipo. Em branco herda a base; aparece na nota do seletor TIPO da invocação.</t>
      </text>
    </comment>
    <comment ref="J2483" authorId="0" shapeId="0">
      <text>
        <t>Corpo, natureza e características do tipo. Em branco herda a base; aparece na nota do seletor TIPO da invocação.</t>
      </text>
    </comment>
    <comment ref="B2484" authorId="0" shapeId="0">
      <text>
        <t>Corpo, natureza e características do tipo. Em branco herda a base; aparece na nota do seletor TIPO da invocação.</t>
      </text>
    </comment>
    <comment ref="J2484" authorId="0" shapeId="0">
      <text>
        <t>Corpo, natureza e características do tipo. Em branco herda a base; aparece na nota do seletor TIPO da invocação.</t>
      </text>
    </comment>
    <comment ref="B2488" authorId="0" shapeId="0">
      <text>
        <t>Em branco herda a base. Aparece na nota do seletor TIPO; texto livre não cria automações. Revise a descrição ao sobrescrever campos mecânicos.</t>
      </text>
    </comment>
    <comment ref="J2488" authorId="0" shapeId="0">
      <text>
        <t>Em branco herda a base. Aparece na nota do seletor TIPO; texto livre não cria automações. Revise a descrição ao sobrescrever campos mecânicos.</t>
      </text>
    </comment>
    <comment ref="B2489" authorId="0" shapeId="0">
      <text>
        <t>Em branco herda a base. Aparece na nota do seletor TIPO; texto livre não cria automações. Revise a descrição ao sobrescrever campos mecânicos.</t>
      </text>
    </comment>
    <comment ref="J2489" authorId="0" shapeId="0">
      <text>
        <t>Em branco herda a base. Aparece na nota do seletor TIPO; texto livre não cria automações. Revise a descrição ao sobrescrever campos mecânicos.</t>
      </text>
    </comment>
    <comment ref="B2498" authorId="0" shapeId="0">
      <text>
        <t>Problema do cadastro. Cadastros com problema ficam fora dos menus da ficha.</t>
      </text>
    </comment>
    <comment ref="J2498" authorId="0" shapeId="0">
      <text>
        <t>Problema do cadastro. Cadastros com problema ficam fora dos menus da ficha.</t>
      </text>
    </comment>
    <comment ref="B2500" authorId="0" shapeId="0">
      <text>
        <t>Cadastro custom de entidade. Em branco herda a base do livro, quando escolhida.</t>
      </text>
    </comment>
    <comment ref="J2500" authorId="0" shapeId="0">
      <text>
        <t>Cadastro custom de entidade. Em branco herda a base do livro, quando escolhida.</t>
      </text>
    </comment>
    <comment ref="B2501" authorId="0" shapeId="0">
      <text>
        <t>Nome único. O menu da ficha reunirá o livro e os cadastros válidos.</t>
      </text>
    </comment>
    <comment ref="F2501" authorId="0" shapeId="0">
      <text>
        <t>Cadastro custom de entidade. Em branco herda a base do livro, quando escolhida.</t>
      </text>
    </comment>
    <comment ref="J2501" authorId="0" shapeId="0">
      <text>
        <t>Nome único. O menu da ficha reunirá o livro e os cadastros válidos.</t>
      </text>
    </comment>
    <comment ref="N2501" authorId="0" shapeId="0">
      <text>
        <t>Cadastro custom de entidade. Em branco herda a base do livro, quando escolhida.</t>
      </text>
    </comment>
    <comment ref="B2502" authorId="0" shapeId="0">
      <text>
        <t>Nome próprio do conteúdo criado com o mestre.</t>
      </text>
    </comment>
    <comment ref="F2502" authorId="0" shapeId="0">
      <text>
        <t>Lembrete marcado pelo jogador; aprovação é feita pelo bot, no chat.</t>
      </text>
    </comment>
    <comment ref="J2502" authorId="0" shapeId="0">
      <text>
        <t>Nome próprio do conteúdo criado com o mestre.</t>
      </text>
    </comment>
    <comment ref="N2502" authorId="0" shapeId="0">
      <text>
        <t>Lembrete marcado pelo jogador; aprovação é feita pelo bot, no chat.</t>
      </text>
    </comment>
    <comment ref="B2504" authorId="0" shapeId="0">
      <text>
        <t>Opcional. Em branco nos demais campos, uma base herda as automações do livro. Nenhuma permite conteúdo próprio. O texto não é interpretado como fórmula.</t>
      </text>
    </comment>
    <comment ref="E2504" authorId="0" shapeId="0">
      <text>
        <t>Opcional. Em branco nos demais campos, uma base herda as automações do livro. Nenhuma permite conteúdo próprio. O texto não é interpretado como fórmula.</t>
      </text>
    </comment>
    <comment ref="J2504" authorId="0" shapeId="0">
      <text>
        <t>Opcional. Em branco nos demais campos, uma base herda as automações do livro. Nenhuma permite conteúdo próprio. O texto não é interpretado como fórmula.</t>
      </text>
    </comment>
    <comment ref="M2504" authorId="0" shapeId="0">
      <text>
        <t>Opcional. Em branco nos demais campos, uma base herda as automações do livro. Nenhuma permite conteúdo próprio. O texto não é interpretado como fórmula.</t>
      </text>
    </comment>
    <comment ref="B2505" authorId="0" shapeId="0">
      <text>
        <t>Em branco herda a base; sem base usa a vida normal. Corpo de criação usa 4 + Constituição por nível após o primeiro.</t>
      </text>
    </comment>
    <comment ref="E2505" authorId="0" shapeId="0">
      <text>
        <t>Em branco herda a base; sem base usa a vida normal. Corpo de criação usa 4 + Constituição por nível após o primeiro.</t>
      </text>
    </comment>
    <comment ref="J2505" authorId="0" shapeId="0">
      <text>
        <t>Em branco herda a base; sem base usa a vida normal. Corpo de criação usa 4 + Constituição por nível após o primeiro.</t>
      </text>
    </comment>
    <comment ref="M2505" authorId="0" shapeId="0">
      <text>
        <t>Em branco herda a base; sem base usa a vida normal. Corpo de criação usa 4 + Constituição por nível após o primeiro.</t>
      </text>
    </comment>
    <comment ref="B2506" authorId="0" shapeId="0">
      <text>
        <t>Em branco herda a base; sem base não usa. Usar habilita a carga do talismã na entrada da entidade.</t>
      </text>
    </comment>
    <comment ref="E2506" authorId="0" shapeId="0">
      <text>
        <t>Em branco herda a base; sem base não usa. Usar habilita a carga do talismã na entrada da entidade.</t>
      </text>
    </comment>
    <comment ref="J2506" authorId="0" shapeId="0">
      <text>
        <t>Em branco herda a base; sem base não usa. Usar habilita a carga do talismã na entrada da entidade.</t>
      </text>
    </comment>
    <comment ref="M2506" authorId="0" shapeId="0">
      <text>
        <t>Em branco herda a base; sem base não usa. Usar habilita a carga do talismã na entrada da entidade.</t>
      </text>
    </comment>
    <comment ref="B2508" authorId="0" shapeId="0">
      <text>
        <t>Em branco herda a base; sem base usa a reserva normal. A opção domada aplica o cálculo já publicado.</t>
      </text>
    </comment>
    <comment ref="E2508" authorId="0" shapeId="0">
      <text>
        <t>Em branco herda a base; sem base usa a reserva normal. A opção domada aplica o cálculo já publicado.</t>
      </text>
    </comment>
    <comment ref="J2508" authorId="0" shapeId="0">
      <text>
        <t>Em branco herda a base; sem base usa a reserva normal. A opção domada aplica o cálculo já publicado.</t>
      </text>
    </comment>
    <comment ref="M2508" authorId="0" shapeId="0">
      <text>
        <t>Em branco herda a base; sem base usa a reserva normal. A opção domada aplica o cálculo já publicado.</t>
      </text>
    </comment>
    <comment ref="B2511" authorId="0" shapeId="0">
      <text>
        <t>Corpo, natureza e características do tipo. Em branco herda a base; aparece na nota do seletor TIPO da invocação.</t>
      </text>
    </comment>
    <comment ref="J2511" authorId="0" shapeId="0">
      <text>
        <t>Corpo, natureza e características do tipo. Em branco herda a base; aparece na nota do seletor TIPO da invocação.</t>
      </text>
    </comment>
    <comment ref="B2512" authorId="0" shapeId="0">
      <text>
        <t>Corpo, natureza e características do tipo. Em branco herda a base; aparece na nota do seletor TIPO da invocação.</t>
      </text>
    </comment>
    <comment ref="J2512" authorId="0" shapeId="0">
      <text>
        <t>Corpo, natureza e características do tipo. Em branco herda a base; aparece na nota do seletor TIPO da invocação.</t>
      </text>
    </comment>
    <comment ref="B2516" authorId="0" shapeId="0">
      <text>
        <t>Em branco herda a base. Aparece na nota do seletor TIPO; texto livre não cria automações. Revise a descrição ao sobrescrever campos mecânicos.</t>
      </text>
    </comment>
    <comment ref="J2516" authorId="0" shapeId="0">
      <text>
        <t>Em branco herda a base. Aparece na nota do seletor TIPO; texto livre não cria automações. Revise a descrição ao sobrescrever campos mecânicos.</t>
      </text>
    </comment>
    <comment ref="B2517" authorId="0" shapeId="0">
      <text>
        <t>Em branco herda a base. Aparece na nota do seletor TIPO; texto livre não cria automações. Revise a descrição ao sobrescrever campos mecânicos.</t>
      </text>
    </comment>
    <comment ref="J2517" authorId="0" shapeId="0">
      <text>
        <t>Em branco herda a base. Aparece na nota do seletor TIPO; texto livre não cria automações. Revise a descrição ao sobrescrever campos mecânicos.</t>
      </text>
    </comment>
    <comment ref="B2526" authorId="0" shapeId="0">
      <text>
        <t>Problema do cadastro. Cadastros com problema ficam fora dos menus da ficha.</t>
      </text>
    </comment>
    <comment ref="J2526" authorId="0" shapeId="0">
      <text>
        <t>Problema do cadastro. Cadastros com problema ficam fora dos menus da ficha.</t>
      </text>
    </comment>
    <comment ref="B2528" authorId="0" shapeId="0">
      <text>
        <t>Cadastro custom de entidade. Em branco herda a base do livro, quando escolhida.</t>
      </text>
    </comment>
    <comment ref="B2530" authorId="0" shapeId="0">
      <text>
        <t>Cadastro custom de entidade. Em branco herda a base do livro, quando escolhida.</t>
      </text>
    </comment>
    <comment ref="J2530" authorId="0" shapeId="0">
      <text>
        <t>Cadastro custom de entidade. Em branco herda a base do livro, quando escolhida.</t>
      </text>
    </comment>
    <comment ref="B2531" authorId="0" shapeId="0">
      <text>
        <t>Nome único. O menu da ficha reunirá o livro e os cadastros válidos.</t>
      </text>
    </comment>
    <comment ref="F2531" authorId="0" shapeId="0">
      <text>
        <t>Cadastro custom de entidade. Em branco herda a base do livro, quando escolhida.</t>
      </text>
    </comment>
    <comment ref="J2531" authorId="0" shapeId="0">
      <text>
        <t>Nome único. O menu da ficha reunirá o livro e os cadastros válidos.</t>
      </text>
    </comment>
    <comment ref="N2531" authorId="0" shapeId="0">
      <text>
        <t>Cadastro custom de entidade. Em branco herda a base do livro, quando escolhida.</t>
      </text>
    </comment>
    <comment ref="B2532" authorId="0" shapeId="0">
      <text>
        <t>Nome próprio do conteúdo criado com o mestre.</t>
      </text>
    </comment>
    <comment ref="F2532" authorId="0" shapeId="0">
      <text>
        <t>Lembrete marcado pelo jogador; aprovação é feita pelo bot, no chat.</t>
      </text>
    </comment>
    <comment ref="J2532" authorId="0" shapeId="0">
      <text>
        <t>Nome próprio do conteúdo criado com o mestre.</t>
      </text>
    </comment>
    <comment ref="N2532" authorId="0" shapeId="0">
      <text>
        <t>Lembrete marcado pelo jogador; aprovação é feita pelo bot, no chat.</t>
      </text>
    </comment>
    <comment ref="B2534" authorId="0" shapeId="0">
      <text>
        <t>Opcional. Em branco nos demais campos, uma base herda as automações do livro. Nenhuma permite conteúdo próprio. O texto não é interpretado como fórmula.</t>
      </text>
    </comment>
    <comment ref="E2534" authorId="0" shapeId="0">
      <text>
        <t>Opcional. Em branco nos demais campos, uma base herda as automações do livro. Nenhuma permite conteúdo próprio. O texto não é interpretado como fórmula.</t>
      </text>
    </comment>
    <comment ref="J2534" authorId="0" shapeId="0">
      <text>
        <t>Opcional. Em branco nos demais campos, uma base herda as automações do livro. Nenhuma permite conteúdo próprio. O texto não é interpretado como fórmula.</t>
      </text>
    </comment>
    <comment ref="M2534" authorId="0" shapeId="0">
      <text>
        <t>Opcional. Em branco nos demais campos, uma base herda as automações do livro. Nenhuma permite conteúdo próprio. O texto não é interpretado como fórmula.</t>
      </text>
    </comment>
    <comment ref="B2535" authorId="0" shapeId="0">
      <text>
        <t>Em branco herda a base; sem base é obrigatória. Conferida com o teto de cada ganho; as escolhas da Trilha aceitam só a Categoria 1.</t>
      </text>
    </comment>
    <comment ref="E2535" authorId="0" shapeId="0">
      <text>
        <t>Em branco herda a base; sem base é obrigatória. Conferida com o teto de cada ganho; as escolhas da Trilha aceitam só a Categoria 1.</t>
      </text>
    </comment>
    <comment ref="J2535" authorId="0" shapeId="0">
      <text>
        <t>Em branco herda a base; sem base é obrigatória. Conferida com o teto de cada ganho; as escolhas da Trilha aceitam só a Categoria 1.</t>
      </text>
    </comment>
    <comment ref="M2535" authorId="0" shapeId="0">
      <text>
        <t>Em branco herda a base; sem base é obrigatória. Conferida com o teto de cada ganho; as escolhas da Trilha aceitam só a Categoria 1.</t>
      </text>
    </comment>
    <comment ref="B2541" authorId="0" shapeId="0">
      <text>
        <t>Exigências completas do Talento de entidade. Texto livre não cria automações.</t>
      </text>
    </comment>
    <comment ref="J2541" authorId="0" shapeId="0">
      <text>
        <t>Exigências completas do Talento de entidade. Texto livre não cria automações.</t>
      </text>
    </comment>
    <comment ref="B2542" authorId="0" shapeId="0">
      <text>
        <t>Exigências completas do Talento de entidade. Texto livre não cria automações.</t>
      </text>
    </comment>
    <comment ref="J2542" authorId="0" shapeId="0">
      <text>
        <t>Exigências completas do Talento de entidade. Texto livre não cria automações.</t>
      </text>
    </comment>
    <comment ref="B2546" authorId="0" shapeId="0">
      <text>
        <t>Descrição completa, exibida na carta existente. Em branco com base, usa o texto do livro.</t>
      </text>
    </comment>
    <comment ref="J2546" authorId="0" shapeId="0">
      <text>
        <t>Descrição completa, exibida na carta existente. Em branco com base, usa o texto do livro.</t>
      </text>
    </comment>
    <comment ref="B2547" authorId="0" shapeId="0">
      <text>
        <t>Descrição completa, exibida na carta existente. Em branco com base, usa o texto do livro.</t>
      </text>
    </comment>
    <comment ref="J2547" authorId="0" shapeId="0">
      <text>
        <t>Descrição completa, exibida na carta existente. Em branco com base, usa o texto do livro.</t>
      </text>
    </comment>
    <comment ref="B2556" authorId="0" shapeId="0">
      <text>
        <t>Problema do cadastro. Cadastros com problema ficam fora dos menus da ficha.</t>
      </text>
    </comment>
    <comment ref="J2556" authorId="0" shapeId="0">
      <text>
        <t>Problema do cadastro. Cadastros com problema ficam fora dos menus da ficha.</t>
      </text>
    </comment>
    <comment ref="B2558" authorId="0" shapeId="0">
      <text>
        <t>Cadastro custom de entidade. Em branco herda a base do livro, quando escolhida.</t>
      </text>
    </comment>
    <comment ref="J2558" authorId="0" shapeId="0">
      <text>
        <t>Cadastro custom de entidade. Em branco herda a base do livro, quando escolhida.</t>
      </text>
    </comment>
    <comment ref="B2559" authorId="0" shapeId="0">
      <text>
        <t>Nome único. O menu da ficha reunirá o livro e os cadastros válidos.</t>
      </text>
    </comment>
    <comment ref="F2559" authorId="0" shapeId="0">
      <text>
        <t>Cadastro custom de entidade. Em branco herda a base do livro, quando escolhida.</t>
      </text>
    </comment>
    <comment ref="J2559" authorId="0" shapeId="0">
      <text>
        <t>Nome único. O menu da ficha reunirá o livro e os cadastros válidos.</t>
      </text>
    </comment>
    <comment ref="N2559" authorId="0" shapeId="0">
      <text>
        <t>Cadastro custom de entidade. Em branco herda a base do livro, quando escolhida.</t>
      </text>
    </comment>
    <comment ref="B2560" authorId="0" shapeId="0">
      <text>
        <t>Nome próprio do conteúdo criado com o mestre.</t>
      </text>
    </comment>
    <comment ref="F2560" authorId="0" shapeId="0">
      <text>
        <t>Lembrete marcado pelo jogador; aprovação é feita pelo bot, no chat.</t>
      </text>
    </comment>
    <comment ref="J2560" authorId="0" shapeId="0">
      <text>
        <t>Nome próprio do conteúdo criado com o mestre.</t>
      </text>
    </comment>
    <comment ref="N2560" authorId="0" shapeId="0">
      <text>
        <t>Lembrete marcado pelo jogador; aprovação é feita pelo bot, no chat.</t>
      </text>
    </comment>
    <comment ref="B2562" authorId="0" shapeId="0">
      <text>
        <t>Opcional. Em branco nos demais campos, uma base herda as automações do livro. Nenhuma permite conteúdo próprio. O texto não é interpretado como fórmula.</t>
      </text>
    </comment>
    <comment ref="E2562" authorId="0" shapeId="0">
      <text>
        <t>Opcional. Em branco nos demais campos, uma base herda as automações do livro. Nenhuma permite conteúdo próprio. O texto não é interpretado como fórmula.</t>
      </text>
    </comment>
    <comment ref="J2562" authorId="0" shapeId="0">
      <text>
        <t>Opcional. Em branco nos demais campos, uma base herda as automações do livro. Nenhuma permite conteúdo próprio. O texto não é interpretado como fórmula.</t>
      </text>
    </comment>
    <comment ref="M2562" authorId="0" shapeId="0">
      <text>
        <t>Opcional. Em branco nos demais campos, uma base herda as automações do livro. Nenhuma permite conteúdo próprio. O texto não é interpretado como fórmula.</t>
      </text>
    </comment>
    <comment ref="B2563" authorId="0" shapeId="0">
      <text>
        <t>Em branco herda a base; sem base é obrigatória. Conferida com o teto de cada ganho; as escolhas da Trilha aceitam só a Categoria 1.</t>
      </text>
    </comment>
    <comment ref="E2563" authorId="0" shapeId="0">
      <text>
        <t>Em branco herda a base; sem base é obrigatória. Conferida com o teto de cada ganho; as escolhas da Trilha aceitam só a Categoria 1.</t>
      </text>
    </comment>
    <comment ref="J2563" authorId="0" shapeId="0">
      <text>
        <t>Em branco herda a base; sem base é obrigatória. Conferida com o teto de cada ganho; as escolhas da Trilha aceitam só a Categoria 1.</t>
      </text>
    </comment>
    <comment ref="M2563" authorId="0" shapeId="0">
      <text>
        <t>Em branco herda a base; sem base é obrigatória. Conferida com o teto de cada ganho; as escolhas da Trilha aceitam só a Categoria 1.</t>
      </text>
    </comment>
    <comment ref="B2569" authorId="0" shapeId="0">
      <text>
        <t>Exigências completas do Talento de entidade. Texto livre não cria automações.</t>
      </text>
    </comment>
    <comment ref="J2569" authorId="0" shapeId="0">
      <text>
        <t>Exigências completas do Talento de entidade. Texto livre não cria automações.</t>
      </text>
    </comment>
    <comment ref="B2570" authorId="0" shapeId="0">
      <text>
        <t>Exigências completas do Talento de entidade. Texto livre não cria automações.</t>
      </text>
    </comment>
    <comment ref="J2570" authorId="0" shapeId="0">
      <text>
        <t>Exigências completas do Talento de entidade. Texto livre não cria automações.</t>
      </text>
    </comment>
    <comment ref="B2574" authorId="0" shapeId="0">
      <text>
        <t>Descrição completa, exibida na carta existente. Em branco com base, usa o texto do livro.</t>
      </text>
    </comment>
    <comment ref="J2574" authorId="0" shapeId="0">
      <text>
        <t>Descrição completa, exibida na carta existente. Em branco com base, usa o texto do livro.</t>
      </text>
    </comment>
    <comment ref="B2575" authorId="0" shapeId="0">
      <text>
        <t>Descrição completa, exibida na carta existente. Em branco com base, usa o texto do livro.</t>
      </text>
    </comment>
    <comment ref="J2575" authorId="0" shapeId="0">
      <text>
        <t>Descrição completa, exibida na carta existente. Em branco com base, usa o texto do livro.</t>
      </text>
    </comment>
    <comment ref="B2584" authorId="0" shapeId="0">
      <text>
        <t>Problema do cadastro. Cadastros com problema ficam fora dos menus da ficha.</t>
      </text>
    </comment>
    <comment ref="J2584" authorId="0" shapeId="0">
      <text>
        <t>Problema do cadastro. Cadastros com problema ficam fora dos menus da ficha.</t>
      </text>
    </comment>
    <comment ref="B2586" authorId="0" shapeId="0">
      <text>
        <t>Cadastro custom de entidade. Em branco herda a base do livro, quando escolhida.</t>
      </text>
    </comment>
    <comment ref="J2586" authorId="0" shapeId="0">
      <text>
        <t>Cadastro custom de entidade. Em branco herda a base do livro, quando escolhida.</t>
      </text>
    </comment>
    <comment ref="B2587" authorId="0" shapeId="0">
      <text>
        <t>Nome único. O menu da ficha reunirá o livro e os cadastros válidos.</t>
      </text>
    </comment>
    <comment ref="F2587" authorId="0" shapeId="0">
      <text>
        <t>Cadastro custom de entidade. Em branco herda a base do livro, quando escolhida.</t>
      </text>
    </comment>
    <comment ref="J2587" authorId="0" shapeId="0">
      <text>
        <t>Nome único. O menu da ficha reunirá o livro e os cadastros válidos.</t>
      </text>
    </comment>
    <comment ref="N2587" authorId="0" shapeId="0">
      <text>
        <t>Cadastro custom de entidade. Em branco herda a base do livro, quando escolhida.</t>
      </text>
    </comment>
    <comment ref="B2588" authorId="0" shapeId="0">
      <text>
        <t>Nome próprio do conteúdo criado com o mestre.</t>
      </text>
    </comment>
    <comment ref="F2588" authorId="0" shapeId="0">
      <text>
        <t>Lembrete marcado pelo jogador; aprovação é feita pelo bot, no chat.</t>
      </text>
    </comment>
    <comment ref="J2588" authorId="0" shapeId="0">
      <text>
        <t>Nome próprio do conteúdo criado com o mestre.</t>
      </text>
    </comment>
    <comment ref="N2588" authorId="0" shapeId="0">
      <text>
        <t>Lembrete marcado pelo jogador; aprovação é feita pelo bot, no chat.</t>
      </text>
    </comment>
    <comment ref="B2590" authorId="0" shapeId="0">
      <text>
        <t>Opcional. Em branco nos demais campos, uma base herda as automações do livro. Nenhuma permite conteúdo próprio. O texto não é interpretado como fórmula.</t>
      </text>
    </comment>
    <comment ref="E2590" authorId="0" shapeId="0">
      <text>
        <t>Opcional. Em branco nos demais campos, uma base herda as automações do livro. Nenhuma permite conteúdo próprio. O texto não é interpretado como fórmula.</t>
      </text>
    </comment>
    <comment ref="J2590" authorId="0" shapeId="0">
      <text>
        <t>Opcional. Em branco nos demais campos, uma base herda as automações do livro. Nenhuma permite conteúdo próprio. O texto não é interpretado como fórmula.</t>
      </text>
    </comment>
    <comment ref="M2590" authorId="0" shapeId="0">
      <text>
        <t>Opcional. Em branco nos demais campos, uma base herda as automações do livro. Nenhuma permite conteúdo próprio. O texto não é interpretado como fórmula.</t>
      </text>
    </comment>
    <comment ref="B2591" authorId="0" shapeId="0">
      <text>
        <t>Em branco herda a base; sem base é obrigatória. Conferida com o teto de cada ganho; as escolhas da Trilha aceitam só a Categoria 1.</t>
      </text>
    </comment>
    <comment ref="E2591" authorId="0" shapeId="0">
      <text>
        <t>Em branco herda a base; sem base é obrigatória. Conferida com o teto de cada ganho; as escolhas da Trilha aceitam só a Categoria 1.</t>
      </text>
    </comment>
    <comment ref="J2591" authorId="0" shapeId="0">
      <text>
        <t>Em branco herda a base; sem base é obrigatória. Conferida com o teto de cada ganho; as escolhas da Trilha aceitam só a Categoria 1.</t>
      </text>
    </comment>
    <comment ref="M2591" authorId="0" shapeId="0">
      <text>
        <t>Em branco herda a base; sem base é obrigatória. Conferida com o teto de cada ganho; as escolhas da Trilha aceitam só a Categoria 1.</t>
      </text>
    </comment>
    <comment ref="B2597" authorId="0" shapeId="0">
      <text>
        <t>Exigências completas do Talento de entidade. Texto livre não cria automações.</t>
      </text>
    </comment>
    <comment ref="J2597" authorId="0" shapeId="0">
      <text>
        <t>Exigências completas do Talento de entidade. Texto livre não cria automações.</t>
      </text>
    </comment>
    <comment ref="B2598" authorId="0" shapeId="0">
      <text>
        <t>Exigências completas do Talento de entidade. Texto livre não cria automações.</t>
      </text>
    </comment>
    <comment ref="J2598" authorId="0" shapeId="0">
      <text>
        <t>Exigências completas do Talento de entidade. Texto livre não cria automações.</t>
      </text>
    </comment>
    <comment ref="B2602" authorId="0" shapeId="0">
      <text>
        <t>Descrição completa, exibida na carta existente. Em branco com base, usa o texto do livro.</t>
      </text>
    </comment>
    <comment ref="J2602" authorId="0" shapeId="0">
      <text>
        <t>Descrição completa, exibida na carta existente. Em branco com base, usa o texto do livro.</t>
      </text>
    </comment>
    <comment ref="B2603" authorId="0" shapeId="0">
      <text>
        <t>Descrição completa, exibida na carta existente. Em branco com base, usa o texto do livro.</t>
      </text>
    </comment>
    <comment ref="J2603" authorId="0" shapeId="0">
      <text>
        <t>Descrição completa, exibida na carta existente. Em branco com base, usa o texto do livro.</t>
      </text>
    </comment>
    <comment ref="B2612" authorId="0" shapeId="0">
      <text>
        <t>Problema do cadastro. Cadastros com problema ficam fora dos menus da ficha.</t>
      </text>
    </comment>
    <comment ref="J2612" authorId="0" shapeId="0">
      <text>
        <t>Problema do cadastro. Cadastros com problema ficam fora dos menus da ficha.</t>
      </text>
    </comment>
    <comment ref="B2614" authorId="0" shapeId="0">
      <text>
        <t>Cadastro custom de entidade. Em branco herda a base do livro, quando escolhida.</t>
      </text>
    </comment>
    <comment ref="J2614" authorId="0" shapeId="0">
      <text>
        <t>Cadastro custom de entidade. Em branco herda a base do livro, quando escolhida.</t>
      </text>
    </comment>
    <comment ref="B2615" authorId="0" shapeId="0">
      <text>
        <t>Nome único. O menu da ficha reunirá o livro e os cadastros válidos.</t>
      </text>
    </comment>
    <comment ref="F2615" authorId="0" shapeId="0">
      <text>
        <t>Cadastro custom de entidade. Em branco herda a base do livro, quando escolhida.</t>
      </text>
    </comment>
    <comment ref="J2615" authorId="0" shapeId="0">
      <text>
        <t>Nome único. O menu da ficha reunirá o livro e os cadastros válidos.</t>
      </text>
    </comment>
    <comment ref="N2615" authorId="0" shapeId="0">
      <text>
        <t>Cadastro custom de entidade. Em branco herda a base do livro, quando escolhida.</t>
      </text>
    </comment>
    <comment ref="B2616" authorId="0" shapeId="0">
      <text>
        <t>Nome próprio do conteúdo criado com o mestre.</t>
      </text>
    </comment>
    <comment ref="F2616" authorId="0" shapeId="0">
      <text>
        <t>Lembrete marcado pelo jogador; aprovação é feita pelo bot, no chat.</t>
      </text>
    </comment>
    <comment ref="J2616" authorId="0" shapeId="0">
      <text>
        <t>Nome próprio do conteúdo criado com o mestre.</t>
      </text>
    </comment>
    <comment ref="N2616" authorId="0" shapeId="0">
      <text>
        <t>Lembrete marcado pelo jogador; aprovação é feita pelo bot, no chat.</t>
      </text>
    </comment>
    <comment ref="B2618" authorId="0" shapeId="0">
      <text>
        <t>Opcional. Em branco nos demais campos, uma base herda as automações do livro. Nenhuma permite conteúdo próprio. O texto não é interpretado como fórmula.</t>
      </text>
    </comment>
    <comment ref="E2618" authorId="0" shapeId="0">
      <text>
        <t>Opcional. Em branco nos demais campos, uma base herda as automações do livro. Nenhuma permite conteúdo próprio. O texto não é interpretado como fórmula.</t>
      </text>
    </comment>
    <comment ref="J2618" authorId="0" shapeId="0">
      <text>
        <t>Opcional. Em branco nos demais campos, uma base herda as automações do livro. Nenhuma permite conteúdo próprio. O texto não é interpretado como fórmula.</t>
      </text>
    </comment>
    <comment ref="M2618" authorId="0" shapeId="0">
      <text>
        <t>Opcional. Em branco nos demais campos, uma base herda as automações do livro. Nenhuma permite conteúdo próprio. O texto não é interpretado como fórmula.</t>
      </text>
    </comment>
    <comment ref="B2619" authorId="0" shapeId="0">
      <text>
        <t>Em branco herda a base; sem base é obrigatória. Conferida com o teto de cada ganho; as escolhas da Trilha aceitam só a Categoria 1.</t>
      </text>
    </comment>
    <comment ref="E2619" authorId="0" shapeId="0">
      <text>
        <t>Em branco herda a base; sem base é obrigatória. Conferida com o teto de cada ganho; as escolhas da Trilha aceitam só a Categoria 1.</t>
      </text>
    </comment>
    <comment ref="J2619" authorId="0" shapeId="0">
      <text>
        <t>Em branco herda a base; sem base é obrigatória. Conferida com o teto de cada ganho; as escolhas da Trilha aceitam só a Categoria 1.</t>
      </text>
    </comment>
    <comment ref="M2619" authorId="0" shapeId="0">
      <text>
        <t>Em branco herda a base; sem base é obrigatória. Conferida com o teto de cada ganho; as escolhas da Trilha aceitam só a Categoria 1.</t>
      </text>
    </comment>
    <comment ref="B2625" authorId="0" shapeId="0">
      <text>
        <t>Exigências completas do Talento de entidade. Texto livre não cria automações.</t>
      </text>
    </comment>
    <comment ref="J2625" authorId="0" shapeId="0">
      <text>
        <t>Exigências completas do Talento de entidade. Texto livre não cria automações.</t>
      </text>
    </comment>
    <comment ref="B2626" authorId="0" shapeId="0">
      <text>
        <t>Exigências completas do Talento de entidade. Texto livre não cria automações.</t>
      </text>
    </comment>
    <comment ref="J2626" authorId="0" shapeId="0">
      <text>
        <t>Exigências completas do Talento de entidade. Texto livre não cria automações.</t>
      </text>
    </comment>
    <comment ref="B2630" authorId="0" shapeId="0">
      <text>
        <t>Descrição completa, exibida na carta existente. Em branco com base, usa o texto do livro.</t>
      </text>
    </comment>
    <comment ref="J2630" authorId="0" shapeId="0">
      <text>
        <t>Descrição completa, exibida na carta existente. Em branco com base, usa o texto do livro.</t>
      </text>
    </comment>
    <comment ref="B2631" authorId="0" shapeId="0">
      <text>
        <t>Descrição completa, exibida na carta existente. Em branco com base, usa o texto do livro.</t>
      </text>
    </comment>
    <comment ref="J2631" authorId="0" shapeId="0">
      <text>
        <t>Descrição completa, exibida na carta existente. Em branco com base, usa o texto do livro.</t>
      </text>
    </comment>
    <comment ref="B2640" authorId="0" shapeId="0">
      <text>
        <t>Problema do cadastro. Cadastros com problema ficam fora dos menus da ficha.</t>
      </text>
    </comment>
    <comment ref="J2640" authorId="0" shapeId="0">
      <text>
        <t>Problema do cadastro. Cadastros com problema ficam fora dos menus da ficha.</t>
      </text>
    </comment>
    <comment ref="B2642" authorId="0" shapeId="0">
      <text>
        <t>Cadastro custom de entidade. Em branco herda a base do livro, quando escolhida.</t>
      </text>
    </comment>
    <comment ref="J2642" authorId="0" shapeId="0">
      <text>
        <t>Cadastro custom de entidade. Em branco herda a base do livro, quando escolhida.</t>
      </text>
    </comment>
    <comment ref="B2643" authorId="0" shapeId="0">
      <text>
        <t>Nome único. O menu da ficha reunirá o livro e os cadastros válidos.</t>
      </text>
    </comment>
    <comment ref="F2643" authorId="0" shapeId="0">
      <text>
        <t>Cadastro custom de entidade. Em branco herda a base do livro, quando escolhida.</t>
      </text>
    </comment>
    <comment ref="J2643" authorId="0" shapeId="0">
      <text>
        <t>Nome único. O menu da ficha reunirá o livro e os cadastros válidos.</t>
      </text>
    </comment>
    <comment ref="N2643" authorId="0" shapeId="0">
      <text>
        <t>Cadastro custom de entidade. Em branco herda a base do livro, quando escolhida.</t>
      </text>
    </comment>
    <comment ref="B2644" authorId="0" shapeId="0">
      <text>
        <t>Nome próprio do conteúdo criado com o mestre.</t>
      </text>
    </comment>
    <comment ref="F2644" authorId="0" shapeId="0">
      <text>
        <t>Lembrete marcado pelo jogador; aprovação é feita pelo bot, no chat.</t>
      </text>
    </comment>
    <comment ref="J2644" authorId="0" shapeId="0">
      <text>
        <t>Nome próprio do conteúdo criado com o mestre.</t>
      </text>
    </comment>
    <comment ref="N2644" authorId="0" shapeId="0">
      <text>
        <t>Lembrete marcado pelo jogador; aprovação é feita pelo bot, no chat.</t>
      </text>
    </comment>
    <comment ref="B2646" authorId="0" shapeId="0">
      <text>
        <t>Opcional. Em branco nos demais campos, uma base herda as automações do livro. Nenhuma permite conteúdo próprio. O texto não é interpretado como fórmula.</t>
      </text>
    </comment>
    <comment ref="E2646" authorId="0" shapeId="0">
      <text>
        <t>Opcional. Em branco nos demais campos, uma base herda as automações do livro. Nenhuma permite conteúdo próprio. O texto não é interpretado como fórmula.</t>
      </text>
    </comment>
    <comment ref="J2646" authorId="0" shapeId="0">
      <text>
        <t>Opcional. Em branco nos demais campos, uma base herda as automações do livro. Nenhuma permite conteúdo próprio. O texto não é interpretado como fórmula.</t>
      </text>
    </comment>
    <comment ref="M2646" authorId="0" shapeId="0">
      <text>
        <t>Opcional. Em branco nos demais campos, uma base herda as automações do livro. Nenhuma permite conteúdo próprio. O texto não é interpretado como fórmula.</t>
      </text>
    </comment>
    <comment ref="B2647" authorId="0" shapeId="0">
      <text>
        <t>Em branco herda a base; sem base é obrigatória. Conferida com o teto de cada ganho; as escolhas da Trilha aceitam só a Categoria 1.</t>
      </text>
    </comment>
    <comment ref="E2647" authorId="0" shapeId="0">
      <text>
        <t>Em branco herda a base; sem base é obrigatória. Conferida com o teto de cada ganho; as escolhas da Trilha aceitam só a Categoria 1.</t>
      </text>
    </comment>
    <comment ref="J2647" authorId="0" shapeId="0">
      <text>
        <t>Em branco herda a base; sem base é obrigatória. Conferida com o teto de cada ganho; as escolhas da Trilha aceitam só a Categoria 1.</t>
      </text>
    </comment>
    <comment ref="M2647" authorId="0" shapeId="0">
      <text>
        <t>Em branco herda a base; sem base é obrigatória. Conferida com o teto de cada ganho; as escolhas da Trilha aceitam só a Categoria 1.</t>
      </text>
    </comment>
    <comment ref="B2653" authorId="0" shapeId="0">
      <text>
        <t>Exigências completas do Talento de entidade. Texto livre não cria automações.</t>
      </text>
    </comment>
    <comment ref="J2653" authorId="0" shapeId="0">
      <text>
        <t>Exigências completas do Talento de entidade. Texto livre não cria automações.</t>
      </text>
    </comment>
    <comment ref="B2654" authorId="0" shapeId="0">
      <text>
        <t>Exigências completas do Talento de entidade. Texto livre não cria automações.</t>
      </text>
    </comment>
    <comment ref="J2654" authorId="0" shapeId="0">
      <text>
        <t>Exigências completas do Talento de entidade. Texto livre não cria automações.</t>
      </text>
    </comment>
    <comment ref="B2658" authorId="0" shapeId="0">
      <text>
        <t>Descrição completa, exibida na carta existente. Em branco com base, usa o texto do livro.</t>
      </text>
    </comment>
    <comment ref="J2658" authorId="0" shapeId="0">
      <text>
        <t>Descrição completa, exibida na carta existente. Em branco com base, usa o texto do livro.</t>
      </text>
    </comment>
    <comment ref="B2659" authorId="0" shapeId="0">
      <text>
        <t>Descrição completa, exibida na carta existente. Em branco com base, usa o texto do livro.</t>
      </text>
    </comment>
    <comment ref="J2659" authorId="0" shapeId="0">
      <text>
        <t>Descrição completa, exibida na carta existente. Em branco com base, usa o texto do livro.</t>
      </text>
    </comment>
    <comment ref="B2668" authorId="0" shapeId="0">
      <text>
        <t>Problema do cadastro. Cadastros com problema ficam fora dos menus da ficha.</t>
      </text>
    </comment>
    <comment ref="J2668" authorId="0" shapeId="0">
      <text>
        <t>Problema do cadastro. Cadastros com problema ficam fora dos menus da ficha.</t>
      </text>
    </comment>
    <comment ref="B2670" authorId="0" shapeId="0">
      <text>
        <t>Cadastro custom de entidade. Em branco herda a base do livro, quando escolhida.</t>
      </text>
    </comment>
    <comment ref="J2670" authorId="0" shapeId="0">
      <text>
        <t>Cadastro custom de entidade. Em branco herda a base do livro, quando escolhida.</t>
      </text>
    </comment>
    <comment ref="B2671" authorId="0" shapeId="0">
      <text>
        <t>Nome único. O menu da ficha reunirá o livro e os cadastros válidos.</t>
      </text>
    </comment>
    <comment ref="F2671" authorId="0" shapeId="0">
      <text>
        <t>Cadastro custom de entidade. Em branco herda a base do livro, quando escolhida.</t>
      </text>
    </comment>
    <comment ref="J2671" authorId="0" shapeId="0">
      <text>
        <t>Nome único. O menu da ficha reunirá o livro e os cadastros válidos.</t>
      </text>
    </comment>
    <comment ref="N2671" authorId="0" shapeId="0">
      <text>
        <t>Cadastro custom de entidade. Em branco herda a base do livro, quando escolhida.</t>
      </text>
    </comment>
    <comment ref="B2672" authorId="0" shapeId="0">
      <text>
        <t>Nome próprio do conteúdo criado com o mestre.</t>
      </text>
    </comment>
    <comment ref="F2672" authorId="0" shapeId="0">
      <text>
        <t>Lembrete marcado pelo jogador; aprovação é feita pelo bot, no chat.</t>
      </text>
    </comment>
    <comment ref="J2672" authorId="0" shapeId="0">
      <text>
        <t>Nome próprio do conteúdo criado com o mestre.</t>
      </text>
    </comment>
    <comment ref="N2672" authorId="0" shapeId="0">
      <text>
        <t>Lembrete marcado pelo jogador; aprovação é feita pelo bot, no chat.</t>
      </text>
    </comment>
    <comment ref="B2674" authorId="0" shapeId="0">
      <text>
        <t>Opcional. Em branco nos demais campos, uma base herda as automações do livro. Nenhuma permite conteúdo próprio. O texto não é interpretado como fórmula.</t>
      </text>
    </comment>
    <comment ref="E2674" authorId="0" shapeId="0">
      <text>
        <t>Opcional. Em branco nos demais campos, uma base herda as automações do livro. Nenhuma permite conteúdo próprio. O texto não é interpretado como fórmula.</t>
      </text>
    </comment>
    <comment ref="J2674" authorId="0" shapeId="0">
      <text>
        <t>Opcional. Em branco nos demais campos, uma base herda as automações do livro. Nenhuma permite conteúdo próprio. O texto não é interpretado como fórmula.</t>
      </text>
    </comment>
    <comment ref="M2674" authorId="0" shapeId="0">
      <text>
        <t>Opcional. Em branco nos demais campos, uma base herda as automações do livro. Nenhuma permite conteúdo próprio. O texto não é interpretado como fórmula.</t>
      </text>
    </comment>
    <comment ref="B2675" authorId="0" shapeId="0">
      <text>
        <t>Em branco herda a base; sem base é obrigatória. Conferida com o teto de cada ganho; as escolhas da Trilha aceitam só a Categoria 1.</t>
      </text>
    </comment>
    <comment ref="E2675" authorId="0" shapeId="0">
      <text>
        <t>Em branco herda a base; sem base é obrigatória. Conferida com o teto de cada ganho; as escolhas da Trilha aceitam só a Categoria 1.</t>
      </text>
    </comment>
    <comment ref="J2675" authorId="0" shapeId="0">
      <text>
        <t>Em branco herda a base; sem base é obrigatória. Conferida com o teto de cada ganho; as escolhas da Trilha aceitam só a Categoria 1.</t>
      </text>
    </comment>
    <comment ref="M2675" authorId="0" shapeId="0">
      <text>
        <t>Em branco herda a base; sem base é obrigatória. Conferida com o teto de cada ganho; as escolhas da Trilha aceitam só a Categoria 1.</t>
      </text>
    </comment>
    <comment ref="B2681" authorId="0" shapeId="0">
      <text>
        <t>Exigências completas do Talento de entidade. Texto livre não cria automações.</t>
      </text>
    </comment>
    <comment ref="J2681" authorId="0" shapeId="0">
      <text>
        <t>Exigências completas do Talento de entidade. Texto livre não cria automações.</t>
      </text>
    </comment>
    <comment ref="B2682" authorId="0" shapeId="0">
      <text>
        <t>Exigências completas do Talento de entidade. Texto livre não cria automações.</t>
      </text>
    </comment>
    <comment ref="J2682" authorId="0" shapeId="0">
      <text>
        <t>Exigências completas do Talento de entidade. Texto livre não cria automações.</t>
      </text>
    </comment>
    <comment ref="B2686" authorId="0" shapeId="0">
      <text>
        <t>Descrição completa, exibida na carta existente. Em branco com base, usa o texto do livro.</t>
      </text>
    </comment>
    <comment ref="J2686" authorId="0" shapeId="0">
      <text>
        <t>Descrição completa, exibida na carta existente. Em branco com base, usa o texto do livro.</t>
      </text>
    </comment>
    <comment ref="B2687" authorId="0" shapeId="0">
      <text>
        <t>Descrição completa, exibida na carta existente. Em branco com base, usa o texto do livro.</t>
      </text>
    </comment>
    <comment ref="J2687" authorId="0" shapeId="0">
      <text>
        <t>Descrição completa, exibida na carta existente. Em branco com base, usa o texto do livro.</t>
      </text>
    </comment>
    <comment ref="B2696" authorId="0" shapeId="0">
      <text>
        <t>Problema do cadastro. Cadastros com problema ficam fora dos menus da ficha.</t>
      </text>
    </comment>
    <comment ref="J2696" authorId="0" shapeId="0">
      <text>
        <t>Problema do cadastro. Cadastros com problema ficam fora dos menus da ficha.</t>
      </text>
    </comment>
    <comment ref="B2698" authorId="0" shapeId="0">
      <text>
        <t>Cadastro custom de entidade. Em branco herda a base do livro, quando escolhida.</t>
      </text>
    </comment>
    <comment ref="J2698" authorId="0" shapeId="0">
      <text>
        <t>Cadastro custom de entidade. Em branco herda a base do livro, quando escolhida.</t>
      </text>
    </comment>
    <comment ref="B2699" authorId="0" shapeId="0">
      <text>
        <t>Nome único. O menu da ficha reunirá o livro e os cadastros válidos.</t>
      </text>
    </comment>
    <comment ref="F2699" authorId="0" shapeId="0">
      <text>
        <t>Cadastro custom de entidade. Em branco herda a base do livro, quando escolhida.</t>
      </text>
    </comment>
    <comment ref="J2699" authorId="0" shapeId="0">
      <text>
        <t>Nome único. O menu da ficha reunirá o livro e os cadastros válidos.</t>
      </text>
    </comment>
    <comment ref="N2699" authorId="0" shapeId="0">
      <text>
        <t>Cadastro custom de entidade. Em branco herda a base do livro, quando escolhida.</t>
      </text>
    </comment>
    <comment ref="B2700" authorId="0" shapeId="0">
      <text>
        <t>Nome próprio do conteúdo criado com o mestre.</t>
      </text>
    </comment>
    <comment ref="F2700" authorId="0" shapeId="0">
      <text>
        <t>Lembrete marcado pelo jogador; aprovação é feita pelo bot, no chat.</t>
      </text>
    </comment>
    <comment ref="J2700" authorId="0" shapeId="0">
      <text>
        <t>Nome próprio do conteúdo criado com o mestre.</t>
      </text>
    </comment>
    <comment ref="N2700" authorId="0" shapeId="0">
      <text>
        <t>Lembrete marcado pelo jogador; aprovação é feita pelo bot, no chat.</t>
      </text>
    </comment>
    <comment ref="B2702" authorId="0" shapeId="0">
      <text>
        <t>Opcional. Em branco nos demais campos, uma base herda as automações do livro. Nenhuma permite conteúdo próprio. O texto não é interpretado como fórmula.</t>
      </text>
    </comment>
    <comment ref="E2702" authorId="0" shapeId="0">
      <text>
        <t>Opcional. Em branco nos demais campos, uma base herda as automações do livro. Nenhuma permite conteúdo próprio. O texto não é interpretado como fórmula.</t>
      </text>
    </comment>
    <comment ref="J2702" authorId="0" shapeId="0">
      <text>
        <t>Opcional. Em branco nos demais campos, uma base herda as automações do livro. Nenhuma permite conteúdo próprio. O texto não é interpretado como fórmula.</t>
      </text>
    </comment>
    <comment ref="M2702" authorId="0" shapeId="0">
      <text>
        <t>Opcional. Em branco nos demais campos, uma base herda as automações do livro. Nenhuma permite conteúdo próprio. O texto não é interpretado como fórmula.</t>
      </text>
    </comment>
    <comment ref="B2703" authorId="0" shapeId="0">
      <text>
        <t>Em branco herda a base; sem base é obrigatória. Conferida com o teto de cada ganho; as escolhas da Trilha aceitam só a Categoria 1.</t>
      </text>
    </comment>
    <comment ref="E2703" authorId="0" shapeId="0">
      <text>
        <t>Em branco herda a base; sem base é obrigatória. Conferida com o teto de cada ganho; as escolhas da Trilha aceitam só a Categoria 1.</t>
      </text>
    </comment>
    <comment ref="J2703" authorId="0" shapeId="0">
      <text>
        <t>Em branco herda a base; sem base é obrigatória. Conferida com o teto de cada ganho; as escolhas da Trilha aceitam só a Categoria 1.</t>
      </text>
    </comment>
    <comment ref="M2703" authorId="0" shapeId="0">
      <text>
        <t>Em branco herda a base; sem base é obrigatória. Conferida com o teto de cada ganho; as escolhas da Trilha aceitam só a Categoria 1.</t>
      </text>
    </comment>
    <comment ref="B2709" authorId="0" shapeId="0">
      <text>
        <t>Exigências completas do Talento de entidade. Texto livre não cria automações.</t>
      </text>
    </comment>
    <comment ref="J2709" authorId="0" shapeId="0">
      <text>
        <t>Exigências completas do Talento de entidade. Texto livre não cria automações.</t>
      </text>
    </comment>
    <comment ref="B2710" authorId="0" shapeId="0">
      <text>
        <t>Exigências completas do Talento de entidade. Texto livre não cria automações.</t>
      </text>
    </comment>
    <comment ref="J2710" authorId="0" shapeId="0">
      <text>
        <t>Exigências completas do Talento de entidade. Texto livre não cria automações.</t>
      </text>
    </comment>
    <comment ref="B2714" authorId="0" shapeId="0">
      <text>
        <t>Descrição completa, exibida na carta existente. Em branco com base, usa o texto do livro.</t>
      </text>
    </comment>
    <comment ref="J2714" authorId="0" shapeId="0">
      <text>
        <t>Descrição completa, exibida na carta existente. Em branco com base, usa o texto do livro.</t>
      </text>
    </comment>
    <comment ref="B2715" authorId="0" shapeId="0">
      <text>
        <t>Descrição completa, exibida na carta existente. Em branco com base, usa o texto do livro.</t>
      </text>
    </comment>
    <comment ref="J2715" authorId="0" shapeId="0">
      <text>
        <t>Descrição completa, exibida na carta existente. Em branco com base, usa o texto do livro.</t>
      </text>
    </comment>
    <comment ref="B2724" authorId="0" shapeId="0">
      <text>
        <t>Problema do cadastro. Cadastros com problema ficam fora dos menus da ficha.</t>
      </text>
    </comment>
    <comment ref="J2724" authorId="0" shapeId="0">
      <text>
        <t>Problema do cadastro. Cadastros com problema ficam fora dos menus da ficha.</t>
      </text>
    </comment>
    <comment ref="B2726" authorId="0" shapeId="0">
      <text>
        <t>Cadastro custom de entidade. Em branco herda a base do livro, quando escolhida.</t>
      </text>
    </comment>
    <comment ref="J2726" authorId="0" shapeId="0">
      <text>
        <t>Cadastro custom de entidade. Em branco herda a base do livro, quando escolhida.</t>
      </text>
    </comment>
    <comment ref="B2727" authorId="0" shapeId="0">
      <text>
        <t>Nome único. O menu da ficha reunirá o livro e os cadastros válidos.</t>
      </text>
    </comment>
    <comment ref="F2727" authorId="0" shapeId="0">
      <text>
        <t>Cadastro custom de entidade. Em branco herda a base do livro, quando escolhida.</t>
      </text>
    </comment>
    <comment ref="J2727" authorId="0" shapeId="0">
      <text>
        <t>Nome único. O menu da ficha reunirá o livro e os cadastros válidos.</t>
      </text>
    </comment>
    <comment ref="N2727" authorId="0" shapeId="0">
      <text>
        <t>Cadastro custom de entidade. Em branco herda a base do livro, quando escolhida.</t>
      </text>
    </comment>
    <comment ref="B2728" authorId="0" shapeId="0">
      <text>
        <t>Nome próprio do conteúdo criado com o mestre.</t>
      </text>
    </comment>
    <comment ref="F2728" authorId="0" shapeId="0">
      <text>
        <t>Lembrete marcado pelo jogador; aprovação é feita pelo bot, no chat.</t>
      </text>
    </comment>
    <comment ref="J2728" authorId="0" shapeId="0">
      <text>
        <t>Nome próprio do conteúdo criado com o mestre.</t>
      </text>
    </comment>
    <comment ref="N2728" authorId="0" shapeId="0">
      <text>
        <t>Lembrete marcado pelo jogador; aprovação é feita pelo bot, no chat.</t>
      </text>
    </comment>
    <comment ref="B2730" authorId="0" shapeId="0">
      <text>
        <t>Opcional. Em branco nos demais campos, uma base herda as automações do livro. Nenhuma permite conteúdo próprio. O texto não é interpretado como fórmula.</t>
      </text>
    </comment>
    <comment ref="E2730" authorId="0" shapeId="0">
      <text>
        <t>Opcional. Em branco nos demais campos, uma base herda as automações do livro. Nenhuma permite conteúdo próprio. O texto não é interpretado como fórmula.</t>
      </text>
    </comment>
    <comment ref="J2730" authorId="0" shapeId="0">
      <text>
        <t>Opcional. Em branco nos demais campos, uma base herda as automações do livro. Nenhuma permite conteúdo próprio. O texto não é interpretado como fórmula.</t>
      </text>
    </comment>
    <comment ref="M2730" authorId="0" shapeId="0">
      <text>
        <t>Opcional. Em branco nos demais campos, uma base herda as automações do livro. Nenhuma permite conteúdo próprio. O texto não é interpretado como fórmula.</t>
      </text>
    </comment>
    <comment ref="B2731" authorId="0" shapeId="0">
      <text>
        <t>Em branco herda a base; sem base é obrigatória. Conferida com o teto de cada ganho; as escolhas da Trilha aceitam só a Categoria 1.</t>
      </text>
    </comment>
    <comment ref="E2731" authorId="0" shapeId="0">
      <text>
        <t>Em branco herda a base; sem base é obrigatória. Conferida com o teto de cada ganho; as escolhas da Trilha aceitam só a Categoria 1.</t>
      </text>
    </comment>
    <comment ref="J2731" authorId="0" shapeId="0">
      <text>
        <t>Em branco herda a base; sem base é obrigatória. Conferida com o teto de cada ganho; as escolhas da Trilha aceitam só a Categoria 1.</t>
      </text>
    </comment>
    <comment ref="M2731" authorId="0" shapeId="0">
      <text>
        <t>Em branco herda a base; sem base é obrigatória. Conferida com o teto de cada ganho; as escolhas da Trilha aceitam só a Categoria 1.</t>
      </text>
    </comment>
    <comment ref="B2737" authorId="0" shapeId="0">
      <text>
        <t>Exigências completas do Talento de entidade. Texto livre não cria automações.</t>
      </text>
    </comment>
    <comment ref="J2737" authorId="0" shapeId="0">
      <text>
        <t>Exigências completas do Talento de entidade. Texto livre não cria automações.</t>
      </text>
    </comment>
    <comment ref="B2738" authorId="0" shapeId="0">
      <text>
        <t>Exigências completas do Talento de entidade. Texto livre não cria automações.</t>
      </text>
    </comment>
    <comment ref="J2738" authorId="0" shapeId="0">
      <text>
        <t>Exigências completas do Talento de entidade. Texto livre não cria automações.</t>
      </text>
    </comment>
    <comment ref="B2742" authorId="0" shapeId="0">
      <text>
        <t>Descrição completa, exibida na carta existente. Em branco com base, usa o texto do livro.</t>
      </text>
    </comment>
    <comment ref="J2742" authorId="0" shapeId="0">
      <text>
        <t>Descrição completa, exibida na carta existente. Em branco com base, usa o texto do livro.</t>
      </text>
    </comment>
    <comment ref="B2743" authorId="0" shapeId="0">
      <text>
        <t>Descrição completa, exibida na carta existente. Em branco com base, usa o texto do livro.</t>
      </text>
    </comment>
    <comment ref="J2743" authorId="0" shapeId="0">
      <text>
        <t>Descrição completa, exibida na carta existente. Em branco com base, usa o texto do livro.</t>
      </text>
    </comment>
    <comment ref="B2752" authorId="0" shapeId="0">
      <text>
        <t>Problema do cadastro. Cadastros com problema ficam fora dos menus da ficha.</t>
      </text>
    </comment>
    <comment ref="J2752" authorId="0" shapeId="0">
      <text>
        <t>Problema do cadastro. Cadastros com problema ficam fora dos menus da ficha.</t>
      </text>
    </comment>
    <comment ref="B2754" authorId="0" shapeId="0">
      <text>
        <t>Cadastro custom de entidade. Em branco herda a base do livro, quando escolhida.</t>
      </text>
    </comment>
    <comment ref="J2754" authorId="0" shapeId="0">
      <text>
        <t>Cadastro custom de entidade. Em branco herda a base do livro, quando escolhida.</t>
      </text>
    </comment>
    <comment ref="B2755" authorId="0" shapeId="0">
      <text>
        <t>Nome único. O menu da ficha reunirá o livro e os cadastros válidos.</t>
      </text>
    </comment>
    <comment ref="F2755" authorId="0" shapeId="0">
      <text>
        <t>Cadastro custom de entidade. Em branco herda a base do livro, quando escolhida.</t>
      </text>
    </comment>
    <comment ref="J2755" authorId="0" shapeId="0">
      <text>
        <t>Nome único. O menu da ficha reunirá o livro e os cadastros válidos.</t>
      </text>
    </comment>
    <comment ref="N2755" authorId="0" shapeId="0">
      <text>
        <t>Cadastro custom de entidade. Em branco herda a base do livro, quando escolhida.</t>
      </text>
    </comment>
    <comment ref="B2756" authorId="0" shapeId="0">
      <text>
        <t>Nome próprio do conteúdo criado com o mestre.</t>
      </text>
    </comment>
    <comment ref="F2756" authorId="0" shapeId="0">
      <text>
        <t>Lembrete marcado pelo jogador; aprovação é feita pelo bot, no chat.</t>
      </text>
    </comment>
    <comment ref="J2756" authorId="0" shapeId="0">
      <text>
        <t>Nome próprio do conteúdo criado com o mestre.</t>
      </text>
    </comment>
    <comment ref="N2756" authorId="0" shapeId="0">
      <text>
        <t>Lembrete marcado pelo jogador; aprovação é feita pelo bot, no chat.</t>
      </text>
    </comment>
    <comment ref="B2758" authorId="0" shapeId="0">
      <text>
        <t>Opcional. Em branco nos demais campos, uma base herda as automações do livro. Nenhuma permite conteúdo próprio. O texto não é interpretado como fórmula.</t>
      </text>
    </comment>
    <comment ref="E2758" authorId="0" shapeId="0">
      <text>
        <t>Opcional. Em branco nos demais campos, uma base herda as automações do livro. Nenhuma permite conteúdo próprio. O texto não é interpretado como fórmula.</t>
      </text>
    </comment>
    <comment ref="J2758" authorId="0" shapeId="0">
      <text>
        <t>Opcional. Em branco nos demais campos, uma base herda as automações do livro. Nenhuma permite conteúdo próprio. O texto não é interpretado como fórmula.</t>
      </text>
    </comment>
    <comment ref="M2758" authorId="0" shapeId="0">
      <text>
        <t>Opcional. Em branco nos demais campos, uma base herda as automações do livro. Nenhuma permite conteúdo próprio. O texto não é interpretado como fórmula.</t>
      </text>
    </comment>
    <comment ref="B2759" authorId="0" shapeId="0">
      <text>
        <t>Em branco herda a base; sem base é obrigatória. Conferida com o teto de cada ganho; as escolhas da Trilha aceitam só a Categoria 1.</t>
      </text>
    </comment>
    <comment ref="E2759" authorId="0" shapeId="0">
      <text>
        <t>Em branco herda a base; sem base é obrigatória. Conferida com o teto de cada ganho; as escolhas da Trilha aceitam só a Categoria 1.</t>
      </text>
    </comment>
    <comment ref="J2759" authorId="0" shapeId="0">
      <text>
        <t>Em branco herda a base; sem base é obrigatória. Conferida com o teto de cada ganho; as escolhas da Trilha aceitam só a Categoria 1.</t>
      </text>
    </comment>
    <comment ref="M2759" authorId="0" shapeId="0">
      <text>
        <t>Em branco herda a base; sem base é obrigatória. Conferida com o teto de cada ganho; as escolhas da Trilha aceitam só a Categoria 1.</t>
      </text>
    </comment>
    <comment ref="B2765" authorId="0" shapeId="0">
      <text>
        <t>Exigências completas do Talento de entidade. Texto livre não cria automações.</t>
      </text>
    </comment>
    <comment ref="J2765" authorId="0" shapeId="0">
      <text>
        <t>Exigências completas do Talento de entidade. Texto livre não cria automações.</t>
      </text>
    </comment>
    <comment ref="B2766" authorId="0" shapeId="0">
      <text>
        <t>Exigências completas do Talento de entidade. Texto livre não cria automações.</t>
      </text>
    </comment>
    <comment ref="J2766" authorId="0" shapeId="0">
      <text>
        <t>Exigências completas do Talento de entidade. Texto livre não cria automações.</t>
      </text>
    </comment>
    <comment ref="B2770" authorId="0" shapeId="0">
      <text>
        <t>Descrição completa, exibida na carta existente. Em branco com base, usa o texto do livro.</t>
      </text>
    </comment>
    <comment ref="J2770" authorId="0" shapeId="0">
      <text>
        <t>Descrição completa, exibida na carta existente. Em branco com base, usa o texto do livro.</t>
      </text>
    </comment>
    <comment ref="B2771" authorId="0" shapeId="0">
      <text>
        <t>Descrição completa, exibida na carta existente. Em branco com base, usa o texto do livro.</t>
      </text>
    </comment>
    <comment ref="J2771" authorId="0" shapeId="0">
      <text>
        <t>Descrição completa, exibida na carta existente. Em branco com base, usa o texto do livro.</t>
      </text>
    </comment>
    <comment ref="B2780" authorId="0" shapeId="0">
      <text>
        <t>Problema do cadastro. Cadastros com problema ficam fora dos menus da ficha.</t>
      </text>
    </comment>
    <comment ref="J2780" authorId="0" shapeId="0">
      <text>
        <t>Problema do cadastro. Cadastros com problema ficam fora dos menus da ficha.</t>
      </text>
    </comment>
    <comment ref="B2782" authorId="0" shapeId="0">
      <text>
        <t>Cadastro custom de entidade. Em branco herda a base do livro, quando escolhida.</t>
      </text>
    </comment>
    <comment ref="J2782" authorId="0" shapeId="0">
      <text>
        <t>Cadastro custom de entidade. Em branco herda a base do livro, quando escolhida.</t>
      </text>
    </comment>
    <comment ref="B2783" authorId="0" shapeId="0">
      <text>
        <t>Nome único. O menu da ficha reunirá o livro e os cadastros válidos.</t>
      </text>
    </comment>
    <comment ref="F2783" authorId="0" shapeId="0">
      <text>
        <t>Cadastro custom de entidade. Em branco herda a base do livro, quando escolhida.</t>
      </text>
    </comment>
    <comment ref="J2783" authorId="0" shapeId="0">
      <text>
        <t>Nome único. O menu da ficha reunirá o livro e os cadastros válidos.</t>
      </text>
    </comment>
    <comment ref="N2783" authorId="0" shapeId="0">
      <text>
        <t>Cadastro custom de entidade. Em branco herda a base do livro, quando escolhida.</t>
      </text>
    </comment>
    <comment ref="B2784" authorId="0" shapeId="0">
      <text>
        <t>Nome próprio do conteúdo criado com o mestre.</t>
      </text>
    </comment>
    <comment ref="F2784" authorId="0" shapeId="0">
      <text>
        <t>Lembrete marcado pelo jogador; aprovação é feita pelo bot, no chat.</t>
      </text>
    </comment>
    <comment ref="J2784" authorId="0" shapeId="0">
      <text>
        <t>Nome próprio do conteúdo criado com o mestre.</t>
      </text>
    </comment>
    <comment ref="N2784" authorId="0" shapeId="0">
      <text>
        <t>Lembrete marcado pelo jogador; aprovação é feita pelo bot, no chat.</t>
      </text>
    </comment>
    <comment ref="B2786" authorId="0" shapeId="0">
      <text>
        <t>Opcional. Em branco nos demais campos, uma base herda as automações do livro. Nenhuma permite conteúdo próprio. O texto não é interpretado como fórmula.</t>
      </text>
    </comment>
    <comment ref="E2786" authorId="0" shapeId="0">
      <text>
        <t>Opcional. Em branco nos demais campos, uma base herda as automações do livro. Nenhuma permite conteúdo próprio. O texto não é interpretado como fórmula.</t>
      </text>
    </comment>
    <comment ref="J2786" authorId="0" shapeId="0">
      <text>
        <t>Opcional. Em branco nos demais campos, uma base herda as automações do livro. Nenhuma permite conteúdo próprio. O texto não é interpretado como fórmula.</t>
      </text>
    </comment>
    <comment ref="M2786" authorId="0" shapeId="0">
      <text>
        <t>Opcional. Em branco nos demais campos, uma base herda as automações do livro. Nenhuma permite conteúdo próprio. O texto não é interpretado como fórmula.</t>
      </text>
    </comment>
    <comment ref="B2787" authorId="0" shapeId="0">
      <text>
        <t>Em branco herda a base; sem base é obrigatória. Conferida com o teto de cada ganho; as escolhas da Trilha aceitam só a Categoria 1.</t>
      </text>
    </comment>
    <comment ref="E2787" authorId="0" shapeId="0">
      <text>
        <t>Em branco herda a base; sem base é obrigatória. Conferida com o teto de cada ganho; as escolhas da Trilha aceitam só a Categoria 1.</t>
      </text>
    </comment>
    <comment ref="J2787" authorId="0" shapeId="0">
      <text>
        <t>Em branco herda a base; sem base é obrigatória. Conferida com o teto de cada ganho; as escolhas da Trilha aceitam só a Categoria 1.</t>
      </text>
    </comment>
    <comment ref="M2787" authorId="0" shapeId="0">
      <text>
        <t>Em branco herda a base; sem base é obrigatória. Conferida com o teto de cada ganho; as escolhas da Trilha aceitam só a Categoria 1.</t>
      </text>
    </comment>
    <comment ref="B2793" authorId="0" shapeId="0">
      <text>
        <t>Exigências completas do Talento de entidade. Texto livre não cria automações.</t>
      </text>
    </comment>
    <comment ref="J2793" authorId="0" shapeId="0">
      <text>
        <t>Exigências completas do Talento de entidade. Texto livre não cria automações.</t>
      </text>
    </comment>
    <comment ref="B2794" authorId="0" shapeId="0">
      <text>
        <t>Exigências completas do Talento de entidade. Texto livre não cria automações.</t>
      </text>
    </comment>
    <comment ref="J2794" authorId="0" shapeId="0">
      <text>
        <t>Exigências completas do Talento de entidade. Texto livre não cria automações.</t>
      </text>
    </comment>
    <comment ref="B2798" authorId="0" shapeId="0">
      <text>
        <t>Descrição completa, exibida na carta existente. Em branco com base, usa o texto do livro.</t>
      </text>
    </comment>
    <comment ref="J2798" authorId="0" shapeId="0">
      <text>
        <t>Descrição completa, exibida na carta existente. Em branco com base, usa o texto do livro.</t>
      </text>
    </comment>
    <comment ref="B2799" authorId="0" shapeId="0">
      <text>
        <t>Descrição completa, exibida na carta existente. Em branco com base, usa o texto do livro.</t>
      </text>
    </comment>
    <comment ref="J2799" authorId="0" shapeId="0">
      <text>
        <t>Descrição completa, exibida na carta existente. Em branco com base, usa o texto do livro.</t>
      </text>
    </comment>
    <comment ref="B2808" authorId="0" shapeId="0">
      <text>
        <t>Problema do cadastro. Cadastros com problema ficam fora dos menus da ficha.</t>
      </text>
    </comment>
    <comment ref="J2808" authorId="0" shapeId="0">
      <text>
        <t>Problema do cadastro. Cadastros com problema ficam fora dos menus da ficha.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'DADOS_FORMAS'!$FW$2:$FW$21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'DADOS_FORMAS'!$FX$2:$FX$21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'DADOS_TALENTOS'!$AV$2:$AV$34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'DADOS_APTIDOES'!$BK$2:$BK$45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'DADOS_ENTIDADES'!$M$2:$M$16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'DADOS_FORMAS'!$II$2:$II$21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'DADOS_DANOS'!$J$2:$J$26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'DADOS_FORMAS'!$IH$2:$IH$21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'DADOS_ENTIDADES'!$AI$2:$AI$35</formula1>
    </dataValidation>
    <dataValidation sqref="J182:J184 J380:J382 J578:J580 J776:J778 J974:J976 J1172:J1174 AC182:AC184 AC380:AC382 AC578:AC580 AC776:AC778 AC974:AC976 AC1172:AC1174" showDropDown="0" showInputMessage="0" showErrorMessage="0" allowBlank="1" type="list" errorStyle="stop">
      <formula1>'DADOS_ENTIDADES'!$AL$2:$AL$35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'DADOS_FORMAS'!$IL$2:$IL$21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'DADOS_FORMAS'!$IK$2:$IK$21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'DADOS_FORMAS'!$IO$2:$IO$21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'DADOS_FORMAS'!$IN$2:$IN$21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'DADOS_FORMAS'!$IR$2:$IR$21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'DADOS_FORMAS'!$IQ$2:$IQ$21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'DADOS_FORMAS'!$IU$2:$IU$21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'DADOS_FORMAS'!$IT$2:$IT$21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'DADOS_FORMAS'!$IX$2:$IX$21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'DADOS_FORMAS'!$IW$2:$IW$21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'DADOS_FORMAS'!$JA$2:$JA$21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'DADOS_FORMAS'!$IZ$2:$IZ$21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'DADOS_FORMAS'!$JD$2:$JD$21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'DADOS_FORMAS'!$JC$2:$JC$21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'DADOS_FORMAS'!$JG$2:$JG$21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'DADOS_FORMAS'!$JF$2:$JF$21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'DADOS_FORMAS'!$JJ$2:$JJ$21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'DADOS_FORMAS'!$JI$2:$JI$21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'DADOS_FORMAS'!$JM$2:$JM$21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'DADOS_FORMAS'!$JL$2:$JL$21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'DADOS_FORMAS'!$JP$2:$JP$21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'DADOS_FORMAS'!$JO$2:$JO$21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J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c r="LH1" t="inlineStr">
        <is>
          <t>aptidão escolhida</t>
        </is>
      </c>
      <c r="LI1" t="inlineStr">
        <is>
          <t>identidade herdada</t>
        </is>
      </c>
      <c r="LJ1" t="inlineStr">
        <is>
          <t>grupo da aquisição</t>
        </is>
      </c>
      <c r="LK1" t="inlineStr">
        <is>
          <t>avisos de aquisição</t>
        </is>
      </c>
      <c r="LL1" t="inlineStr">
        <is>
          <t>escolhas consumidas</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IFERROR(MATCH(SUBSTITUTE(SUBSTITUTE(SUBSTITUTE($ED2,"~","~~"),"*","~*"),"?","~?"),'DADOS_FORMAS'!$FJ$2:$FJ$21,0),0)</f>
        <v/>
      </c>
      <c r="EM2" s="161">
        <f>IF($EL2=0,0,INDEX('DADOS_FORMAS'!$FM$2:$FM$21,$EL2))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IF($EL2=0,0,INDEX('DADOS_FORMAS'!$FN$2:$FN$21,$EL2))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IF($EL2=0,0,INDEX('DADOS_FORMAS'!$FO$2:$FO$21,$EL2))</f>
        <v/>
      </c>
      <c r="EZ2" s="161">
        <f>IF($EL2=0,0,INDEX('DADOS_FORMAS'!$FP$2:$FP$21,$EL2))</f>
        <v/>
      </c>
      <c r="FA2" s="161">
        <f>IF($EL2=0,0,INDEX('DADOS_FORMAS'!$FR$2:$FR$21,$EL2))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IF(IFERROR(INDEX('DADOS_FORMAS'!$AS$2:$AS$21,MATCH(SUBSTITUTE(SUBSTITUTE(SUBSTITUTE($ED2,"~","~~"),"*","~*"),"?","~?"),'DADOS_FORMAS'!$AH$2:$AH$21,0)),"")="",0,IFERROR(N(VLOOKUP(SUBSTITUTE(SUBSTITUTE(SUBSTITUTE(IFERROR(INDEX('DADOS_FORMAS'!$AS$2:$AS$21,MATCH(SUBSTITUTE(SUBSTITUTE(SUBSTITUTE($ED2,"~","~~"),"*","~*"),"?","~?"),'DADOS_FORMAS'!$AH$2:$AH$21,0)),""),"~","~~"),"*","~*"),"?","~?"),'DADOS_RESTRICOES'!$M$2:$Q$54,3,FALSE)=1),0))</f>
        <v/>
      </c>
      <c r="FM2" s="161">
        <f>COUNTIF($FB2:$FC2,2)+IF(IFERROR(INDEX('DADOS_FORMAS'!$AS$2:$AS$21,MATCH(SUBSTITUTE(SUBSTITUTE(SUBSTITUTE($ED2,"~","~~"),"*","~*"),"?","~?"),'DADOS_FORMAS'!$AH$2:$AH$21,0)),"")="",0,IFERROR(N(VLOOKUP(SUBSTITUTE(SUBSTITUTE(SUBSTITUTE(IFERROR(INDEX('DADOS_FORMAS'!$AS$2:$AS$21,MATCH(SUBSTITUTE(SUBSTITUTE(SUBSTITUTE($ED2,"~","~~"),"*","~*"),"?","~?"),'DADOS_FORMAS'!$AH$2:$AH$21,0)),""),"~","~~"),"*","~*"),"?","~?"),'DADOS_RESTRICOES'!$M$2:$Q$54,3,FALSE)=2),0))</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Corpo")&gt;0,$EY2=0,OR($LB2="Cone",$LB2="Linha")),"Corpo a Corpo não entra em "&amp;$ED2,""),IF(AND(COUNTIF($FD2:$FE2,"Corpo a Corpo")&gt;0,$LC2="Corpo a Corpo"),"A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"&amp;$EJ2,""))),IF(AND($ED2&lt;&gt;"",COUNTIF('DADOS_FORMAS'!$AH$2:$AH$21,SUBSTITUTE(SUBSTITUTE(SUBSTITUTE($ED2,"~","~~"),"*","~*"),"?","~?"))=0),"Forma não cadastrada ou com erro: "&amp;$ED2,""),IF(AND(IFERROR(INDEX('DADOS_FORMAS'!$AS$2:$AS$21,MATCH(SUBSTITUTE(SUBSTITUTE(SUBSTITUTE($ED2,"~","~~"),"*","~*"),"?","~?"),'DADOS_FORMAS'!$AH$2:$AH$21,0)),"")&lt;&gt;"",OR(IFERROR(VLOOKUP(SUBSTITUTE(SUBSTITUTE(SUBSTITUTE(IFERROR(INDEX('DADOS_FORMAS'!$AS$2:$AS$21,MATCH(SUBSTITUTE(SUBSTITUTE(SUBSTITUTE($ED2,"~","~~"),"*","~*"),"?","~?"),'DADOS_FORMAS'!$AH$2:$AH$21,0)),""),"~","~~"),"*","~*"),"?","~?"),'DADOS_RESTRICOES'!$M$2:$Q$54,2,FALSE),"")=$FD2,IFERROR(VLOOKUP(SUBSTITUTE(SUBSTITUTE(SUBSTITUTE(IFERROR(INDEX('DADOS_FORMAS'!$AS$2:$AS$21,MATCH(SUBSTITUTE(SUBSTITUTE(SUBSTITUTE($ED2,"~","~~"),"*","~*"),"?","~?"),'DADOS_FORMAS'!$AH$2:$AH$21,0)),""),"~","~~"),"*","~*"),"?","~?"),'DADOS_RESTRICOES'!$M$2:$Q$54,2,FALSE),"")=$FE2)),"Restrição repetida, contando a embutida",""),IF(IF(IFERROR(INDEX('DADOS_FORMAS'!$AS$2:$AS$21,MATCH(SUBSTITUTE(SUBSTITUTE(SUBSTITUTE($ED2,"~","~~"),"*","~*"),"?","~?"),'DADOS_FORMAS'!$AH$2:$AH$21,0)),"")="",0,IFERROR(N(VLOOKUP(SUBSTITUTE(SUBSTITUTE(SUBSTITUTE(IFERROR(INDEX('DADOS_FORMAS'!$AS$2:$AS$21,MATCH(SUBSTITUTE(SUBSTITUTE(SUBSTITUTE($ED2,"~","~~"),"*","~*"),"?","~?"),'DADOS_FORMAS'!$AH$2:$AH$21,0)),""),"~","~~"),"*","~*"),"?","~?"),'DADOS_RESTRICOES'!$M$2:$Q$54,4,FALSE)=1),0))+IF($EI2="",0,IFERROR(N(VLOOKUP(SUBSTITUTE(SUBSTITUTE(SUBSTITUTE($EI2,"~","~~"),"*","~*"),"?","~?"),'DADOS_RESTRICOES'!$M$2:$Q$54,4,FALSE)=1),0))+IF($EJ2="",0,IFERROR(N(VLOOKUP(SUBSTITUTE(SUBSTITUTE(SUBSTITUTE($EJ2,"~","~~"),"*","~*"),"?","~?"),'DADOS_RESTRICOES'!$M$2:$Q$54,4,FALSE)=1),0))&gt;1,"Duas Restrições de frequência, contando a embutida",""),IF(AND(IFERROR(VLOOKUP(SUBSTITUTE(SUBSTITUTE(SUBSTITUTE(IFERROR(INDEX('DADOS_FORMAS'!$AS$2:$AS$21,MATCH(SUBSTITUTE(SUBSTITUTE(SUBSTITUTE($ED2,"~","~~"),"*","~*"),"?","~?"),'DADOS_FORMAS'!$AH$2:$AH$21,0)),""),"~","~~"),"*","~*"),"?","~?"),'DADOS_RESTRICOES'!$M$2:$Q$54,2,FALSE),"")="Tudo ou Nada",$FA2=0),"Tudo ou Nada exige TR",""),IF(AND(IFERROR(VLOOKUP(SUBSTITUTE(SUBSTITUTE(SUBSTITUTE(IFERROR(INDEX('DADOS_FORMAS'!$AS$2:$AS$21,MATCH(SUBSTITUTE(SUBSTITUTE(SUBSTITUTE($ED2,"~","~~"),"*","~*"),"?","~?"),'DADOS_FORMAS'!$AH$2:$AH$21,0)),""),"~","~~"),"*","~*"),"?","~?"),'DADOS_RESTRICOES'!$M$2:$Q$54,2,FALSE),"")="Corpo a Corpo",OR($LB2="Cone",$LB2="Linha")),"Corpo a Corpo não entra em Cone/Linha","")))</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inteira",IF(COUNTIF($LD2:$LF2,"Atrasar")&gt;0,IF(COUNTIF($LD2:$LF2,"Carregar")&gt;0,"Rodada +1 turno","Rodada inteira"),IF(COUNTIF($KW2:$KZ2,"Rápido")&gt;0,"Bônus",IF(COUNTIF($KW2:$KZ2,"Reação")&gt;0,"Reação","Padrão"))&amp;IF(COUNTIF($LD2:$LF2,"Carregar")&gt;0," +1 turno",""))))</f>
        <v/>
      </c>
      <c r="GT2" s="161">
        <f>IF(OR($EK2=0,$EL2=0),"",IF(COUNTIF($KW2:$KZ2,"Inescapável")&gt;0,"Automático",IF(COUNTIF($KW2:$KZ2,"Certeiro")&gt;0,"TR para metade",IF(AND($EX2&gt;0,$FA2=0,INDEX('DADOS_FORMAS'!$FQ$2:$FQ$21,$EL2)="Acerto"),"Acerto + TR",INDEX('DADOS_FORMAS'!$FQ$2:$FQ$21,$EL2)))))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IF($EL2=0,0,CHOOSE(1+INDEX('DADOS_FORMAS'!$FS$2:$FS$21,$EL2),0,$GV2,$GW2,$GV2+$GW2))</f>
        <v/>
      </c>
      <c r="GY2" s="161">
        <f>IF($EL2=0,0,CHOOSE(1+INDEX('DADOS_FORMAS'!$FT$2:$FT$21,$EL2),0,$GV2,$GW2,$GV2+$GW2))</f>
        <v/>
      </c>
      <c r="GZ2" s="161">
        <f>IF(OR($EK2=0,$EL2=0),"",INDEX('DADOS_FORMAS'!$GZ$2:$HE$61,($EL2-1)*3+IF($EB2&gt;=6,3,2),1+MIN(5,$GX2))&amp;INDEX('DADOS_FORMAS'!$HF$2:$HK$61,($EL2-1)*3+IF($EB2&gt;=6,3,2),1+MIN(5,$GY2))&amp;IF(INDEX('DADOS_FORMAS'!$FU$2:$FU$21,$EL2)=1,IF(COUNTIF($KW2:$KZ2,"Mais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IFERROR(VLOOKUP(SUBSTITUTE(SUBSTITUTE(SUBSTITUTE($HP2,"~","~~"),"*","~*"),"?","~?"),'DADOS_TALENTOS'!$AQ$2:$AW$34,2,FALSE),0)</f>
        <v/>
      </c>
      <c r="HR2" s="161">
        <f>IFERROR(VLOOKUP($HQ2,$CA$2:$CB$4,2,FALSE),0)</f>
        <v/>
      </c>
      <c r="HS2" s="161">
        <f>IFERROR(VLOOKUP(SUBSTITUTE(SUBSTITUTE(SUBSTITUTE($HP2,"~","~~"),"*","~*"),"?","~?"),'DADOS_TALENTOS'!$AQ$2:$AW$34,3,FALSE),"")</f>
        <v/>
      </c>
      <c r="HT2" s="161">
        <f>IF($HQ2=0,"",IF($HR2&gt;$HM$2,"⚠ Nível "&amp;$HR2,"CE "&amp;$HQ2))&amp;IF('DADOS_AM'!$LO2="",""," · ⚠ "&amp;'DADOS_AM'!$LO2)</f>
        <v/>
      </c>
      <c r="HU2" s="161">
        <f>IF($HQ2=0,"",$HQ2&amp;" esp.")</f>
        <v/>
      </c>
      <c r="HV2" s="161">
        <f>'FICHA AMALDIÇOADA'!$E$384&amp;""</f>
        <v/>
      </c>
      <c r="HW2" s="161">
        <f>IF($HP2="","",COUNTIF($HP$2:$HP2,"?*"))</f>
        <v/>
      </c>
      <c r="HY2" s="159" t="inlineStr">
        <is>
          <t>Aptidão 1</t>
        </is>
      </c>
      <c r="HZ2" s="161">
        <f>'FICHA AMALDIÇOADA'!$D$430&amp;""</f>
        <v/>
      </c>
      <c r="IA2" s="161">
        <f>IF($HZ2="","","Requisito: "&amp;IFERROR(VLOOKUP(SUBSTITUTE(SUBSTITUTE(SUBSTITUTE($HZ2,"~","~~"),"*","~*"),"?","~?"),'DADOS_APTIDOES'!$BF$2:$BO$45,2,FALSE),""))&amp;IF($LK2="",""," · ⚠ "&amp;$LK2)</f>
        <v/>
      </c>
      <c r="IB2" s="161">
        <f>IF($HZ2="","",IFERROR(IF(ISNUMBER(VLOOKUP(SUBSTITUTE(SUBSTITUTE(SUBSTITUTE($HZ2,"~","~~"),"*","~*"),"?","~?"),'DADOS_APTIDOES'!$BF$2:$BO$45,3,FALSE)),"CE "&amp;VLOOKUP(SUBSTITUTE(SUBSTITUTE(SUBSTITUTE($HZ2,"~","~~"),"*","~*"),"?","~?"),'DADOS_APTIDOES'!$BF$2:$BO$45,3,FALSE),VLOOKUP(SUBSTITUTE(SUBSTITUTE(SUBSTITUTE($HZ2,"~","~~"),"*","~*"),"?","~?"),'DADOS_APTIDOES'!$BF$2:$BO$45,3,FALSE)),""))</f>
        <v/>
      </c>
      <c r="IC2" s="161">
        <f>IF($HZ2="","",IFERROR(VLOOKUP(SUBSTITUTE(SUBSTITUTE(SUBSTITUTE($HZ2,"~","~~"),"*","~*"),"?","~?"),'DADOS_APTIDOES'!$BF$2:$BO$45,4,FALSE),""))</f>
        <v/>
      </c>
      <c r="ID2" s="161">
        <f>IF($HZ2="","",IFERROR(VLOOKUP(SUBSTITUTE(SUBSTITUTE(SUBSTITUTE($HZ2,"~","~~"),"*","~*"),"?","~?"),'DADOS_APTIDOES'!$BF$2:$BO$45,5,FALSE),""))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IFERROR(MATCH(SUBSTITUTE(SUBSTITUTE(SUBSTITUTE($II2,"~","~~"),"*","~*"),"?","~?"),'DADOS_FORMAS'!$FJ$2:$FJ$21,0),0)</f>
        <v/>
      </c>
      <c r="IM2" s="161">
        <f>$HM$11-IF(AND($IJ2&lt;&gt;"",$IK2=""),1,0)</f>
        <v/>
      </c>
      <c r="IN2" s="161">
        <f>IF(1&gt;$HM$10,"Nível 1",IF($IL2=0,"",IF(INDEX('DADOS_FORMAS'!$FP$2:$FP$21,$IL2)&gt;=2,"—",$IM2&amp;"d8 = "&amp;FLOOR($IM2*4.5,1))))</f>
        <v/>
      </c>
      <c r="IO2" s="161">
        <f>IF(OR(1&gt;$HM$10,$IL2=0),"",INDEX('DADOS_FORMAS'!$GZ$2:$HE$61,($IL2-1)*3+1,1+IF(OR(AND($LA2="Longe",INDEX('DADOS_FORMAS'!$FS$2:$FS$21,$IL2)&lt;&gt;2),AND($LA2="Maior",INDEX('DADOS_FORMAS'!$FS$2:$FS$21,$IL2)&gt;=2)),1,0))&amp;INDEX('DADOS_FORMAS'!$HF$2:$HK$61,($IL2-1)*3+1,1+IF(AND($LA2="Longe",INDEX('DADOS_FORMAS'!$FT$2:$FT$21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AMALDIÇOADA'!$D$343="","",IFERROR(VLOOKUP(SUBSTITUTE(SUBSTITUTE(SUBSTITUTE('FICHA AMALDIÇOADA'!$J$343,"~","~~"),"*","~*"),"?","~?"),'DADOS_FORMAS'!$FJ$2:$FX$21,8,FALSE),""))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"&amp;IFERROR(VLOOKUP(SUBSTITUTE(SUBSTITUTE(SUBSTITUTE($KO2,"~","~~"),"*","~*"),"?","~?"),'DADOS_APTIDOES'!$BF$2:$BO$45,10,FALSE),"")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c r="LB2">
        <f>IFERROR(INDEX('DADOS_FORMAS'!$BJ$2:$BJ$21,MATCH(SUBSTITUTE(SUBSTITUTE(SUBSTITUTE($ED2,"~","~~"),"*","~*"),"?","~?"),'DADOS_FORMAS'!$AH$2:$AH$21,0)),"")</f>
        <v/>
      </c>
      <c r="LC2">
        <f>IFERROR(VLOOKUP(SUBSTITUTE(SUBSTITUTE(SUBSTITUTE(IFERROR(INDEX('DADOS_FORMAS'!$AS$2:$AS$21,MATCH(SUBSTITUTE(SUBSTITUTE(SUBSTITUTE($ED2,"~","~~"),"*","~*"),"?","~?"),'DADOS_FORMAS'!$AH$2:$AH$21,0)),""),"~","~~"),"*","~*"),"?","~?"),'DADOS_RESTRICOES'!$M$2:$Q$54,2,FALSE),"")</f>
        <v/>
      </c>
      <c r="LD2">
        <f>$FD2</f>
        <v/>
      </c>
      <c r="LE2">
        <f>$FE2</f>
        <v/>
      </c>
      <c r="LF2">
        <f>$LC2</f>
        <v/>
      </c>
      <c r="LH2">
        <f>'FICHA AMALDIÇOADA'!$D$430&amp;""</f>
        <v/>
      </c>
      <c r="LI2">
        <f>IF($LH2="","",IF(IFERROR(INDEX('DADOS_APTIDOES'!$X$2:$X$45,MATCH(SUBSTITUTE(SUBSTITUTE(SUBSTITUTE($LH2,"~","~~"),"*","~*"),"?","~?"),'DADOS_APTIDOES'!$O$2:$O$45,0)),"")="",$LH2,IFERROR(INDEX('DADOS_APTIDOES'!$X$2:$X$45,MATCH(SUBSTITUTE(SUBSTITUTE(SUBSTITUTE($LH2,"~","~~"),"*","~*"),"?","~?"),'DADOS_APTIDOES'!$O$2:$O$45,0)),"")))</f>
        <v/>
      </c>
      <c r="LJ2">
        <f>IF(LEFT($LI2,16)="Aptidão Própria (","Aptidão Própria",IF(LEFT($LI2,15)="Bênção Própria (","Bênção Própria",$LI2))</f>
        <v/>
      </c>
      <c r="LK2">
        <f>IF($LH2="","",TEXTJOIN(" · ",TRUE,$LP2:$MI2))</f>
        <v/>
      </c>
      <c r="LL2">
        <f>IF($LH2="",0,IF(IFERROR(INDEX('DADOS_APTIDOES'!$W$2:$W$45,MATCH(SUBSTITUTE(SUBSTITUTE(SUBSTITUTE($LH2,"~","~~"),"*","~*"),"?","~?"),'DADOS_APTIDOES'!$O$2:$O$45,0)),"")="Gratuita",0,1))</f>
        <v/>
      </c>
      <c r="LO2">
        <f>IF('FICHA AMALDIÇOADA'!$D$379="","",TEXTJOIN(" · ",TRUE,IF(COUNTIF('DADOS_TALENTOS'!$M$2:$M$34,SUBSTITUTE(SUBSTITUTE(SUBSTITUTE('FICHA AMALDIÇOADA'!$D$379,"~","~~"),"*","~*"),"?","~?"))=0,"Talento não cadastrado ou com erro",""),IF(COUNTIF('DADOS_TALENTOS'!$AV$2:$AV$34,SUBSTITUTE(SUBSTITUTE(SUBSTITUTE('FICHA AMALDIÇOADA'!$D$379,"~","~~"),"*","~*"),"?","~?"))=0,"Talento incompatível com a rota","")))</f>
        <v/>
      </c>
      <c r="LP2">
        <f>IF(COUNTIF('DADOS_APTIDOES'!$O$2:$O$45,SUBSTITUTE(SUBSTITUTE(SUBSTITUTE($LH2,"~","~~"),"*","~*"),"?","~?"))=0,"Aptidão não cadastrada ou com erro","")</f>
        <v/>
      </c>
      <c r="LQ2">
        <f>IF(COUNTIF('DADOS_APTIDOES'!$BK$2:$BK$45,SUBSTITUTE(SUBSTITUTE(SUBSTITUTE($LH2,"~","~~"),"*","~*"),"?","~?"))=0,"Rota/origem incompatível ou capacidade inicial automática","")</f>
        <v/>
      </c>
      <c r="LR2">
        <f>IF(AND(NOT(OR(FALSE)),DADOS_AM!$HM$2&lt;IFERROR(INDEX('DADOS_APTIDOES'!$U$2:$U$45,MATCH(SUBSTITUTE(SUBSTITUTE(SUBSTITUTE($LH2,"~","~~"),"*","~*"),"?","~?"),'DADOS_APTIDOES'!$O$2:$O$45,0)),1)),"Nível mínimo não atendido","")</f>
        <v/>
      </c>
      <c r="LS2">
        <f>IF(AND(NOT(OR(FALSE)),DADOS_AM!$HM$6&lt;MAX(IF(AND($LI2="Domínio Simples",FALSE,IFERROR(INDEX('DADOS_APTIDOES'!$V$2:$V$45,MATCH(SUBSTITUTE(SUBSTITUTE(SUBSTITUTE($LH2,"~","~~"),"*","~*"),"?","~?"),'DADOS_APTIDOES'!$O$2:$O$45,0)),1)=5),4,IFERROR(INDEX('DADOS_APTIDOES'!$V$2:$V$45,MATCH(SUBSTITUTE(SUBSTITUTE(SUBSTITUTE($LH2,"~","~~"),"*","~*"),"?","~?"),'DADOS_APTIDOES'!$O$2:$O$45,0)),1)),IF(IFERROR(INDEX('DADOS_APTIDOES'!$N$2:$N$45,MATCH(SUBSTITUTE(SUBSTITUTE(SUBSTITUTE($LH2,"~","~~"),"*","~*"),"?","~?"),'DADOS_APTIDOES'!$O$2:$O$45,0)),"")="Bênção",IF(IFERROR(INDEX('DADOS_APTIDOES'!$T$2:$T$45,MATCH(SUBSTITUTE(SUBSTITUTE(SUBSTITUTE($LH2,"~","~~"),"*","~*"),"?","~?"),'DADOS_APTIDOES'!$O$2:$O$45,0)),0)=3,7,IF(IFERROR(INDEX('DADOS_APTIDOES'!$T$2:$T$45,MATCH(SUBSTITUTE(SUBSTITUTE(SUBSTITUTE($LH2,"~","~~"),"*","~*"),"?","~?"),'DADOS_APTIDOES'!$O$2:$O$45,0)),0)=2,4,1)),1))),"Refino/Lapidação mínimo não atendido","")</f>
        <v/>
      </c>
      <c r="LT2">
        <f>IF(AND(NOT(OR(FALSE)),AND($LI2="Circulação",0=0)),"Exige aquisição anterior: Energia Reversa","")</f>
        <v/>
      </c>
      <c r="LU2">
        <f>IF(AND(NOT(OR(FALSE)),AND($LI2="Regravação",0=0)),"Exige aquisição anterior: Circulação","")</f>
        <v/>
      </c>
      <c r="LV2">
        <f>IF(AND(NOT(OR(FALSE)),AND($LI2="Cortina",0=0)),"Exige aquisição anterior: Barreira Simples","")</f>
        <v/>
      </c>
      <c r="LW2">
        <f>IF(AND(NOT(OR(FALSE)),AND($LI2="Ritual",'FICHA'!AB19&lt;5)),"Exige Inteligência 5","")</f>
        <v/>
      </c>
      <c r="LX2">
        <f>IF(AND(NOT(OR(FALSE)),AND($LI2="Ímpeto",'FICHA'!L19&lt;4)),"Exige Destreza 4","")</f>
        <v/>
      </c>
      <c r="LY2">
        <f>IF(AND(NOT(OR(FALSE)),AND($LI2="Casco",'FICHA'!T19&lt;4)),"Exige Constituição 4","")</f>
        <v/>
      </c>
      <c r="LZ2">
        <f>IF(AND(NOT(OR(FALSE)),AND($LI2="Presilha",'FICHA'!D19&lt;4)),"Exige Força 4","")</f>
        <v/>
      </c>
      <c r="MA2">
        <f>IF(AND(NOT(OR(FALSE)),AND($LI2="Antecipar",'FICHA'!AB19&lt;4)),"Exige Inteligência 4","")</f>
        <v/>
      </c>
      <c r="MB2">
        <f>IF(AND(NOT(OR(FALSE)),AND($LI2="Sangue Frio",'FICHA'!T19&lt;4)),"Exige Constituição 4","")</f>
        <v/>
      </c>
      <c r="MC2">
        <f>IF(AND(NOT(OR(FALSE)),AND($LI2="Assombro",'FICHA'!AJ19&lt;4)),"Exige Essência 4","")</f>
        <v/>
      </c>
      <c r="MD2">
        <f>IF(AND(NOT(OR(FALSE)),$LI2="Cesta Oca de Vime"),"Conferir Encarnado ou treino em História","")</f>
        <v/>
      </c>
      <c r="ME2">
        <f>IF(AND(NOT(OR(FALSE)),$LI2="Pétala"),"Conferir Descendente ou aprendizado de clã","")</f>
        <v/>
      </c>
      <c r="MF2">
        <f>IF(AND(NOT(OR(FALSE)),$LI2="Domínio Simples"),"Conferir aprendizado de Domínio Simples","")</f>
        <v/>
      </c>
      <c r="MG2">
        <f>IF(AND(NOT(OR(FALSE)),$LI2="Extensão de Domínio"),"Conferir aprendizado de Extensão de Domínio","")</f>
        <v/>
      </c>
      <c r="MH2">
        <f>IF(AND(NOT(OR(FALSE)),$LI2="Ritual"),"Conferir Técnica Inata","")</f>
        <v/>
      </c>
      <c r="MI2">
        <f>IF(AND(NOT(OR(FALSE)),AND($LI2="Represália",MAX('FICHA'!D19,'FICHA'!L19)&lt;4)),"Exige Força ou Destreza 4","")</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IFERROR(MATCH(SUBSTITUTE(SUBSTITUTE(SUBSTITUTE($ED3,"~","~~"),"*","~*"),"?","~?"),'DADOS_FORMAS'!$FJ$2:$FJ$21,0),0)</f>
        <v/>
      </c>
      <c r="EM3" s="161">
        <f>IF($EL3=0,0,INDEX('DADOS_FORMAS'!$FM$2:$FM$21,$EL3))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IF($EL3=0,0,INDEX('DADOS_FORMAS'!$FN$2:$FN$21,$EL3))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IF($EL3=0,0,INDEX('DADOS_FORMAS'!$FO$2:$FO$21,$EL3))</f>
        <v/>
      </c>
      <c r="EZ3" s="161">
        <f>IF($EL3=0,0,INDEX('DADOS_FORMAS'!$FP$2:$FP$21,$EL3))</f>
        <v/>
      </c>
      <c r="FA3" s="161">
        <f>IF($EL3=0,0,INDEX('DADOS_FORMAS'!$FR$2:$FR$21,$EL3))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IF(IFERROR(INDEX('DADOS_FORMAS'!$AS$2:$AS$21,MATCH(SUBSTITUTE(SUBSTITUTE(SUBSTITUTE($ED3,"~","~~"),"*","~*"),"?","~?"),'DADOS_FORMAS'!$AH$2:$AH$21,0)),"")="",0,IFERROR(N(VLOOKUP(SUBSTITUTE(SUBSTITUTE(SUBSTITUTE(IFERROR(INDEX('DADOS_FORMAS'!$AS$2:$AS$21,MATCH(SUBSTITUTE(SUBSTITUTE(SUBSTITUTE($ED3,"~","~~"),"*","~*"),"?","~?"),'DADOS_FORMAS'!$AH$2:$AH$21,0)),""),"~","~~"),"*","~*"),"?","~?"),'DADOS_RESTRICOES'!$M$2:$Q$54,3,FALSE)=1),0))</f>
        <v/>
      </c>
      <c r="FM3" s="161">
        <f>COUNTIF($FB3:$FC3,2)+IF(IFERROR(INDEX('DADOS_FORMAS'!$AS$2:$AS$21,MATCH(SUBSTITUTE(SUBSTITUTE(SUBSTITUTE($ED3,"~","~~"),"*","~*"),"?","~?"),'DADOS_FORMAS'!$AH$2:$AH$21,0)),"")="",0,IFERROR(N(VLOOKUP(SUBSTITUTE(SUBSTITUTE(SUBSTITUTE(IFERROR(INDEX('DADOS_FORMAS'!$AS$2:$AS$21,MATCH(SUBSTITUTE(SUBSTITUTE(SUBSTITUTE($ED3,"~","~~"),"*","~*"),"?","~?"),'DADOS_FORMAS'!$AH$2:$AH$21,0)),""),"~","~~"),"*","~*"),"?","~?"),'DADOS_RESTRICOES'!$M$2:$Q$54,3,FALSE)=2),0))</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Corpo")&gt;0,$EY3=0,OR($LB3="Cone",$LB3="Linha")),"Corpo a Corpo não entra em "&amp;$ED3,""),IF(AND(COUNTIF($FD3:$FE3,"Corpo a Corpo")&gt;0,$LC3="Corpo a Corpo"),"A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"&amp;$EJ3,""))),IF(AND($ED3&lt;&gt;"",COUNTIF('DADOS_FORMAS'!$AH$2:$AH$21,SUBSTITUTE(SUBSTITUTE(SUBSTITUTE($ED3,"~","~~"),"*","~*"),"?","~?"))=0),"Forma não cadastrada ou com erro: "&amp;$ED3,""),IF(AND(IFERROR(INDEX('DADOS_FORMAS'!$AS$2:$AS$21,MATCH(SUBSTITUTE(SUBSTITUTE(SUBSTITUTE($ED3,"~","~~"),"*","~*"),"?","~?"),'DADOS_FORMAS'!$AH$2:$AH$21,0)),"")&lt;&gt;"",OR(IFERROR(VLOOKUP(SUBSTITUTE(SUBSTITUTE(SUBSTITUTE(IFERROR(INDEX('DADOS_FORMAS'!$AS$2:$AS$21,MATCH(SUBSTITUTE(SUBSTITUTE(SUBSTITUTE($ED3,"~","~~"),"*","~*"),"?","~?"),'DADOS_FORMAS'!$AH$2:$AH$21,0)),""),"~","~~"),"*","~*"),"?","~?"),'DADOS_RESTRICOES'!$M$2:$Q$54,2,FALSE),"")=$FD3,IFERROR(VLOOKUP(SUBSTITUTE(SUBSTITUTE(SUBSTITUTE(IFERROR(INDEX('DADOS_FORMAS'!$AS$2:$AS$21,MATCH(SUBSTITUTE(SUBSTITUTE(SUBSTITUTE($ED3,"~","~~"),"*","~*"),"?","~?"),'DADOS_FORMAS'!$AH$2:$AH$21,0)),""),"~","~~"),"*","~*"),"?","~?"),'DADOS_RESTRICOES'!$M$2:$Q$54,2,FALSE),"")=$FE3)),"Restrição repetida, contando a embutida",""),IF(IF(IFERROR(INDEX('DADOS_FORMAS'!$AS$2:$AS$21,MATCH(SUBSTITUTE(SUBSTITUTE(SUBSTITUTE($ED3,"~","~~"),"*","~*"),"?","~?"),'DADOS_FORMAS'!$AH$2:$AH$21,0)),"")="",0,IFERROR(N(VLOOKUP(SUBSTITUTE(SUBSTITUTE(SUBSTITUTE(IFERROR(INDEX('DADOS_FORMAS'!$AS$2:$AS$21,MATCH(SUBSTITUTE(SUBSTITUTE(SUBSTITUTE($ED3,"~","~~"),"*","~*"),"?","~?"),'DADOS_FORMAS'!$AH$2:$AH$21,0)),""),"~","~~"),"*","~*"),"?","~?"),'DADOS_RESTRICOES'!$M$2:$Q$54,4,FALSE)=1),0))+IF($EI3="",0,IFERROR(N(VLOOKUP(SUBSTITUTE(SUBSTITUTE(SUBSTITUTE($EI3,"~","~~"),"*","~*"),"?","~?"),'DADOS_RESTRICOES'!$M$2:$Q$54,4,FALSE)=1),0))+IF($EJ3="",0,IFERROR(N(VLOOKUP(SUBSTITUTE(SUBSTITUTE(SUBSTITUTE($EJ3,"~","~~"),"*","~*"),"?","~?"),'DADOS_RESTRICOES'!$M$2:$Q$54,4,FALSE)=1),0))&gt;1,"Duas Restrições de frequência, contando a embutida",""),IF(AND(IFERROR(VLOOKUP(SUBSTITUTE(SUBSTITUTE(SUBSTITUTE(IFERROR(INDEX('DADOS_FORMAS'!$AS$2:$AS$21,MATCH(SUBSTITUTE(SUBSTITUTE(SUBSTITUTE($ED3,"~","~~"),"*","~*"),"?","~?"),'DADOS_FORMAS'!$AH$2:$AH$21,0)),""),"~","~~"),"*","~*"),"?","~?"),'DADOS_RESTRICOES'!$M$2:$Q$54,2,FALSE),"")="Tudo ou Nada",$FA3=0),"Tudo ou Nada exige TR",""),IF(AND(IFERROR(VLOOKUP(SUBSTITUTE(SUBSTITUTE(SUBSTITUTE(IFERROR(INDEX('DADOS_FORMAS'!$AS$2:$AS$21,MATCH(SUBSTITUTE(SUBSTITUTE(SUBSTITUTE($ED3,"~","~~"),"*","~*"),"?","~?"),'DADOS_FORMAS'!$AH$2:$AH$21,0)),""),"~","~~"),"*","~*"),"?","~?"),'DADOS_RESTRICOES'!$M$2:$Q$54,2,FALSE),"")="Corpo a Corpo",OR($LB3="Cone",$LB3="Linha")),"Corpo a Corpo não entra em Cone/Linha","")))</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inteira",IF(COUNTIF($LD3:$LF3,"Atrasar")&gt;0,IF(COUNTIF($LD3:$LF3,"Carregar")&gt;0,"Rodada +1 turno","Rodada inteira"),IF(COUNTIF($KW3:$KZ3,"Rápido")&gt;0,"Bônus",IF(COUNTIF($KW3:$KZ3,"Reação")&gt;0,"Reação","Padrão"))&amp;IF(COUNTIF($LD3:$LF3,"Carregar")&gt;0," +1 turno",""))))</f>
        <v/>
      </c>
      <c r="GT3" s="161">
        <f>IF(OR($EK3=0,$EL3=0),"",IF(COUNTIF($KW3:$KZ3,"Inescapável")&gt;0,"Automático",IF(COUNTIF($KW3:$KZ3,"Certeiro")&gt;0,"TR para metade",IF(AND($EX3&gt;0,$FA3=0,INDEX('DADOS_FORMAS'!$FQ$2:$FQ$21,$EL3)="Acerto"),"Acerto + TR",INDEX('DADOS_FORMAS'!$FQ$2:$FQ$21,$EL3)))))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IF($EL3=0,0,CHOOSE(1+INDEX('DADOS_FORMAS'!$FS$2:$FS$21,$EL3),0,$GV3,$GW3,$GV3+$GW3))</f>
        <v/>
      </c>
      <c r="GY3" s="161">
        <f>IF($EL3=0,0,CHOOSE(1+INDEX('DADOS_FORMAS'!$FT$2:$FT$21,$EL3),0,$GV3,$GW3,$GV3+$GW3))</f>
        <v/>
      </c>
      <c r="GZ3" s="161">
        <f>IF(OR($EK3=0,$EL3=0),"",INDEX('DADOS_FORMAS'!$GZ$2:$HE$61,($EL3-1)*3+IF($EB3&gt;=6,3,2),1+MIN(5,$GX3))&amp;INDEX('DADOS_FORMAS'!$HF$2:$HK$61,($EL3-1)*3+IF($EB3&gt;=6,3,2),1+MIN(5,$GY3))&amp;IF(INDEX('DADOS_FORMAS'!$FU$2:$FU$21,$EL3)=1,IF(COUNTIF($KW3:$KZ3,"Mais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IFERROR(VLOOKUP(SUBSTITUTE(SUBSTITUTE(SUBSTITUTE($HP3,"~","~~"),"*","~*"),"?","~?"),'DADOS_TALENTOS'!$AQ$2:$AW$34,2,FALSE),0)</f>
        <v/>
      </c>
      <c r="HR3" s="161">
        <f>IFERROR(VLOOKUP($HQ3,$CA$2:$CB$4,2,FALSE),0)</f>
        <v/>
      </c>
      <c r="HS3" s="161">
        <f>IFERROR(VLOOKUP(SUBSTITUTE(SUBSTITUTE(SUBSTITUTE($HP3,"~","~~"),"*","~*"),"?","~?"),'DADOS_TALENTOS'!$AQ$2:$AW$34,3,FALSE),"")</f>
        <v/>
      </c>
      <c r="HT3" s="161">
        <f>IF($HQ3=0,"",IF($HR3&gt;$HM$2,"⚠ Nível "&amp;$HR3,"CE "&amp;$HQ3))&amp;IF('DADOS_AM'!$LO3="",""," · ⚠ "&amp;'DADOS_AM'!$LO3)</f>
        <v/>
      </c>
      <c r="HU3" s="161">
        <f>IF($HQ3=0,"",$HQ3&amp;" esp.")</f>
        <v/>
      </c>
      <c r="HV3" s="161">
        <f>'FICHA AMALDIÇOADA'!$K$384&amp;""</f>
        <v/>
      </c>
      <c r="HW3" s="161">
        <f>IF($HP3="","",COUNTIF($HP$2:$HP3,"?*"))</f>
        <v/>
      </c>
      <c r="HY3" s="159" t="inlineStr">
        <is>
          <t>Aptidão 2</t>
        </is>
      </c>
      <c r="HZ3" s="161">
        <f>'FICHA AMALDIÇOADA'!$J$430&amp;""</f>
        <v/>
      </c>
      <c r="IA3" s="161">
        <f>IF($HZ3="","","Requisito: "&amp;IFERROR(VLOOKUP(SUBSTITUTE(SUBSTITUTE(SUBSTITUTE($HZ3,"~","~~"),"*","~*"),"?","~?"),'DADOS_APTIDOES'!$BF$2:$BO$45,2,FALSE),""))&amp;IF($LK3="",""," · ⚠ "&amp;$LK3)</f>
        <v/>
      </c>
      <c r="IB3" s="161">
        <f>IF($HZ3="","",IFERROR(IF(ISNUMBER(VLOOKUP(SUBSTITUTE(SUBSTITUTE(SUBSTITUTE($HZ3,"~","~~"),"*","~*"),"?","~?"),'DADOS_APTIDOES'!$BF$2:$BO$45,3,FALSE)),"CE "&amp;VLOOKUP(SUBSTITUTE(SUBSTITUTE(SUBSTITUTE($HZ3,"~","~~"),"*","~*"),"?","~?"),'DADOS_APTIDOES'!$BF$2:$BO$45,3,FALSE),VLOOKUP(SUBSTITUTE(SUBSTITUTE(SUBSTITUTE($HZ3,"~","~~"),"*","~*"),"?","~?"),'DADOS_APTIDOES'!$BF$2:$BO$45,3,FALSE)),""))</f>
        <v/>
      </c>
      <c r="IC3" s="161">
        <f>IF($HZ3="","",IFERROR(VLOOKUP(SUBSTITUTE(SUBSTITUTE(SUBSTITUTE($HZ3,"~","~~"),"*","~*"),"?","~?"),'DADOS_APTIDOES'!$BF$2:$BO$45,4,FALSE),""))</f>
        <v/>
      </c>
      <c r="ID3" s="161">
        <f>IF($HZ3="","",IFERROR(VLOOKUP(SUBSTITUTE(SUBSTITUTE(SUBSTITUTE($HZ3,"~","~~"),"*","~*"),"?","~?"),'DADOS_APTIDOES'!$BF$2:$BO$45,5,FALSE),""))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IFERROR(MATCH(SUBSTITUTE(SUBSTITUTE(SUBSTITUTE($II3,"~","~~"),"*","~*"),"?","~?"),'DADOS_FORMAS'!$FJ$2:$FJ$21,0),0)</f>
        <v/>
      </c>
      <c r="IM3" s="161">
        <f>$HM$11-IF(AND($IJ3&lt;&gt;"",$IK3=""),1,0)</f>
        <v/>
      </c>
      <c r="IN3" s="161">
        <f>IF(2&gt;$HM$10,"Nível 1",IF($IL3=0,"",IF(INDEX('DADOS_FORMAS'!$FP$2:$FP$21,$IL3)&gt;=2,"—",$IM3&amp;"d8 = "&amp;FLOOR($IM3*4.5,1))))</f>
        <v/>
      </c>
      <c r="IO3" s="161">
        <f>IF(OR(2&gt;$HM$10,$IL3=0),"",INDEX('DADOS_FORMAS'!$GZ$2:$HE$61,($IL3-1)*3+1,1+IF(OR(AND($LA3="Longe",INDEX('DADOS_FORMAS'!$FS$2:$FS$21,$IL3)&lt;&gt;2),AND($LA3="Maior",INDEX('DADOS_FORMAS'!$FS$2:$FS$21,$IL3)&gt;=2)),1,0))&amp;INDEX('DADOS_FORMAS'!$HF$2:$HK$61,($IL3-1)*3+1,1+IF(AND($LA3="Longe",INDEX('DADOS_FORMAS'!$FT$2:$FT$21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"&amp;IFERROR(VLOOKUP(SUBSTITUTE(SUBSTITUTE(SUBSTITUTE($KO3,"~","~~"),"*","~*"),"?","~?"),'DADOS_APTIDOES'!$BF$2:$BO$45,10,FALSE),"")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c r="LB3">
        <f>IFERROR(INDEX('DADOS_FORMAS'!$BJ$2:$BJ$21,MATCH(SUBSTITUTE(SUBSTITUTE(SUBSTITUTE($ED3,"~","~~"),"*","~*"),"?","~?"),'DADOS_FORMAS'!$AH$2:$AH$21,0)),"")</f>
        <v/>
      </c>
      <c r="LC3">
        <f>IFERROR(VLOOKUP(SUBSTITUTE(SUBSTITUTE(SUBSTITUTE(IFERROR(INDEX('DADOS_FORMAS'!$AS$2:$AS$21,MATCH(SUBSTITUTE(SUBSTITUTE(SUBSTITUTE($ED3,"~","~~"),"*","~*"),"?","~?"),'DADOS_FORMAS'!$AH$2:$AH$21,0)),""),"~","~~"),"*","~*"),"?","~?"),'DADOS_RESTRICOES'!$M$2:$Q$54,2,FALSE),"")</f>
        <v/>
      </c>
      <c r="LD3">
        <f>$FD3</f>
        <v/>
      </c>
      <c r="LE3">
        <f>$FE3</f>
        <v/>
      </c>
      <c r="LF3">
        <f>$LC3</f>
        <v/>
      </c>
      <c r="LH3">
        <f>'FICHA AMALDIÇOADA'!$J$430&amp;""</f>
        <v/>
      </c>
      <c r="LI3">
        <f>IF($LH3="","",IF(IFERROR(INDEX('DADOS_APTIDOES'!$X$2:$X$45,MATCH(SUBSTITUTE(SUBSTITUTE(SUBSTITUTE($LH3,"~","~~"),"*","~*"),"?","~?"),'DADOS_APTIDOES'!$O$2:$O$45,0)),"")="",$LH3,IFERROR(INDEX('DADOS_APTIDOES'!$X$2:$X$45,MATCH(SUBSTITUTE(SUBSTITUTE(SUBSTITUTE($LH3,"~","~~"),"*","~*"),"?","~?"),'DADOS_APTIDOES'!$O$2:$O$45,0)),"")))</f>
        <v/>
      </c>
      <c r="LJ3">
        <f>IF(LEFT($LI3,16)="Aptidão Própria (","Aptidão Própria",IF(LEFT($LI3,15)="Bênção Própria (","Bênção Própria",$LI3))</f>
        <v/>
      </c>
      <c r="LK3">
        <f>IF($LH3="","",TEXTJOIN(" · ",TRUE,$LP3:$MJ3))</f>
        <v/>
      </c>
      <c r="LL3">
        <f>IF($LH3="",0,IF(IFERROR(INDEX('DADOS_APTIDOES'!$W$2:$W$45,MATCH(SUBSTITUTE(SUBSTITUTE(SUBSTITUTE($LH3,"~","~~"),"*","~*"),"?","~?"),'DADOS_APTIDOES'!$O$2:$O$45,0)),"")="Gratuita",0,1))</f>
        <v/>
      </c>
      <c r="LO3">
        <f>IF('FICHA AMALDIÇOADA'!$J$379="","",TEXTJOIN(" · ",TRUE,IF(COUNTIF('DADOS_TALENTOS'!$M$2:$M$34,SUBSTITUTE(SUBSTITUTE(SUBSTITUTE('FICHA AMALDIÇOADA'!$J$379,"~","~~"),"*","~*"),"?","~?"))=0,"Talento não cadastrado ou com erro",""),IF(COUNTIF('DADOS_TALENTOS'!$AV$2:$AV$34,SUBSTITUTE(SUBSTITUTE(SUBSTITUTE('FICHA AMALDIÇOADA'!$J$379,"~","~~"),"*","~*"),"?","~?"))=0,"Talento incompatível com a rota","")))</f>
        <v/>
      </c>
      <c r="LP3">
        <f>IF(COUNTIF('DADOS_APTIDOES'!$O$2:$O$45,SUBSTITUTE(SUBSTITUTE(SUBSTITUTE($LH3,"~","~~"),"*","~*"),"?","~?"))=0,"Aptidão não cadastrada ou com erro","")</f>
        <v/>
      </c>
      <c r="LQ3">
        <f>IF(COUNTIF('DADOS_APTIDOES'!$BK$2:$BK$45,SUBSTITUTE(SUBSTITUTE(SUBSTITUTE($LH3,"~","~~"),"*","~*"),"?","~?"))=0,"Rota/origem incompatível ou capacidade inicial automática","")</f>
        <v/>
      </c>
      <c r="LR3">
        <f>IF(AND(NOT(OR(FALSE)),DADOS_AM!$HM$2&lt;IFERROR(INDEX('DADOS_APTIDOES'!$U$2:$U$45,MATCH(SUBSTITUTE(SUBSTITUTE(SUBSTITUTE($LH3,"~","~~"),"*","~*"),"?","~?"),'DADOS_APTIDOES'!$O$2:$O$45,0)),1)),"Nível mínimo não atendido","")</f>
        <v/>
      </c>
      <c r="LS3">
        <f>IF(AND(NOT(OR(FALSE)),DADOS_AM!$HM$6&lt;MAX(IF(AND($LI3="Domínio Simples",FALSE,IFERROR(INDEX('DADOS_APTIDOES'!$V$2:$V$45,MATCH(SUBSTITUTE(SUBSTITUTE(SUBSTITUTE($LH3,"~","~~"),"*","~*"),"?","~?"),'DADOS_APTIDOES'!$O$2:$O$45,0)),1)=5),4,IFERROR(INDEX('DADOS_APTIDOES'!$V$2:$V$45,MATCH(SUBSTITUTE(SUBSTITUTE(SUBSTITUTE($LH3,"~","~~"),"*","~*"),"?","~?"),'DADOS_APTIDOES'!$O$2:$O$45,0)),1)),IF(IFERROR(INDEX('DADOS_APTIDOES'!$N$2:$N$45,MATCH(SUBSTITUTE(SUBSTITUTE(SUBSTITUTE($LH3,"~","~~"),"*","~*"),"?","~?"),'DADOS_APTIDOES'!$O$2:$O$45,0)),"")="Bênção",IF(IFERROR(INDEX('DADOS_APTIDOES'!$T$2:$T$45,MATCH(SUBSTITUTE(SUBSTITUTE(SUBSTITUTE($LH3,"~","~~"),"*","~*"),"?","~?"),'DADOS_APTIDOES'!$O$2:$O$45,0)),0)=3,7,IF(IFERROR(INDEX('DADOS_APTIDOES'!$T$2:$T$45,MATCH(SUBSTITUTE(SUBSTITUTE(SUBSTITUTE($LH3,"~","~~"),"*","~*"),"?","~?"),'DADOS_APTIDOES'!$O$2:$O$45,0)),0)=2,4,1)),1))),"Refino/Lapidação mínimo não atendido","")</f>
        <v/>
      </c>
      <c r="LT3">
        <f>IF(COUNTIF($LJ$2:$LJ3,SUBSTITUTE(SUBSTITUTE(SUBSTITUTE($LJ3,"~","~~"),"*","~*"),"?","~?"))&gt;1,"Aptidão/Bênção repetida","")</f>
        <v/>
      </c>
      <c r="LU3">
        <f>IF(AND(NOT(OR(FALSE)),AND($LI3="Circulação",COUNTIF($LI$2:$LI2,"Energia Reversa")=0)),"Exige aquisição anterior: Energia Reversa","")</f>
        <v/>
      </c>
      <c r="LV3">
        <f>IF(AND(NOT(OR(FALSE)),AND($LI3="Regravação",COUNTIF($LI$2:$LI2,"Circulação")=0)),"Exige aquisição anterior: Circulação","")</f>
        <v/>
      </c>
      <c r="LW3">
        <f>IF(AND(NOT(OR(FALSE)),AND($LI3="Cortina",COUNTIF($LI$2:$LI2,"Barreira Simples")=0)),"Exige aquisição anterior: Barreira Simples","")</f>
        <v/>
      </c>
      <c r="LX3">
        <f>IF(AND(NOT(OR(FALSE)),AND($LI3="Ritual",'FICHA'!AB19&lt;5)),"Exige Inteligência 5","")</f>
        <v/>
      </c>
      <c r="LY3">
        <f>IF(AND(NOT(OR(FALSE)),AND($LI3="Ímpeto",'FICHA'!L19&lt;4)),"Exige Destreza 4","")</f>
        <v/>
      </c>
      <c r="LZ3">
        <f>IF(AND(NOT(OR(FALSE)),AND($LI3="Casco",'FICHA'!T19&lt;4)),"Exige Constituição 4","")</f>
        <v/>
      </c>
      <c r="MA3">
        <f>IF(AND(NOT(OR(FALSE)),AND($LI3="Presilha",'FICHA'!D19&lt;4)),"Exige Força 4","")</f>
        <v/>
      </c>
      <c r="MB3">
        <f>IF(AND(NOT(OR(FALSE)),AND($LI3="Antecipar",'FICHA'!AB19&lt;4)),"Exige Inteligência 4","")</f>
        <v/>
      </c>
      <c r="MC3">
        <f>IF(AND(NOT(OR(FALSE)),AND($LI3="Sangue Frio",'FICHA'!T19&lt;4)),"Exige Constituição 4","")</f>
        <v/>
      </c>
      <c r="MD3">
        <f>IF(AND(NOT(OR(FALSE)),AND($LI3="Assombro",'FICHA'!AJ19&lt;4)),"Exige Essência 4","")</f>
        <v/>
      </c>
      <c r="ME3">
        <f>IF(AND(NOT(OR(FALSE)),$LI3="Cesta Oca de Vime"),"Conferir Encarnado ou treino em História","")</f>
        <v/>
      </c>
      <c r="MF3">
        <f>IF(AND(NOT(OR(FALSE)),$LI3="Pétala"),"Conferir Descendente ou aprendizado de clã","")</f>
        <v/>
      </c>
      <c r="MG3">
        <f>IF(AND(NOT(OR(FALSE)),$LI3="Domínio Simples"),"Conferir aprendizado de Domínio Simples","")</f>
        <v/>
      </c>
      <c r="MH3">
        <f>IF(AND(NOT(OR(FALSE)),$LI3="Extensão de Domínio"),"Conferir aprendizado de Extensão de Domínio","")</f>
        <v/>
      </c>
      <c r="MI3">
        <f>IF(AND(NOT(OR(FALSE)),$LI3="Ritual"),"Conferir Técnica Inata","")</f>
        <v/>
      </c>
      <c r="MJ3">
        <f>IF(AND(NOT(OR(FALSE)),AND($LI3="Represália",MAX('FICHA'!D19,'FICHA'!L19)&lt;4)),"Exige Força ou Destreza 4","")</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IFERROR(MATCH(SUBSTITUTE(SUBSTITUTE(SUBSTITUTE($ED4,"~","~~"),"*","~*"),"?","~?"),'DADOS_FORMAS'!$FJ$2:$FJ$21,0),0)</f>
        <v/>
      </c>
      <c r="EM4" s="161">
        <f>IF($EL4=0,0,INDEX('DADOS_FORMAS'!$FM$2:$FM$21,$EL4))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IF($EL4=0,0,INDEX('DADOS_FORMAS'!$FN$2:$FN$21,$EL4))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IF($EL4=0,0,INDEX('DADOS_FORMAS'!$FO$2:$FO$21,$EL4))</f>
        <v/>
      </c>
      <c r="EZ4" s="161">
        <f>IF($EL4=0,0,INDEX('DADOS_FORMAS'!$FP$2:$FP$21,$EL4))</f>
        <v/>
      </c>
      <c r="FA4" s="161">
        <f>IF($EL4=0,0,INDEX('DADOS_FORMAS'!$FR$2:$FR$21,$EL4))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IF(IFERROR(INDEX('DADOS_FORMAS'!$AS$2:$AS$21,MATCH(SUBSTITUTE(SUBSTITUTE(SUBSTITUTE($ED4,"~","~~"),"*","~*"),"?","~?"),'DADOS_FORMAS'!$AH$2:$AH$21,0)),"")="",0,IFERROR(N(VLOOKUP(SUBSTITUTE(SUBSTITUTE(SUBSTITUTE(IFERROR(INDEX('DADOS_FORMAS'!$AS$2:$AS$21,MATCH(SUBSTITUTE(SUBSTITUTE(SUBSTITUTE($ED4,"~","~~"),"*","~*"),"?","~?"),'DADOS_FORMAS'!$AH$2:$AH$21,0)),""),"~","~~"),"*","~*"),"?","~?"),'DADOS_RESTRICOES'!$M$2:$Q$54,3,FALSE)=1),0))</f>
        <v/>
      </c>
      <c r="FM4" s="161">
        <f>COUNTIF($FB4:$FC4,2)+IF(IFERROR(INDEX('DADOS_FORMAS'!$AS$2:$AS$21,MATCH(SUBSTITUTE(SUBSTITUTE(SUBSTITUTE($ED4,"~","~~"),"*","~*"),"?","~?"),'DADOS_FORMAS'!$AH$2:$AH$21,0)),"")="",0,IFERROR(N(VLOOKUP(SUBSTITUTE(SUBSTITUTE(SUBSTITUTE(IFERROR(INDEX('DADOS_FORMAS'!$AS$2:$AS$21,MATCH(SUBSTITUTE(SUBSTITUTE(SUBSTITUTE($ED4,"~","~~"),"*","~*"),"?","~?"),'DADOS_FORMAS'!$AH$2:$AH$21,0)),""),"~","~~"),"*","~*"),"?","~?"),'DADOS_RESTRICOES'!$M$2:$Q$54,3,FALSE)=2),0))</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Corpo")&gt;0,$EY4=0,OR($LB4="Cone",$LB4="Linha")),"Corpo a Corpo não entra em "&amp;$ED4,""),IF(AND(COUNTIF($FD4:$FE4,"Corpo a Corpo")&gt;0,$LC4="Corpo a Corpo"),"A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"&amp;$EJ4,""))),IF(AND($ED4&lt;&gt;"",COUNTIF('DADOS_FORMAS'!$AH$2:$AH$21,SUBSTITUTE(SUBSTITUTE(SUBSTITUTE($ED4,"~","~~"),"*","~*"),"?","~?"))=0),"Forma não cadastrada ou com erro: "&amp;$ED4,""),IF(AND(IFERROR(INDEX('DADOS_FORMAS'!$AS$2:$AS$21,MATCH(SUBSTITUTE(SUBSTITUTE(SUBSTITUTE($ED4,"~","~~"),"*","~*"),"?","~?"),'DADOS_FORMAS'!$AH$2:$AH$21,0)),"")&lt;&gt;"",OR(IFERROR(VLOOKUP(SUBSTITUTE(SUBSTITUTE(SUBSTITUTE(IFERROR(INDEX('DADOS_FORMAS'!$AS$2:$AS$21,MATCH(SUBSTITUTE(SUBSTITUTE(SUBSTITUTE($ED4,"~","~~"),"*","~*"),"?","~?"),'DADOS_FORMAS'!$AH$2:$AH$21,0)),""),"~","~~"),"*","~*"),"?","~?"),'DADOS_RESTRICOES'!$M$2:$Q$54,2,FALSE),"")=$FD4,IFERROR(VLOOKUP(SUBSTITUTE(SUBSTITUTE(SUBSTITUTE(IFERROR(INDEX('DADOS_FORMAS'!$AS$2:$AS$21,MATCH(SUBSTITUTE(SUBSTITUTE(SUBSTITUTE($ED4,"~","~~"),"*","~*"),"?","~?"),'DADOS_FORMAS'!$AH$2:$AH$21,0)),""),"~","~~"),"*","~*"),"?","~?"),'DADOS_RESTRICOES'!$M$2:$Q$54,2,FALSE),"")=$FE4)),"Restrição repetida, contando a embutida",""),IF(IF(IFERROR(INDEX('DADOS_FORMAS'!$AS$2:$AS$21,MATCH(SUBSTITUTE(SUBSTITUTE(SUBSTITUTE($ED4,"~","~~"),"*","~*"),"?","~?"),'DADOS_FORMAS'!$AH$2:$AH$21,0)),"")="",0,IFERROR(N(VLOOKUP(SUBSTITUTE(SUBSTITUTE(SUBSTITUTE(IFERROR(INDEX('DADOS_FORMAS'!$AS$2:$AS$21,MATCH(SUBSTITUTE(SUBSTITUTE(SUBSTITUTE($ED4,"~","~~"),"*","~*"),"?","~?"),'DADOS_FORMAS'!$AH$2:$AH$21,0)),""),"~","~~"),"*","~*"),"?","~?"),'DADOS_RESTRICOES'!$M$2:$Q$54,4,FALSE)=1),0))+IF($EI4="",0,IFERROR(N(VLOOKUP(SUBSTITUTE(SUBSTITUTE(SUBSTITUTE($EI4,"~","~~"),"*","~*"),"?","~?"),'DADOS_RESTRICOES'!$M$2:$Q$54,4,FALSE)=1),0))+IF($EJ4="",0,IFERROR(N(VLOOKUP(SUBSTITUTE(SUBSTITUTE(SUBSTITUTE($EJ4,"~","~~"),"*","~*"),"?","~?"),'DADOS_RESTRICOES'!$M$2:$Q$54,4,FALSE)=1),0))&gt;1,"Duas Restrições de frequência, contando a embutida",""),IF(AND(IFERROR(VLOOKUP(SUBSTITUTE(SUBSTITUTE(SUBSTITUTE(IFERROR(INDEX('DADOS_FORMAS'!$AS$2:$AS$21,MATCH(SUBSTITUTE(SUBSTITUTE(SUBSTITUTE($ED4,"~","~~"),"*","~*"),"?","~?"),'DADOS_FORMAS'!$AH$2:$AH$21,0)),""),"~","~~"),"*","~*"),"?","~?"),'DADOS_RESTRICOES'!$M$2:$Q$54,2,FALSE),"")="Tudo ou Nada",$FA4=0),"Tudo ou Nada exige TR",""),IF(AND(IFERROR(VLOOKUP(SUBSTITUTE(SUBSTITUTE(SUBSTITUTE(IFERROR(INDEX('DADOS_FORMAS'!$AS$2:$AS$21,MATCH(SUBSTITUTE(SUBSTITUTE(SUBSTITUTE($ED4,"~","~~"),"*","~*"),"?","~?"),'DADOS_FORMAS'!$AH$2:$AH$21,0)),""),"~","~~"),"*","~*"),"?","~?"),'DADOS_RESTRICOES'!$M$2:$Q$54,2,FALSE),"")="Corpo a Corpo",OR($LB4="Cone",$LB4="Linha")),"Corpo a Corpo não entra em Cone/Linha","")))</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inteira",IF(COUNTIF($LD4:$LF4,"Atrasar")&gt;0,IF(COUNTIF($LD4:$LF4,"Carregar")&gt;0,"Rodada +1 turno","Rodada inteira"),IF(COUNTIF($KW4:$KZ4,"Rápido")&gt;0,"Bônus",IF(COUNTIF($KW4:$KZ4,"Reação")&gt;0,"Reação","Padrão"))&amp;IF(COUNTIF($LD4:$LF4,"Carregar")&gt;0," +1 turno",""))))</f>
        <v/>
      </c>
      <c r="GT4" s="161">
        <f>IF(OR($EK4=0,$EL4=0),"",IF(COUNTIF($KW4:$KZ4,"Inescapável")&gt;0,"Automático",IF(COUNTIF($KW4:$KZ4,"Certeiro")&gt;0,"TR para metade",IF(AND($EX4&gt;0,$FA4=0,INDEX('DADOS_FORMAS'!$FQ$2:$FQ$21,$EL4)="Acerto"),"Acerto + TR",INDEX('DADOS_FORMAS'!$FQ$2:$FQ$21,$EL4)))))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IF($EL4=0,0,CHOOSE(1+INDEX('DADOS_FORMAS'!$FS$2:$FS$21,$EL4),0,$GV4,$GW4,$GV4+$GW4))</f>
        <v/>
      </c>
      <c r="GY4" s="161">
        <f>IF($EL4=0,0,CHOOSE(1+INDEX('DADOS_FORMAS'!$FT$2:$FT$21,$EL4),0,$GV4,$GW4,$GV4+$GW4))</f>
        <v/>
      </c>
      <c r="GZ4" s="161">
        <f>IF(OR($EK4=0,$EL4=0),"",INDEX('DADOS_FORMAS'!$GZ$2:$HE$61,($EL4-1)*3+IF($EB4&gt;=6,3,2),1+MIN(5,$GX4))&amp;INDEX('DADOS_FORMAS'!$HF$2:$HK$61,($EL4-1)*3+IF($EB4&gt;=6,3,2),1+MIN(5,$GY4))&amp;IF(INDEX('DADOS_FORMAS'!$FU$2:$FU$21,$EL4)=1,IF(COUNTIF($KW4:$KZ4,"Mais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IFERROR(VLOOKUP(SUBSTITUTE(SUBSTITUTE(SUBSTITUTE($HP4,"~","~~"),"*","~*"),"?","~?"),'DADOS_TALENTOS'!$AQ$2:$AW$34,2,FALSE),0)</f>
        <v/>
      </c>
      <c r="HR4" s="161">
        <f>IFERROR(VLOOKUP($HQ4,$CA$2:$CB$4,2,FALSE),0)</f>
        <v/>
      </c>
      <c r="HS4" s="161">
        <f>IFERROR(VLOOKUP(SUBSTITUTE(SUBSTITUTE(SUBSTITUTE($HP4,"~","~~"),"*","~*"),"?","~?"),'DADOS_TALENTOS'!$AQ$2:$AW$34,3,FALSE),"")</f>
        <v/>
      </c>
      <c r="HT4" s="161">
        <f>IF($HQ4=0,"",IF($HR4&gt;$HM$2,"⚠ Nível "&amp;$HR4,"CE "&amp;$HQ4))&amp;IF('DADOS_AM'!$LO4="",""," · ⚠ "&amp;'DADOS_AM'!$LO4)</f>
        <v/>
      </c>
      <c r="HU4" s="161">
        <f>IF($HQ4=0,"",$HQ4&amp;" esp.")</f>
        <v/>
      </c>
      <c r="HV4" s="161">
        <f>'FICHA AMALDIÇOADA'!$Q$384&amp;""</f>
        <v/>
      </c>
      <c r="HW4" s="161">
        <f>IF($HP4="","",COUNTIF($HP$2:$HP4,"?*"))</f>
        <v/>
      </c>
      <c r="HY4" s="159" t="inlineStr">
        <is>
          <t>Aptidão 3</t>
        </is>
      </c>
      <c r="HZ4" s="161">
        <f>'FICHA AMALDIÇOADA'!$P$430&amp;""</f>
        <v/>
      </c>
      <c r="IA4" s="161">
        <f>IF($HZ4="","","Requisito: "&amp;IFERROR(VLOOKUP(SUBSTITUTE(SUBSTITUTE(SUBSTITUTE($HZ4,"~","~~"),"*","~*"),"?","~?"),'DADOS_APTIDOES'!$BF$2:$BO$45,2,FALSE),""))&amp;IF($LK4="",""," · ⚠ "&amp;$LK4)</f>
        <v/>
      </c>
      <c r="IB4" s="161">
        <f>IF($HZ4="","",IFERROR(IF(ISNUMBER(VLOOKUP(SUBSTITUTE(SUBSTITUTE(SUBSTITUTE($HZ4,"~","~~"),"*","~*"),"?","~?"),'DADOS_APTIDOES'!$BF$2:$BO$45,3,FALSE)),"CE "&amp;VLOOKUP(SUBSTITUTE(SUBSTITUTE(SUBSTITUTE($HZ4,"~","~~"),"*","~*"),"?","~?"),'DADOS_APTIDOES'!$BF$2:$BO$45,3,FALSE),VLOOKUP(SUBSTITUTE(SUBSTITUTE(SUBSTITUTE($HZ4,"~","~~"),"*","~*"),"?","~?"),'DADOS_APTIDOES'!$BF$2:$BO$45,3,FALSE)),""))</f>
        <v/>
      </c>
      <c r="IC4" s="161">
        <f>IF($HZ4="","",IFERROR(VLOOKUP(SUBSTITUTE(SUBSTITUTE(SUBSTITUTE($HZ4,"~","~~"),"*","~*"),"?","~?"),'DADOS_APTIDOES'!$BF$2:$BO$45,4,FALSE),""))</f>
        <v/>
      </c>
      <c r="ID4" s="161">
        <f>IF($HZ4="","",IFERROR(VLOOKUP(SUBSTITUTE(SUBSTITUTE(SUBSTITUTE($HZ4,"~","~~"),"*","~*"),"?","~?"),'DADOS_APTIDOES'!$BF$2:$BO$45,5,FALSE),""))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IFERROR(MATCH(SUBSTITUTE(SUBSTITUTE(SUBSTITUTE($II4,"~","~~"),"*","~*"),"?","~?"),'DADOS_FORMAS'!$FJ$2:$FJ$21,0),0)</f>
        <v/>
      </c>
      <c r="IM4" s="161">
        <f>$HM$11-IF(AND($IJ4&lt;&gt;"",$IK4=""),1,0)</f>
        <v/>
      </c>
      <c r="IN4" s="161">
        <f>IF(3&gt;$HM$10,"Nível 5",IF($IL4=0,"",IF(INDEX('DADOS_FORMAS'!$FP$2:$FP$21,$IL4)&gt;=2,"—",$IM4&amp;"d8 = "&amp;FLOOR($IM4*4.5,1))))</f>
        <v/>
      </c>
      <c r="IO4" s="161">
        <f>IF(OR(3&gt;$HM$10,$IL4=0),"",INDEX('DADOS_FORMAS'!$GZ$2:$HE$61,($IL4-1)*3+1,1+IF(OR(AND($LA4="Longe",INDEX('DADOS_FORMAS'!$FS$2:$FS$21,$IL4)&lt;&gt;2),AND($LA4="Maior",INDEX('DADOS_FORMAS'!$FS$2:$FS$21,$IL4)&gt;=2)),1,0))&amp;INDEX('DADOS_FORMAS'!$HF$2:$HK$61,($IL4-1)*3+1,1+IF(AND($LA4="Longe",INDEX('DADOS_FORMAS'!$FT$2:$FT$21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IF($KG4=0,"",IF(INDEX($HV$2:$HV$13,$KG4)&lt;&gt;"",INDEX($HV$2:$HV$13,$KG4),IF(IFERROR(VLOOKUP(SUBSTITUTE(SUBSTITUTE(SUBSTITUTE(INDEX($HP$2:$HP$13,$KG4),"~","~~"),"*","~*"),"?","~?"),'DADOS_TALENTOS'!$AQ$2:$AW$34,7,FALSE),"")&lt;&gt;"","Do livro: "&amp;IFERROR(VLOOKUP(SUBSTITUTE(SUBSTITUTE(SUBSTITUTE(INDEX($HP$2:$HP$13,$KG4),"~","~~"),"*","~*"),"?","~?"),'DADOS_TALENTOS'!$AQ$2:$AW$34,7,FALSE),""),"")))</f>
        <v/>
      </c>
      <c r="KL4" s="159" t="inlineStr">
        <is>
          <t>Aptidão 1</t>
        </is>
      </c>
      <c r="KM4" s="161">
        <f>IFERROR(MATCH(1,$IF$2:$IF$13,0),0)</f>
        <v/>
      </c>
      <c r="KN4" s="161">
        <f>IF($KM4=0,"",INDEX($IB$2:$IB$13,$KM4))</f>
        <v/>
      </c>
      <c r="KO4" s="161">
        <f>IF($KM4=0,"",INDEX($HZ$2:$HZ$13,$KM4))</f>
        <v/>
      </c>
      <c r="KP4" s="161">
        <f>IF($KM4=0,"",IF(INDEX($IE$2:$IE$13,$KM4)&lt;&gt;"",INDEX($IE$2:$IE$13,$KM4),IF(IFERROR(VLOOKUP(SUBSTITUTE(SUBSTITUTE(SUBSTITUTE(INDEX($HZ$2:$HZ$13,$KM4),"~","~~"),"*","~*"),"?","~?"),'DADOS_APTIDOES'!$BF$2:$BO$45,10,FALSE),"")&lt;&gt;"","Do livro: "&amp;IFERROR(VLOOKUP(SUBSTITUTE(SUBSTITUTE(SUBSTITUTE(INDEX($HZ$2:$HZ$13,$KM4),"~","~~"),"*","~*"),"?","~?"),'DADOS_APTIDOES'!$BF$2:$BO$45,10,FALSE),""),"")))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c r="LB4">
        <f>IFERROR(INDEX('DADOS_FORMAS'!$BJ$2:$BJ$21,MATCH(SUBSTITUTE(SUBSTITUTE(SUBSTITUTE($ED4,"~","~~"),"*","~*"),"?","~?"),'DADOS_FORMAS'!$AH$2:$AH$21,0)),"")</f>
        <v/>
      </c>
      <c r="LC4">
        <f>IFERROR(VLOOKUP(SUBSTITUTE(SUBSTITUTE(SUBSTITUTE(IFERROR(INDEX('DADOS_FORMAS'!$AS$2:$AS$21,MATCH(SUBSTITUTE(SUBSTITUTE(SUBSTITUTE($ED4,"~","~~"),"*","~*"),"?","~?"),'DADOS_FORMAS'!$AH$2:$AH$21,0)),""),"~","~~"),"*","~*"),"?","~?"),'DADOS_RESTRICOES'!$M$2:$Q$54,2,FALSE),"")</f>
        <v/>
      </c>
      <c r="LD4">
        <f>$FD4</f>
        <v/>
      </c>
      <c r="LE4">
        <f>$FE4</f>
        <v/>
      </c>
      <c r="LF4">
        <f>$LC4</f>
        <v/>
      </c>
      <c r="LH4">
        <f>'FICHA AMALDIÇOADA'!$P$430&amp;""</f>
        <v/>
      </c>
      <c r="LI4">
        <f>IF($LH4="","",IF(IFERROR(INDEX('DADOS_APTIDOES'!$X$2:$X$45,MATCH(SUBSTITUTE(SUBSTITUTE(SUBSTITUTE($LH4,"~","~~"),"*","~*"),"?","~?"),'DADOS_APTIDOES'!$O$2:$O$45,0)),"")="",$LH4,IFERROR(INDEX('DADOS_APTIDOES'!$X$2:$X$45,MATCH(SUBSTITUTE(SUBSTITUTE(SUBSTITUTE($LH4,"~","~~"),"*","~*"),"?","~?"),'DADOS_APTIDOES'!$O$2:$O$45,0)),"")))</f>
        <v/>
      </c>
      <c r="LJ4">
        <f>IF(LEFT($LI4,16)="Aptidão Própria (","Aptidão Própria",IF(LEFT($LI4,15)="Bênção Própria (","Bênção Própria",$LI4))</f>
        <v/>
      </c>
      <c r="LK4">
        <f>IF($LH4="","",TEXTJOIN(" · ",TRUE,$LP4:$MJ4))</f>
        <v/>
      </c>
      <c r="LL4">
        <f>IF($LH4="",0,IF(IFERROR(INDEX('DADOS_APTIDOES'!$W$2:$W$45,MATCH(SUBSTITUTE(SUBSTITUTE(SUBSTITUTE($LH4,"~","~~"),"*","~*"),"?","~?"),'DADOS_APTIDOES'!$O$2:$O$45,0)),"")="Gratuita",0,1))</f>
        <v/>
      </c>
      <c r="LO4">
        <f>IF('FICHA AMALDIÇOADA'!$P$379="","",TEXTJOIN(" · ",TRUE,IF(COUNTIF('DADOS_TALENTOS'!$M$2:$M$34,SUBSTITUTE(SUBSTITUTE(SUBSTITUTE('FICHA AMALDIÇOADA'!$P$379,"~","~~"),"*","~*"),"?","~?"))=0,"Talento não cadastrado ou com erro",""),IF(COUNTIF('DADOS_TALENTOS'!$AV$2:$AV$34,SUBSTITUTE(SUBSTITUTE(SUBSTITUTE('FICHA AMALDIÇOADA'!$P$379,"~","~~"),"*","~*"),"?","~?"))=0,"Talento incompatível com a rota","")))</f>
        <v/>
      </c>
      <c r="LP4">
        <f>IF(COUNTIF('DADOS_APTIDOES'!$O$2:$O$45,SUBSTITUTE(SUBSTITUTE(SUBSTITUTE($LH4,"~","~~"),"*","~*"),"?","~?"))=0,"Aptidão não cadastrada ou com erro","")</f>
        <v/>
      </c>
      <c r="LQ4">
        <f>IF(COUNTIF('DADOS_APTIDOES'!$BK$2:$BK$45,SUBSTITUTE(SUBSTITUTE(SUBSTITUTE($LH4,"~","~~"),"*","~*"),"?","~?"))=0,"Rota/origem incompatível ou capacidade inicial automática","")</f>
        <v/>
      </c>
      <c r="LR4">
        <f>IF(AND(NOT(OR(FALSE)),DADOS_AM!$HM$2&lt;IFERROR(INDEX('DADOS_APTIDOES'!$U$2:$U$45,MATCH(SUBSTITUTE(SUBSTITUTE(SUBSTITUTE($LH4,"~","~~"),"*","~*"),"?","~?"),'DADOS_APTIDOES'!$O$2:$O$45,0)),1)),"Nível mínimo não atendido","")</f>
        <v/>
      </c>
      <c r="LS4">
        <f>IF(AND(NOT(OR(FALSE)),DADOS_AM!$HM$6&lt;MAX(IF(AND($LI4="Domínio Simples",FALSE,IFERROR(INDEX('DADOS_APTIDOES'!$V$2:$V$45,MATCH(SUBSTITUTE(SUBSTITUTE(SUBSTITUTE($LH4,"~","~~"),"*","~*"),"?","~?"),'DADOS_APTIDOES'!$O$2:$O$45,0)),1)=5),4,IFERROR(INDEX('DADOS_APTIDOES'!$V$2:$V$45,MATCH(SUBSTITUTE(SUBSTITUTE(SUBSTITUTE($LH4,"~","~~"),"*","~*"),"?","~?"),'DADOS_APTIDOES'!$O$2:$O$45,0)),1)),IF(IFERROR(INDEX('DADOS_APTIDOES'!$N$2:$N$45,MATCH(SUBSTITUTE(SUBSTITUTE(SUBSTITUTE($LH4,"~","~~"),"*","~*"),"?","~?"),'DADOS_APTIDOES'!$O$2:$O$45,0)),"")="Bênção",IF(IFERROR(INDEX('DADOS_APTIDOES'!$T$2:$T$45,MATCH(SUBSTITUTE(SUBSTITUTE(SUBSTITUTE($LH4,"~","~~"),"*","~*"),"?","~?"),'DADOS_APTIDOES'!$O$2:$O$45,0)),0)=3,7,IF(IFERROR(INDEX('DADOS_APTIDOES'!$T$2:$T$45,MATCH(SUBSTITUTE(SUBSTITUTE(SUBSTITUTE($LH4,"~","~~"),"*","~*"),"?","~?"),'DADOS_APTIDOES'!$O$2:$O$45,0)),0)=2,4,1)),1))),"Refino/Lapidação mínimo não atendido","")</f>
        <v/>
      </c>
      <c r="LT4">
        <f>IF(COUNTIF($LJ$2:$LJ4,SUBSTITUTE(SUBSTITUTE(SUBSTITUTE($LJ4,"~","~~"),"*","~*"),"?","~?"))&gt;1,"Aptidão/Bênção repetida","")</f>
        <v/>
      </c>
      <c r="LU4">
        <f>IF(AND(NOT(OR(FALSE)),AND($LI4="Circulação",COUNTIF($LI$2:$LI3,"Energia Reversa")=0)),"Exige aquisição anterior: Energia Reversa","")</f>
        <v/>
      </c>
      <c r="LV4">
        <f>IF(AND(NOT(OR(FALSE)),AND($LI4="Regravação",COUNTIF($LI$2:$LI3,"Circulação")=0)),"Exige aquisição anterior: Circulação","")</f>
        <v/>
      </c>
      <c r="LW4">
        <f>IF(AND(NOT(OR(FALSE)),AND($LI4="Cortina",COUNTIF($LI$2:$LI3,"Barreira Simples")=0)),"Exige aquisição anterior: Barreira Simples","")</f>
        <v/>
      </c>
      <c r="LX4">
        <f>IF(AND(NOT(OR(FALSE)),AND($LI4="Ritual",'FICHA'!AB19&lt;5)),"Exige Inteligência 5","")</f>
        <v/>
      </c>
      <c r="LY4">
        <f>IF(AND(NOT(OR(FALSE)),AND($LI4="Ímpeto",'FICHA'!L19&lt;4)),"Exige Destreza 4","")</f>
        <v/>
      </c>
      <c r="LZ4">
        <f>IF(AND(NOT(OR(FALSE)),AND($LI4="Casco",'FICHA'!T19&lt;4)),"Exige Constituição 4","")</f>
        <v/>
      </c>
      <c r="MA4">
        <f>IF(AND(NOT(OR(FALSE)),AND($LI4="Presilha",'FICHA'!D19&lt;4)),"Exige Força 4","")</f>
        <v/>
      </c>
      <c r="MB4">
        <f>IF(AND(NOT(OR(FALSE)),AND($LI4="Antecipar",'FICHA'!AB19&lt;4)),"Exige Inteligência 4","")</f>
        <v/>
      </c>
      <c r="MC4">
        <f>IF(AND(NOT(OR(FALSE)),AND($LI4="Sangue Frio",'FICHA'!T19&lt;4)),"Exige Constituição 4","")</f>
        <v/>
      </c>
      <c r="MD4">
        <f>IF(AND(NOT(OR(FALSE)),AND($LI4="Assombro",'FICHA'!AJ19&lt;4)),"Exige Essência 4","")</f>
        <v/>
      </c>
      <c r="ME4">
        <f>IF(AND(NOT(OR(FALSE)),$LI4="Cesta Oca de Vime"),"Conferir Encarnado ou treino em História","")</f>
        <v/>
      </c>
      <c r="MF4">
        <f>IF(AND(NOT(OR(FALSE)),$LI4="Pétala"),"Conferir Descendente ou aprendizado de clã","")</f>
        <v/>
      </c>
      <c r="MG4">
        <f>IF(AND(NOT(OR(FALSE)),$LI4="Domínio Simples"),"Conferir aprendizado de Domínio Simples","")</f>
        <v/>
      </c>
      <c r="MH4">
        <f>IF(AND(NOT(OR(FALSE)),$LI4="Extensão de Domínio"),"Conferir aprendizado de Extensão de Domínio","")</f>
        <v/>
      </c>
      <c r="MI4">
        <f>IF(AND(NOT(OR(FALSE)),$LI4="Ritual"),"Conferir Técnica Inata","")</f>
        <v/>
      </c>
      <c r="MJ4">
        <f>IF(AND(NOT(OR(FALSE)),AND($LI4="Represália",MAX('FICHA'!D19,'FICHA'!L19)&lt;4)),"Exige Força ou Destreza 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IFERROR(MATCH(SUBSTITUTE(SUBSTITUTE(SUBSTITUTE($ED5,"~","~~"),"*","~*"),"?","~?"),'DADOS_FORMAS'!$FJ$2:$FJ$21,0),0)</f>
        <v/>
      </c>
      <c r="EM5" s="161">
        <f>IF($EL5=0,0,INDEX('DADOS_FORMAS'!$FM$2:$FM$21,$EL5))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IF($EL5=0,0,INDEX('DADOS_FORMAS'!$FN$2:$FN$21,$EL5))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IF($EL5=0,0,INDEX('DADOS_FORMAS'!$FO$2:$FO$21,$EL5))</f>
        <v/>
      </c>
      <c r="EZ5" s="161">
        <f>IF($EL5=0,0,INDEX('DADOS_FORMAS'!$FP$2:$FP$21,$EL5))</f>
        <v/>
      </c>
      <c r="FA5" s="161">
        <f>IF($EL5=0,0,INDEX('DADOS_FORMAS'!$FR$2:$FR$21,$EL5))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IF(IFERROR(INDEX('DADOS_FORMAS'!$AS$2:$AS$21,MATCH(SUBSTITUTE(SUBSTITUTE(SUBSTITUTE($ED5,"~","~~"),"*","~*"),"?","~?"),'DADOS_FORMAS'!$AH$2:$AH$21,0)),"")="",0,IFERROR(N(VLOOKUP(SUBSTITUTE(SUBSTITUTE(SUBSTITUTE(IFERROR(INDEX('DADOS_FORMAS'!$AS$2:$AS$21,MATCH(SUBSTITUTE(SUBSTITUTE(SUBSTITUTE($ED5,"~","~~"),"*","~*"),"?","~?"),'DADOS_FORMAS'!$AH$2:$AH$21,0)),""),"~","~~"),"*","~*"),"?","~?"),'DADOS_RESTRICOES'!$M$2:$Q$54,3,FALSE)=1),0))</f>
        <v/>
      </c>
      <c r="FM5" s="161">
        <f>COUNTIF($FB5:$FC5,2)+IF(IFERROR(INDEX('DADOS_FORMAS'!$AS$2:$AS$21,MATCH(SUBSTITUTE(SUBSTITUTE(SUBSTITUTE($ED5,"~","~~"),"*","~*"),"?","~?"),'DADOS_FORMAS'!$AH$2:$AH$21,0)),"")="",0,IFERROR(N(VLOOKUP(SUBSTITUTE(SUBSTITUTE(SUBSTITUTE(IFERROR(INDEX('DADOS_FORMAS'!$AS$2:$AS$21,MATCH(SUBSTITUTE(SUBSTITUTE(SUBSTITUTE($ED5,"~","~~"),"*","~*"),"?","~?"),'DADOS_FORMAS'!$AH$2:$AH$21,0)),""),"~","~~"),"*","~*"),"?","~?"),'DADOS_RESTRICOES'!$M$2:$Q$54,3,FALSE)=2),0))</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Corpo")&gt;0,$EY5=0,OR($LB5="Cone",$LB5="Linha")),"Corpo a Corpo não entra em "&amp;$ED5,""),IF(AND(COUNTIF($FD5:$FE5,"Corpo a Corpo")&gt;0,$LC5="Corpo a Corpo"),"A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"&amp;$EJ5,""))),IF(AND($ED5&lt;&gt;"",COUNTIF('DADOS_FORMAS'!$AH$2:$AH$21,SUBSTITUTE(SUBSTITUTE(SUBSTITUTE($ED5,"~","~~"),"*","~*"),"?","~?"))=0),"Forma não cadastrada ou com erro: "&amp;$ED5,""),IF(AND(IFERROR(INDEX('DADOS_FORMAS'!$AS$2:$AS$21,MATCH(SUBSTITUTE(SUBSTITUTE(SUBSTITUTE($ED5,"~","~~"),"*","~*"),"?","~?"),'DADOS_FORMAS'!$AH$2:$AH$21,0)),"")&lt;&gt;"",OR(IFERROR(VLOOKUP(SUBSTITUTE(SUBSTITUTE(SUBSTITUTE(IFERROR(INDEX('DADOS_FORMAS'!$AS$2:$AS$21,MATCH(SUBSTITUTE(SUBSTITUTE(SUBSTITUTE($ED5,"~","~~"),"*","~*"),"?","~?"),'DADOS_FORMAS'!$AH$2:$AH$21,0)),""),"~","~~"),"*","~*"),"?","~?"),'DADOS_RESTRICOES'!$M$2:$Q$54,2,FALSE),"")=$FD5,IFERROR(VLOOKUP(SUBSTITUTE(SUBSTITUTE(SUBSTITUTE(IFERROR(INDEX('DADOS_FORMAS'!$AS$2:$AS$21,MATCH(SUBSTITUTE(SUBSTITUTE(SUBSTITUTE($ED5,"~","~~"),"*","~*"),"?","~?"),'DADOS_FORMAS'!$AH$2:$AH$21,0)),""),"~","~~"),"*","~*"),"?","~?"),'DADOS_RESTRICOES'!$M$2:$Q$54,2,FALSE),"")=$FE5)),"Restrição repetida, contando a embutida",""),IF(IF(IFERROR(INDEX('DADOS_FORMAS'!$AS$2:$AS$21,MATCH(SUBSTITUTE(SUBSTITUTE(SUBSTITUTE($ED5,"~","~~"),"*","~*"),"?","~?"),'DADOS_FORMAS'!$AH$2:$AH$21,0)),"")="",0,IFERROR(N(VLOOKUP(SUBSTITUTE(SUBSTITUTE(SUBSTITUTE(IFERROR(INDEX('DADOS_FORMAS'!$AS$2:$AS$21,MATCH(SUBSTITUTE(SUBSTITUTE(SUBSTITUTE($ED5,"~","~~"),"*","~*"),"?","~?"),'DADOS_FORMAS'!$AH$2:$AH$21,0)),""),"~","~~"),"*","~*"),"?","~?"),'DADOS_RESTRICOES'!$M$2:$Q$54,4,FALSE)=1),0))+IF($EI5="",0,IFERROR(N(VLOOKUP(SUBSTITUTE(SUBSTITUTE(SUBSTITUTE($EI5,"~","~~"),"*","~*"),"?","~?"),'DADOS_RESTRICOES'!$M$2:$Q$54,4,FALSE)=1),0))+IF($EJ5="",0,IFERROR(N(VLOOKUP(SUBSTITUTE(SUBSTITUTE(SUBSTITUTE($EJ5,"~","~~"),"*","~*"),"?","~?"),'DADOS_RESTRICOES'!$M$2:$Q$54,4,FALSE)=1),0))&gt;1,"Duas Restrições de frequência, contando a embutida",""),IF(AND(IFERROR(VLOOKUP(SUBSTITUTE(SUBSTITUTE(SUBSTITUTE(IFERROR(INDEX('DADOS_FORMAS'!$AS$2:$AS$21,MATCH(SUBSTITUTE(SUBSTITUTE(SUBSTITUTE($ED5,"~","~~"),"*","~*"),"?","~?"),'DADOS_FORMAS'!$AH$2:$AH$21,0)),""),"~","~~"),"*","~*"),"?","~?"),'DADOS_RESTRICOES'!$M$2:$Q$54,2,FALSE),"")="Tudo ou Nada",$FA5=0),"Tudo ou Nada exige TR",""),IF(AND(IFERROR(VLOOKUP(SUBSTITUTE(SUBSTITUTE(SUBSTITUTE(IFERROR(INDEX('DADOS_FORMAS'!$AS$2:$AS$21,MATCH(SUBSTITUTE(SUBSTITUTE(SUBSTITUTE($ED5,"~","~~"),"*","~*"),"?","~?"),'DADOS_FORMAS'!$AH$2:$AH$21,0)),""),"~","~~"),"*","~*"),"?","~?"),'DADOS_RESTRICOES'!$M$2:$Q$54,2,FALSE),"")="Corpo a Corpo",OR($LB5="Cone",$LB5="Linha")),"Corpo a Corpo não entra em Cone/Linha","")))</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inteira",IF(COUNTIF($LD5:$LF5,"Atrasar")&gt;0,IF(COUNTIF($LD5:$LF5,"Carregar")&gt;0,"Rodada +1 turno","Rodada inteira"),IF(COUNTIF($KW5:$KZ5,"Rápido")&gt;0,"Bônus",IF(COUNTIF($KW5:$KZ5,"Reação")&gt;0,"Reação","Padrão"))&amp;IF(COUNTIF($LD5:$LF5,"Carregar")&gt;0," +1 turno",""))))</f>
        <v/>
      </c>
      <c r="GT5" s="161">
        <f>IF(OR($EK5=0,$EL5=0),"",IF(COUNTIF($KW5:$KZ5,"Inescapável")&gt;0,"Automático",IF(COUNTIF($KW5:$KZ5,"Certeiro")&gt;0,"TR para metade",IF(AND($EX5&gt;0,$FA5=0,INDEX('DADOS_FORMAS'!$FQ$2:$FQ$21,$EL5)="Acerto"),"Acerto + TR",INDEX('DADOS_FORMAS'!$FQ$2:$FQ$21,$EL5)))))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IF($EL5=0,0,CHOOSE(1+INDEX('DADOS_FORMAS'!$FS$2:$FS$21,$EL5),0,$GV5,$GW5,$GV5+$GW5))</f>
        <v/>
      </c>
      <c r="GY5" s="161">
        <f>IF($EL5=0,0,CHOOSE(1+INDEX('DADOS_FORMAS'!$FT$2:$FT$21,$EL5),0,$GV5,$GW5,$GV5+$GW5))</f>
        <v/>
      </c>
      <c r="GZ5" s="161">
        <f>IF(OR($EK5=0,$EL5=0),"",INDEX('DADOS_FORMAS'!$GZ$2:$HE$61,($EL5-1)*3+IF($EB5&gt;=6,3,2),1+MIN(5,$GX5))&amp;INDEX('DADOS_FORMAS'!$HF$2:$HK$61,($EL5-1)*3+IF($EB5&gt;=6,3,2),1+MIN(5,$GY5))&amp;IF(INDEX('DADOS_FORMAS'!$FU$2:$FU$21,$EL5)=1,IF(COUNTIF($KW5:$KZ5,"Mais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IFERROR(VLOOKUP(SUBSTITUTE(SUBSTITUTE(SUBSTITUTE($HP5,"~","~~"),"*","~*"),"?","~?"),'DADOS_TALENTOS'!$AQ$2:$AW$34,2,FALSE),0)</f>
        <v/>
      </c>
      <c r="HR5" s="161">
        <f>IFERROR(VLOOKUP($HQ5,$CA$2:$CB$4,2,FALSE),0)</f>
        <v/>
      </c>
      <c r="HS5" s="161">
        <f>IFERROR(VLOOKUP(SUBSTITUTE(SUBSTITUTE(SUBSTITUTE($HP5,"~","~~"),"*","~*"),"?","~?"),'DADOS_TALENTOS'!$AQ$2:$AW$34,3,FALSE),"")</f>
        <v/>
      </c>
      <c r="HT5" s="161">
        <f>IF($HQ5=0,"",IF($HR5&gt;$HM$2,"⚠ Nível "&amp;$HR5,"CE "&amp;$HQ5))&amp;IF('DADOS_AM'!$LO5="",""," · ⚠ "&amp;'DADOS_AM'!$LO5)</f>
        <v/>
      </c>
      <c r="HU5" s="161">
        <f>IF($HQ5=0,"",$HQ5&amp;" esp.")</f>
        <v/>
      </c>
      <c r="HV5" s="161">
        <f>'FICHA AMALDIÇOADA'!$E$392&amp;""</f>
        <v/>
      </c>
      <c r="HW5" s="161">
        <f>IF($HP5="","",COUNTIF($HP$2:$HP5,"?*"))</f>
        <v/>
      </c>
      <c r="HY5" s="159" t="inlineStr">
        <is>
          <t>Aptidão 4</t>
        </is>
      </c>
      <c r="HZ5" s="161">
        <f>'FICHA AMALDIÇOADA'!$D$450&amp;""</f>
        <v/>
      </c>
      <c r="IA5" s="161">
        <f>IF($HZ5="","","Requisito: "&amp;IFERROR(VLOOKUP(SUBSTITUTE(SUBSTITUTE(SUBSTITUTE($HZ5,"~","~~"),"*","~*"),"?","~?"),'DADOS_APTIDOES'!$BF$2:$BO$45,2,FALSE),""))&amp;IF($LK5="",""," · ⚠ "&amp;$LK5)</f>
        <v/>
      </c>
      <c r="IB5" s="161">
        <f>IF($HZ5="","",IFERROR(IF(ISNUMBER(VLOOKUP(SUBSTITUTE(SUBSTITUTE(SUBSTITUTE($HZ5,"~","~~"),"*","~*"),"?","~?"),'DADOS_APTIDOES'!$BF$2:$BO$45,3,FALSE)),"CE "&amp;VLOOKUP(SUBSTITUTE(SUBSTITUTE(SUBSTITUTE($HZ5,"~","~~"),"*","~*"),"?","~?"),'DADOS_APTIDOES'!$BF$2:$BO$45,3,FALSE),VLOOKUP(SUBSTITUTE(SUBSTITUTE(SUBSTITUTE($HZ5,"~","~~"),"*","~*"),"?","~?"),'DADOS_APTIDOES'!$BF$2:$BO$45,3,FALSE)),""))</f>
        <v/>
      </c>
      <c r="IC5" s="161">
        <f>IF($HZ5="","",IFERROR(VLOOKUP(SUBSTITUTE(SUBSTITUTE(SUBSTITUTE($HZ5,"~","~~"),"*","~*"),"?","~?"),'DADOS_APTIDOES'!$BF$2:$BO$45,4,FALSE),""))</f>
        <v/>
      </c>
      <c r="ID5" s="161">
        <f>IF($HZ5="","",IFERROR(VLOOKUP(SUBSTITUTE(SUBSTITUTE(SUBSTITUTE($HZ5,"~","~~"),"*","~*"),"?","~?"),'DADOS_APTIDOES'!$BF$2:$BO$45,5,FALSE),""))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IFERROR(MATCH(SUBSTITUTE(SUBSTITUTE(SUBSTITUTE($II5,"~","~~"),"*","~*"),"?","~?"),'DADOS_FORMAS'!$FJ$2:$FJ$21,0),0)</f>
        <v/>
      </c>
      <c r="IM5" s="161">
        <f>$HM$11-IF(AND($IJ5&lt;&gt;"",$IK5=""),1,0)</f>
        <v/>
      </c>
      <c r="IN5" s="161">
        <f>IF(4&gt;$HM$10,"Nível 11",IF($IL5=0,"",IF(INDEX('DADOS_FORMAS'!$FP$2:$FP$21,$IL5)&gt;=2,"—",$IM5&amp;"d8 = "&amp;FLOOR($IM5*4.5,1))))</f>
        <v/>
      </c>
      <c r="IO5" s="161">
        <f>IF(OR(4&gt;$HM$10,$IL5=0),"",INDEX('DADOS_FORMAS'!$GZ$2:$HE$61,($IL5-1)*3+1,1+IF(OR(AND($LA5="Longe",INDEX('DADOS_FORMAS'!$FS$2:$FS$21,$IL5)&lt;&gt;2),AND($LA5="Maior",INDEX('DADOS_FORMAS'!$FS$2:$FS$21,$IL5)&gt;=2)),1,0))&amp;INDEX('DADOS_FORMAS'!$HF$2:$HK$61,($IL5-1)*3+1,1+IF(AND($LA5="Longe",INDEX('DADOS_FORMAS'!$FT$2:$FT$21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IF($KG5=0,"",IF(INDEX($HV$2:$HV$13,$KG5)&lt;&gt;"",INDEX($HV$2:$HV$13,$KG5),IF(IFERROR(VLOOKUP(SUBSTITUTE(SUBSTITUTE(SUBSTITUTE(INDEX($HP$2:$HP$13,$KG5),"~","~~"),"*","~*"),"?","~?"),'DADOS_TALENTOS'!$AQ$2:$AW$34,7,FALSE),"")&lt;&gt;"","Do livro: "&amp;IFERROR(VLOOKUP(SUBSTITUTE(SUBSTITUTE(SUBSTITUTE(INDEX($HP$2:$HP$13,$KG5),"~","~~"),"*","~*"),"?","~?"),'DADOS_TALENTOS'!$AQ$2:$AW$34,7,FALSE),""),"")))</f>
        <v/>
      </c>
      <c r="KL5" s="159" t="inlineStr">
        <is>
          <t>Aptidão 2</t>
        </is>
      </c>
      <c r="KM5" s="161">
        <f>IFERROR(MATCH(2,$IF$2:$IF$13,0),0)</f>
        <v/>
      </c>
      <c r="KN5" s="161">
        <f>IF($KM5=0,"",INDEX($IB$2:$IB$13,$KM5))</f>
        <v/>
      </c>
      <c r="KO5" s="161">
        <f>IF($KM5=0,"",INDEX($HZ$2:$HZ$13,$KM5))</f>
        <v/>
      </c>
      <c r="KP5" s="161">
        <f>IF($KM5=0,"",IF(INDEX($IE$2:$IE$13,$KM5)&lt;&gt;"",INDEX($IE$2:$IE$13,$KM5),IF(IFERROR(VLOOKUP(SUBSTITUTE(SUBSTITUTE(SUBSTITUTE(INDEX($HZ$2:$HZ$13,$KM5),"~","~~"),"*","~*"),"?","~?"),'DADOS_APTIDOES'!$BF$2:$BO$45,10,FALSE),"")&lt;&gt;"","Do livro: "&amp;IFERROR(VLOOKUP(SUBSTITUTE(SUBSTITUTE(SUBSTITUTE(INDEX($HZ$2:$HZ$13,$KM5),"~","~~"),"*","~*"),"?","~?"),'DADOS_APTIDOES'!$BF$2:$BO$45,10,FALSE),""),"")))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c r="LB5">
        <f>IFERROR(INDEX('DADOS_FORMAS'!$BJ$2:$BJ$21,MATCH(SUBSTITUTE(SUBSTITUTE(SUBSTITUTE($ED5,"~","~~"),"*","~*"),"?","~?"),'DADOS_FORMAS'!$AH$2:$AH$21,0)),"")</f>
        <v/>
      </c>
      <c r="LC5">
        <f>IFERROR(VLOOKUP(SUBSTITUTE(SUBSTITUTE(SUBSTITUTE(IFERROR(INDEX('DADOS_FORMAS'!$AS$2:$AS$21,MATCH(SUBSTITUTE(SUBSTITUTE(SUBSTITUTE($ED5,"~","~~"),"*","~*"),"?","~?"),'DADOS_FORMAS'!$AH$2:$AH$21,0)),""),"~","~~"),"*","~*"),"?","~?"),'DADOS_RESTRICOES'!$M$2:$Q$54,2,FALSE),"")</f>
        <v/>
      </c>
      <c r="LD5">
        <f>$FD5</f>
        <v/>
      </c>
      <c r="LE5">
        <f>$FE5</f>
        <v/>
      </c>
      <c r="LF5">
        <f>$LC5</f>
        <v/>
      </c>
      <c r="LH5">
        <f>'FICHA AMALDIÇOADA'!$D$450&amp;""</f>
        <v/>
      </c>
      <c r="LI5">
        <f>IF($LH5="","",IF(IFERROR(INDEX('DADOS_APTIDOES'!$X$2:$X$45,MATCH(SUBSTITUTE(SUBSTITUTE(SUBSTITUTE($LH5,"~","~~"),"*","~*"),"?","~?"),'DADOS_APTIDOES'!$O$2:$O$45,0)),"")="",$LH5,IFERROR(INDEX('DADOS_APTIDOES'!$X$2:$X$45,MATCH(SUBSTITUTE(SUBSTITUTE(SUBSTITUTE($LH5,"~","~~"),"*","~*"),"?","~?"),'DADOS_APTIDOES'!$O$2:$O$45,0)),"")))</f>
        <v/>
      </c>
      <c r="LJ5">
        <f>IF(LEFT($LI5,16)="Aptidão Própria (","Aptidão Própria",IF(LEFT($LI5,15)="Bênção Própria (","Bênção Própria",$LI5))</f>
        <v/>
      </c>
      <c r="LK5">
        <f>IF($LH5="","",TEXTJOIN(" · ",TRUE,$LP5:$MJ5))</f>
        <v/>
      </c>
      <c r="LL5">
        <f>IF($LH5="",0,IF(IFERROR(INDEX('DADOS_APTIDOES'!$W$2:$W$45,MATCH(SUBSTITUTE(SUBSTITUTE(SUBSTITUTE($LH5,"~","~~"),"*","~*"),"?","~?"),'DADOS_APTIDOES'!$O$2:$O$45,0)),"")="Gratuita",0,1))</f>
        <v/>
      </c>
      <c r="LO5">
        <f>IF('FICHA AMALDIÇOADA'!$D$387="","",TEXTJOIN(" · ",TRUE,IF(COUNTIF('DADOS_TALENTOS'!$M$2:$M$34,SUBSTITUTE(SUBSTITUTE(SUBSTITUTE('FICHA AMALDIÇOADA'!$D$387,"~","~~"),"*","~*"),"?","~?"))=0,"Talento não cadastrado ou com erro",""),IF(COUNTIF('DADOS_TALENTOS'!$AV$2:$AV$34,SUBSTITUTE(SUBSTITUTE(SUBSTITUTE('FICHA AMALDIÇOADA'!$D$387,"~","~~"),"*","~*"),"?","~?"))=0,"Talento incompatível com a rota","")))</f>
        <v/>
      </c>
      <c r="LP5">
        <f>IF(COUNTIF('DADOS_APTIDOES'!$O$2:$O$45,SUBSTITUTE(SUBSTITUTE(SUBSTITUTE($LH5,"~","~~"),"*","~*"),"?","~?"))=0,"Aptidão não cadastrada ou com erro","")</f>
        <v/>
      </c>
      <c r="LQ5">
        <f>IF(COUNTIF('DADOS_APTIDOES'!$BK$2:$BK$45,SUBSTITUTE(SUBSTITUTE(SUBSTITUTE($LH5,"~","~~"),"*","~*"),"?","~?"))=0,"Rota/origem incompatível ou capacidade inicial automática","")</f>
        <v/>
      </c>
      <c r="LR5">
        <f>IF(AND(NOT(OR(FALSE)),DADOS_AM!$HM$2&lt;IFERROR(INDEX('DADOS_APTIDOES'!$U$2:$U$45,MATCH(SUBSTITUTE(SUBSTITUTE(SUBSTITUTE($LH5,"~","~~"),"*","~*"),"?","~?"),'DADOS_APTIDOES'!$O$2:$O$45,0)),1)),"Nível mínimo não atendido","")</f>
        <v/>
      </c>
      <c r="LS5">
        <f>IF(AND(NOT(OR(FALSE)),DADOS_AM!$HM$6&lt;MAX(IF(AND($LI5="Domínio Simples",FALSE,IFERROR(INDEX('DADOS_APTIDOES'!$V$2:$V$45,MATCH(SUBSTITUTE(SUBSTITUTE(SUBSTITUTE($LH5,"~","~~"),"*","~*"),"?","~?"),'DADOS_APTIDOES'!$O$2:$O$45,0)),1)=5),4,IFERROR(INDEX('DADOS_APTIDOES'!$V$2:$V$45,MATCH(SUBSTITUTE(SUBSTITUTE(SUBSTITUTE($LH5,"~","~~"),"*","~*"),"?","~?"),'DADOS_APTIDOES'!$O$2:$O$45,0)),1)),IF(IFERROR(INDEX('DADOS_APTIDOES'!$N$2:$N$45,MATCH(SUBSTITUTE(SUBSTITUTE(SUBSTITUTE($LH5,"~","~~"),"*","~*"),"?","~?"),'DADOS_APTIDOES'!$O$2:$O$45,0)),"")="Bênção",IF(IFERROR(INDEX('DADOS_APTIDOES'!$T$2:$T$45,MATCH(SUBSTITUTE(SUBSTITUTE(SUBSTITUTE($LH5,"~","~~"),"*","~*"),"?","~?"),'DADOS_APTIDOES'!$O$2:$O$45,0)),0)=3,7,IF(IFERROR(INDEX('DADOS_APTIDOES'!$T$2:$T$45,MATCH(SUBSTITUTE(SUBSTITUTE(SUBSTITUTE($LH5,"~","~~"),"*","~*"),"?","~?"),'DADOS_APTIDOES'!$O$2:$O$45,0)),0)=2,4,1)),1))),"Refino/Lapidação mínimo não atendido","")</f>
        <v/>
      </c>
      <c r="LT5">
        <f>IF(COUNTIF($LJ$2:$LJ5,SUBSTITUTE(SUBSTITUTE(SUBSTITUTE($LJ5,"~","~~"),"*","~*"),"?","~?"))&gt;1,"Aptidão/Bênção repetida","")</f>
        <v/>
      </c>
      <c r="LU5">
        <f>IF(AND(NOT(OR(FALSE)),AND($LI5="Circulação",COUNTIF($LI$2:$LI4,"Energia Reversa")=0)),"Exige aquisição anterior: Energia Reversa","")</f>
        <v/>
      </c>
      <c r="LV5">
        <f>IF(AND(NOT(OR(FALSE)),AND($LI5="Regravação",COUNTIF($LI$2:$LI4,"Circulação")=0)),"Exige aquisição anterior: Circulação","")</f>
        <v/>
      </c>
      <c r="LW5">
        <f>IF(AND(NOT(OR(FALSE)),AND($LI5="Cortina",COUNTIF($LI$2:$LI4,"Barreira Simples")=0)),"Exige aquisição anterior: Barreira Simples","")</f>
        <v/>
      </c>
      <c r="LX5">
        <f>IF(AND(NOT(OR(FALSE)),AND($LI5="Ritual",'FICHA'!AB19&lt;5)),"Exige Inteligência 5","")</f>
        <v/>
      </c>
      <c r="LY5">
        <f>IF(AND(NOT(OR(FALSE)),AND($LI5="Ímpeto",'FICHA'!L19&lt;4)),"Exige Destreza 4","")</f>
        <v/>
      </c>
      <c r="LZ5">
        <f>IF(AND(NOT(OR(FALSE)),AND($LI5="Casco",'FICHA'!T19&lt;4)),"Exige Constituição 4","")</f>
        <v/>
      </c>
      <c r="MA5">
        <f>IF(AND(NOT(OR(FALSE)),AND($LI5="Presilha",'FICHA'!D19&lt;4)),"Exige Força 4","")</f>
        <v/>
      </c>
      <c r="MB5">
        <f>IF(AND(NOT(OR(FALSE)),AND($LI5="Antecipar",'FICHA'!AB19&lt;4)),"Exige Inteligência 4","")</f>
        <v/>
      </c>
      <c r="MC5">
        <f>IF(AND(NOT(OR(FALSE)),AND($LI5="Sangue Frio",'FICHA'!T19&lt;4)),"Exige Constituição 4","")</f>
        <v/>
      </c>
      <c r="MD5">
        <f>IF(AND(NOT(OR(FALSE)),AND($LI5="Assombro",'FICHA'!AJ19&lt;4)),"Exige Essência 4","")</f>
        <v/>
      </c>
      <c r="ME5">
        <f>IF(AND(NOT(OR(FALSE)),$LI5="Cesta Oca de Vime"),"Conferir Encarnado ou treino em História","")</f>
        <v/>
      </c>
      <c r="MF5">
        <f>IF(AND(NOT(OR(FALSE)),$LI5="Pétala"),"Conferir Descendente ou aprendizado de clã","")</f>
        <v/>
      </c>
      <c r="MG5">
        <f>IF(AND(NOT(OR(FALSE)),$LI5="Domínio Simples"),"Conferir aprendizado de Domínio Simples","")</f>
        <v/>
      </c>
      <c r="MH5">
        <f>IF(AND(NOT(OR(FALSE)),$LI5="Extensão de Domínio"),"Conferir aprendizado de Extensão de Domínio","")</f>
        <v/>
      </c>
      <c r="MI5">
        <f>IF(AND(NOT(OR(FALSE)),$LI5="Ritual"),"Conferir Técnica Inata","")</f>
        <v/>
      </c>
      <c r="MJ5">
        <f>IF(AND(NOT(OR(FALSE)),AND($LI5="Represália",MAX('FICHA'!D19,'FICHA'!L19)&lt;4)),"Exige Força ou Destreza 4","")</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IFERROR(MATCH(SUBSTITUTE(SUBSTITUTE(SUBSTITUTE($ED6,"~","~~"),"*","~*"),"?","~?"),'DADOS_FORMAS'!$FJ$2:$FJ$21,0),0)</f>
        <v/>
      </c>
      <c r="EM6" s="161">
        <f>IF($EL6=0,0,INDEX('DADOS_FORMAS'!$FM$2:$FM$21,$EL6))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IF($EL6=0,0,INDEX('DADOS_FORMAS'!$FN$2:$FN$21,$EL6))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IF($EL6=0,0,INDEX('DADOS_FORMAS'!$FO$2:$FO$21,$EL6))</f>
        <v/>
      </c>
      <c r="EZ6" s="161">
        <f>IF($EL6=0,0,INDEX('DADOS_FORMAS'!$FP$2:$FP$21,$EL6))</f>
        <v/>
      </c>
      <c r="FA6" s="161">
        <f>IF($EL6=0,0,INDEX('DADOS_FORMAS'!$FR$2:$FR$21,$EL6))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IF(IFERROR(INDEX('DADOS_FORMAS'!$AS$2:$AS$21,MATCH(SUBSTITUTE(SUBSTITUTE(SUBSTITUTE($ED6,"~","~~"),"*","~*"),"?","~?"),'DADOS_FORMAS'!$AH$2:$AH$21,0)),"")="",0,IFERROR(N(VLOOKUP(SUBSTITUTE(SUBSTITUTE(SUBSTITUTE(IFERROR(INDEX('DADOS_FORMAS'!$AS$2:$AS$21,MATCH(SUBSTITUTE(SUBSTITUTE(SUBSTITUTE($ED6,"~","~~"),"*","~*"),"?","~?"),'DADOS_FORMAS'!$AH$2:$AH$21,0)),""),"~","~~"),"*","~*"),"?","~?"),'DADOS_RESTRICOES'!$M$2:$Q$54,3,FALSE)=1),0))</f>
        <v/>
      </c>
      <c r="FM6" s="161">
        <f>COUNTIF($FB6:$FC6,2)+IF(IFERROR(INDEX('DADOS_FORMAS'!$AS$2:$AS$21,MATCH(SUBSTITUTE(SUBSTITUTE(SUBSTITUTE($ED6,"~","~~"),"*","~*"),"?","~?"),'DADOS_FORMAS'!$AH$2:$AH$21,0)),"")="",0,IFERROR(N(VLOOKUP(SUBSTITUTE(SUBSTITUTE(SUBSTITUTE(IFERROR(INDEX('DADOS_FORMAS'!$AS$2:$AS$21,MATCH(SUBSTITUTE(SUBSTITUTE(SUBSTITUTE($ED6,"~","~~"),"*","~*"),"?","~?"),'DADOS_FORMAS'!$AH$2:$AH$21,0)),""),"~","~~"),"*","~*"),"?","~?"),'DADOS_RESTRICOES'!$M$2:$Q$54,3,FALSE)=2),0))</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Corpo")&gt;0,$EY6=0,OR($LB6="Cone",$LB6="Linha")),"Corpo a Corpo não entra em "&amp;$ED6,""),IF(AND(COUNTIF($FD6:$FE6,"Corpo a Corpo")&gt;0,$LC6="Corpo a Corpo"),"A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"&amp;$EJ6,""))),IF(AND($ED6&lt;&gt;"",COUNTIF('DADOS_FORMAS'!$AH$2:$AH$21,SUBSTITUTE(SUBSTITUTE(SUBSTITUTE($ED6,"~","~~"),"*","~*"),"?","~?"))=0),"Forma não cadastrada ou com erro: "&amp;$ED6,""),IF(AND(IFERROR(INDEX('DADOS_FORMAS'!$AS$2:$AS$21,MATCH(SUBSTITUTE(SUBSTITUTE(SUBSTITUTE($ED6,"~","~~"),"*","~*"),"?","~?"),'DADOS_FORMAS'!$AH$2:$AH$21,0)),"")&lt;&gt;"",OR(IFERROR(VLOOKUP(SUBSTITUTE(SUBSTITUTE(SUBSTITUTE(IFERROR(INDEX('DADOS_FORMAS'!$AS$2:$AS$21,MATCH(SUBSTITUTE(SUBSTITUTE(SUBSTITUTE($ED6,"~","~~"),"*","~*"),"?","~?"),'DADOS_FORMAS'!$AH$2:$AH$21,0)),""),"~","~~"),"*","~*"),"?","~?"),'DADOS_RESTRICOES'!$M$2:$Q$54,2,FALSE),"")=$FD6,IFERROR(VLOOKUP(SUBSTITUTE(SUBSTITUTE(SUBSTITUTE(IFERROR(INDEX('DADOS_FORMAS'!$AS$2:$AS$21,MATCH(SUBSTITUTE(SUBSTITUTE(SUBSTITUTE($ED6,"~","~~"),"*","~*"),"?","~?"),'DADOS_FORMAS'!$AH$2:$AH$21,0)),""),"~","~~"),"*","~*"),"?","~?"),'DADOS_RESTRICOES'!$M$2:$Q$54,2,FALSE),"")=$FE6)),"Restrição repetida, contando a embutida",""),IF(IF(IFERROR(INDEX('DADOS_FORMAS'!$AS$2:$AS$21,MATCH(SUBSTITUTE(SUBSTITUTE(SUBSTITUTE($ED6,"~","~~"),"*","~*"),"?","~?"),'DADOS_FORMAS'!$AH$2:$AH$21,0)),"")="",0,IFERROR(N(VLOOKUP(SUBSTITUTE(SUBSTITUTE(SUBSTITUTE(IFERROR(INDEX('DADOS_FORMAS'!$AS$2:$AS$21,MATCH(SUBSTITUTE(SUBSTITUTE(SUBSTITUTE($ED6,"~","~~"),"*","~*"),"?","~?"),'DADOS_FORMAS'!$AH$2:$AH$21,0)),""),"~","~~"),"*","~*"),"?","~?"),'DADOS_RESTRICOES'!$M$2:$Q$54,4,FALSE)=1),0))+IF($EI6="",0,IFERROR(N(VLOOKUP(SUBSTITUTE(SUBSTITUTE(SUBSTITUTE($EI6,"~","~~"),"*","~*"),"?","~?"),'DADOS_RESTRICOES'!$M$2:$Q$54,4,FALSE)=1),0))+IF($EJ6="",0,IFERROR(N(VLOOKUP(SUBSTITUTE(SUBSTITUTE(SUBSTITUTE($EJ6,"~","~~"),"*","~*"),"?","~?"),'DADOS_RESTRICOES'!$M$2:$Q$54,4,FALSE)=1),0))&gt;1,"Duas Restrições de frequência, contando a embutida",""),IF(AND(IFERROR(VLOOKUP(SUBSTITUTE(SUBSTITUTE(SUBSTITUTE(IFERROR(INDEX('DADOS_FORMAS'!$AS$2:$AS$21,MATCH(SUBSTITUTE(SUBSTITUTE(SUBSTITUTE($ED6,"~","~~"),"*","~*"),"?","~?"),'DADOS_FORMAS'!$AH$2:$AH$21,0)),""),"~","~~"),"*","~*"),"?","~?"),'DADOS_RESTRICOES'!$M$2:$Q$54,2,FALSE),"")="Tudo ou Nada",$FA6=0),"Tudo ou Nada exige TR",""),IF(AND(IFERROR(VLOOKUP(SUBSTITUTE(SUBSTITUTE(SUBSTITUTE(IFERROR(INDEX('DADOS_FORMAS'!$AS$2:$AS$21,MATCH(SUBSTITUTE(SUBSTITUTE(SUBSTITUTE($ED6,"~","~~"),"*","~*"),"?","~?"),'DADOS_FORMAS'!$AH$2:$AH$21,0)),""),"~","~~"),"*","~*"),"?","~?"),'DADOS_RESTRICOES'!$M$2:$Q$54,2,FALSE),"")="Corpo a Corpo",OR($LB6="Cone",$LB6="Linha")),"Corpo a Corpo não entra em Cone/Linha","")))</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inteira",IF(COUNTIF($LD6:$LF6,"Atrasar")&gt;0,IF(COUNTIF($LD6:$LF6,"Carregar")&gt;0,"Rodada +1 turno","Rodada inteira"),IF(COUNTIF($KW6:$KZ6,"Rápido")&gt;0,"Bônus",IF(COUNTIF($KW6:$KZ6,"Reação")&gt;0,"Reação","Padrão"))&amp;IF(COUNTIF($LD6:$LF6,"Carregar")&gt;0," +1 turno",""))))</f>
        <v/>
      </c>
      <c r="GT6" s="161">
        <f>IF(OR($EK6=0,$EL6=0),"",IF(COUNTIF($KW6:$KZ6,"Inescapável")&gt;0,"Automático",IF(COUNTIF($KW6:$KZ6,"Certeiro")&gt;0,"TR para metade",IF(AND($EX6&gt;0,$FA6=0,INDEX('DADOS_FORMAS'!$FQ$2:$FQ$21,$EL6)="Acerto"),"Acerto + TR",INDEX('DADOS_FORMAS'!$FQ$2:$FQ$21,$EL6)))))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IF($EL6=0,0,CHOOSE(1+INDEX('DADOS_FORMAS'!$FS$2:$FS$21,$EL6),0,$GV6,$GW6,$GV6+$GW6))</f>
        <v/>
      </c>
      <c r="GY6" s="161">
        <f>IF($EL6=0,0,CHOOSE(1+INDEX('DADOS_FORMAS'!$FT$2:$FT$21,$EL6),0,$GV6,$GW6,$GV6+$GW6))</f>
        <v/>
      </c>
      <c r="GZ6" s="161">
        <f>IF(OR($EK6=0,$EL6=0),"",INDEX('DADOS_FORMAS'!$GZ$2:$HE$61,($EL6-1)*3+IF($EB6&gt;=6,3,2),1+MIN(5,$GX6))&amp;INDEX('DADOS_FORMAS'!$HF$2:$HK$61,($EL6-1)*3+IF($EB6&gt;=6,3,2),1+MIN(5,$GY6))&amp;IF(INDEX('DADOS_FORMAS'!$FU$2:$FU$21,$EL6)=1,IF(COUNTIF($KW6:$KZ6,"Mais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IFERROR(VLOOKUP(SUBSTITUTE(SUBSTITUTE(SUBSTITUTE($HP6,"~","~~"),"*","~*"),"?","~?"),'DADOS_TALENTOS'!$AQ$2:$AW$34,2,FALSE),0)</f>
        <v/>
      </c>
      <c r="HR6" s="161">
        <f>IFERROR(VLOOKUP($HQ6,$CA$2:$CB$4,2,FALSE),0)</f>
        <v/>
      </c>
      <c r="HS6" s="161">
        <f>IFERROR(VLOOKUP(SUBSTITUTE(SUBSTITUTE(SUBSTITUTE($HP6,"~","~~"),"*","~*"),"?","~?"),'DADOS_TALENTOS'!$AQ$2:$AW$34,3,FALSE),"")</f>
        <v/>
      </c>
      <c r="HT6" s="161">
        <f>IF($HQ6=0,"",IF($HR6&gt;$HM$2,"⚠ Nível "&amp;$HR6,"CE "&amp;$HQ6))&amp;IF('DADOS_AM'!$LO6="",""," · ⚠ "&amp;'DADOS_AM'!$LO6)</f>
        <v/>
      </c>
      <c r="HU6" s="161">
        <f>IF($HQ6=0,"",$HQ6&amp;" esp.")</f>
        <v/>
      </c>
      <c r="HV6" s="161">
        <f>'FICHA AMALDIÇOADA'!$K$392&amp;""</f>
        <v/>
      </c>
      <c r="HW6" s="161">
        <f>IF($HP6="","",COUNTIF($HP$2:$HP6,"?*"))</f>
        <v/>
      </c>
      <c r="HY6" s="159" t="inlineStr">
        <is>
          <t>Aptidão 5</t>
        </is>
      </c>
      <c r="HZ6" s="161">
        <f>'FICHA AMALDIÇOADA'!$J$450&amp;""</f>
        <v/>
      </c>
      <c r="IA6" s="161">
        <f>IF($HZ6="","","Requisito: "&amp;IFERROR(VLOOKUP(SUBSTITUTE(SUBSTITUTE(SUBSTITUTE($HZ6,"~","~~"),"*","~*"),"?","~?"),'DADOS_APTIDOES'!$BF$2:$BO$45,2,FALSE),""))&amp;IF($LK6="",""," · ⚠ "&amp;$LK6)</f>
        <v/>
      </c>
      <c r="IB6" s="161">
        <f>IF($HZ6="","",IFERROR(IF(ISNUMBER(VLOOKUP(SUBSTITUTE(SUBSTITUTE(SUBSTITUTE($HZ6,"~","~~"),"*","~*"),"?","~?"),'DADOS_APTIDOES'!$BF$2:$BO$45,3,FALSE)),"CE "&amp;VLOOKUP(SUBSTITUTE(SUBSTITUTE(SUBSTITUTE($HZ6,"~","~~"),"*","~*"),"?","~?"),'DADOS_APTIDOES'!$BF$2:$BO$45,3,FALSE),VLOOKUP(SUBSTITUTE(SUBSTITUTE(SUBSTITUTE($HZ6,"~","~~"),"*","~*"),"?","~?"),'DADOS_APTIDOES'!$BF$2:$BO$45,3,FALSE)),""))</f>
        <v/>
      </c>
      <c r="IC6" s="161">
        <f>IF($HZ6="","",IFERROR(VLOOKUP(SUBSTITUTE(SUBSTITUTE(SUBSTITUTE($HZ6,"~","~~"),"*","~*"),"?","~?"),'DADOS_APTIDOES'!$BF$2:$BO$45,4,FALSE),""))</f>
        <v/>
      </c>
      <c r="ID6" s="161">
        <f>IF($HZ6="","",IFERROR(VLOOKUP(SUBSTITUTE(SUBSTITUTE(SUBSTITUTE($HZ6,"~","~~"),"*","~*"),"?","~?"),'DADOS_APTIDOES'!$BF$2:$BO$45,5,FALSE),""))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IFERROR(MATCH(SUBSTITUTE(SUBSTITUTE(SUBSTITUTE($II6,"~","~~"),"*","~*"),"?","~?"),'DADOS_FORMAS'!$FJ$2:$FJ$21,0),0)</f>
        <v/>
      </c>
      <c r="IM6" s="161">
        <f>$HM$11-IF(AND($IJ6&lt;&gt;"",$IK6=""),1,0)</f>
        <v/>
      </c>
      <c r="IN6" s="161">
        <f>IF(5&gt;$HM$10,"Nível 17",IF($IL6=0,"",IF(INDEX('DADOS_FORMAS'!$FP$2:$FP$21,$IL6)&gt;=2,"—",$IM6&amp;"d8 = "&amp;FLOOR($IM6*4.5,1))))</f>
        <v/>
      </c>
      <c r="IO6" s="161">
        <f>IF(OR(5&gt;$HM$10,$IL6=0),"",INDEX('DADOS_FORMAS'!$GZ$2:$HE$61,($IL6-1)*3+1,1+IF(OR(AND($LA6="Longe",INDEX('DADOS_FORMAS'!$FS$2:$FS$21,$IL6)&lt;&gt;2),AND($LA6="Maior",INDEX('DADOS_FORMAS'!$FS$2:$FS$21,$IL6)&gt;=2)),1,0))&amp;INDEX('DADOS_FORMAS'!$HF$2:$HK$61,($IL6-1)*3+1,1+IF(AND($LA6="Longe",INDEX('DADOS_FORMAS'!$FT$2:$FT$21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IF($KG6=0,"",IF(INDEX($HV$2:$HV$13,$KG6)&lt;&gt;"",INDEX($HV$2:$HV$13,$KG6),IF(IFERROR(VLOOKUP(SUBSTITUTE(SUBSTITUTE(SUBSTITUTE(INDEX($HP$2:$HP$13,$KG6),"~","~~"),"*","~*"),"?","~?"),'DADOS_TALENTOS'!$AQ$2:$AW$34,7,FALSE),"")&lt;&gt;"","Do livro: "&amp;IFERROR(VLOOKUP(SUBSTITUTE(SUBSTITUTE(SUBSTITUTE(INDEX($HP$2:$HP$13,$KG6),"~","~~"),"*","~*"),"?","~?"),'DADOS_TALENTOS'!$AQ$2:$AW$34,7,FALSE),""),"")))</f>
        <v/>
      </c>
      <c r="KL6" s="159" t="inlineStr">
        <is>
          <t>Aptidão 3</t>
        </is>
      </c>
      <c r="KM6" s="161">
        <f>IFERROR(MATCH(3,$IF$2:$IF$13,0),0)</f>
        <v/>
      </c>
      <c r="KN6" s="161">
        <f>IF($KM6=0,"",INDEX($IB$2:$IB$13,$KM6))</f>
        <v/>
      </c>
      <c r="KO6" s="161">
        <f>IF($KM6=0,"",INDEX($HZ$2:$HZ$13,$KM6))</f>
        <v/>
      </c>
      <c r="KP6" s="161">
        <f>IF($KM6=0,"",IF(INDEX($IE$2:$IE$13,$KM6)&lt;&gt;"",INDEX($IE$2:$IE$13,$KM6),IF(IFERROR(VLOOKUP(SUBSTITUTE(SUBSTITUTE(SUBSTITUTE(INDEX($HZ$2:$HZ$13,$KM6),"~","~~"),"*","~*"),"?","~?"),'DADOS_APTIDOES'!$BF$2:$BO$45,10,FALSE),"")&lt;&gt;"","Do livro: "&amp;IFERROR(VLOOKUP(SUBSTITUTE(SUBSTITUTE(SUBSTITUTE(INDEX($HZ$2:$HZ$13,$KM6),"~","~~"),"*","~*"),"?","~?"),'DADOS_APTIDOES'!$BF$2:$BO$45,10,FALSE),""),"")))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c r="LB6">
        <f>IFERROR(INDEX('DADOS_FORMAS'!$BJ$2:$BJ$21,MATCH(SUBSTITUTE(SUBSTITUTE(SUBSTITUTE($ED6,"~","~~"),"*","~*"),"?","~?"),'DADOS_FORMAS'!$AH$2:$AH$21,0)),"")</f>
        <v/>
      </c>
      <c r="LC6">
        <f>IFERROR(VLOOKUP(SUBSTITUTE(SUBSTITUTE(SUBSTITUTE(IFERROR(INDEX('DADOS_FORMAS'!$AS$2:$AS$21,MATCH(SUBSTITUTE(SUBSTITUTE(SUBSTITUTE($ED6,"~","~~"),"*","~*"),"?","~?"),'DADOS_FORMAS'!$AH$2:$AH$21,0)),""),"~","~~"),"*","~*"),"?","~?"),'DADOS_RESTRICOES'!$M$2:$Q$54,2,FALSE),"")</f>
        <v/>
      </c>
      <c r="LD6">
        <f>$FD6</f>
        <v/>
      </c>
      <c r="LE6">
        <f>$FE6</f>
        <v/>
      </c>
      <c r="LF6">
        <f>$LC6</f>
        <v/>
      </c>
      <c r="LH6">
        <f>'FICHA AMALDIÇOADA'!$J$450&amp;""</f>
        <v/>
      </c>
      <c r="LI6">
        <f>IF($LH6="","",IF(IFERROR(INDEX('DADOS_APTIDOES'!$X$2:$X$45,MATCH(SUBSTITUTE(SUBSTITUTE(SUBSTITUTE($LH6,"~","~~"),"*","~*"),"?","~?"),'DADOS_APTIDOES'!$O$2:$O$45,0)),"")="",$LH6,IFERROR(INDEX('DADOS_APTIDOES'!$X$2:$X$45,MATCH(SUBSTITUTE(SUBSTITUTE(SUBSTITUTE($LH6,"~","~~"),"*","~*"),"?","~?"),'DADOS_APTIDOES'!$O$2:$O$45,0)),"")))</f>
        <v/>
      </c>
      <c r="LJ6">
        <f>IF(LEFT($LI6,16)="Aptidão Própria (","Aptidão Própria",IF(LEFT($LI6,15)="Bênção Própria (","Bênção Própria",$LI6))</f>
        <v/>
      </c>
      <c r="LK6">
        <f>IF($LH6="","",TEXTJOIN(" · ",TRUE,$LP6:$MJ6))</f>
        <v/>
      </c>
      <c r="LL6">
        <f>IF($LH6="",0,IF(IFERROR(INDEX('DADOS_APTIDOES'!$W$2:$W$45,MATCH(SUBSTITUTE(SUBSTITUTE(SUBSTITUTE($LH6,"~","~~"),"*","~*"),"?","~?"),'DADOS_APTIDOES'!$O$2:$O$45,0)),"")="Gratuita",0,1))</f>
        <v/>
      </c>
      <c r="LO6">
        <f>IF('FICHA AMALDIÇOADA'!$J$387="","",TEXTJOIN(" · ",TRUE,IF(COUNTIF('DADOS_TALENTOS'!$M$2:$M$34,SUBSTITUTE(SUBSTITUTE(SUBSTITUTE('FICHA AMALDIÇOADA'!$J$387,"~","~~"),"*","~*"),"?","~?"))=0,"Talento não cadastrado ou com erro",""),IF(COUNTIF('DADOS_TALENTOS'!$AV$2:$AV$34,SUBSTITUTE(SUBSTITUTE(SUBSTITUTE('FICHA AMALDIÇOADA'!$J$387,"~","~~"),"*","~*"),"?","~?"))=0,"Talento incompatível com a rota","")))</f>
        <v/>
      </c>
      <c r="LP6">
        <f>IF(COUNTIF('DADOS_APTIDOES'!$O$2:$O$45,SUBSTITUTE(SUBSTITUTE(SUBSTITUTE($LH6,"~","~~"),"*","~*"),"?","~?"))=0,"Aptidão não cadastrada ou com erro","")</f>
        <v/>
      </c>
      <c r="LQ6">
        <f>IF(COUNTIF('DADOS_APTIDOES'!$BK$2:$BK$45,SUBSTITUTE(SUBSTITUTE(SUBSTITUTE($LH6,"~","~~"),"*","~*"),"?","~?"))=0,"Rota/origem incompatível ou capacidade inicial automática","")</f>
        <v/>
      </c>
      <c r="LR6">
        <f>IF(AND(NOT(OR(FALSE)),DADOS_AM!$HM$2&lt;IFERROR(INDEX('DADOS_APTIDOES'!$U$2:$U$45,MATCH(SUBSTITUTE(SUBSTITUTE(SUBSTITUTE($LH6,"~","~~"),"*","~*"),"?","~?"),'DADOS_APTIDOES'!$O$2:$O$45,0)),1)),"Nível mínimo não atendido","")</f>
        <v/>
      </c>
      <c r="LS6">
        <f>IF(AND(NOT(OR(FALSE)),DADOS_AM!$HM$6&lt;MAX(IF(AND($LI6="Domínio Simples",FALSE,IFERROR(INDEX('DADOS_APTIDOES'!$V$2:$V$45,MATCH(SUBSTITUTE(SUBSTITUTE(SUBSTITUTE($LH6,"~","~~"),"*","~*"),"?","~?"),'DADOS_APTIDOES'!$O$2:$O$45,0)),1)=5),4,IFERROR(INDEX('DADOS_APTIDOES'!$V$2:$V$45,MATCH(SUBSTITUTE(SUBSTITUTE(SUBSTITUTE($LH6,"~","~~"),"*","~*"),"?","~?"),'DADOS_APTIDOES'!$O$2:$O$45,0)),1)),IF(IFERROR(INDEX('DADOS_APTIDOES'!$N$2:$N$45,MATCH(SUBSTITUTE(SUBSTITUTE(SUBSTITUTE($LH6,"~","~~"),"*","~*"),"?","~?"),'DADOS_APTIDOES'!$O$2:$O$45,0)),"")="Bênção",IF(IFERROR(INDEX('DADOS_APTIDOES'!$T$2:$T$45,MATCH(SUBSTITUTE(SUBSTITUTE(SUBSTITUTE($LH6,"~","~~"),"*","~*"),"?","~?"),'DADOS_APTIDOES'!$O$2:$O$45,0)),0)=3,7,IF(IFERROR(INDEX('DADOS_APTIDOES'!$T$2:$T$45,MATCH(SUBSTITUTE(SUBSTITUTE(SUBSTITUTE($LH6,"~","~~"),"*","~*"),"?","~?"),'DADOS_APTIDOES'!$O$2:$O$45,0)),0)=2,4,1)),1))),"Refino/Lapidação mínimo não atendido","")</f>
        <v/>
      </c>
      <c r="LT6">
        <f>IF(COUNTIF($LJ$2:$LJ6,SUBSTITUTE(SUBSTITUTE(SUBSTITUTE($LJ6,"~","~~"),"*","~*"),"?","~?"))&gt;1,"Aptidão/Bênção repetida","")</f>
        <v/>
      </c>
      <c r="LU6">
        <f>IF(AND(NOT(OR(FALSE)),AND($LI6="Circulação",COUNTIF($LI$2:$LI5,"Energia Reversa")=0)),"Exige aquisição anterior: Energia Reversa","")</f>
        <v/>
      </c>
      <c r="LV6">
        <f>IF(AND(NOT(OR(FALSE)),AND($LI6="Regravação",COUNTIF($LI$2:$LI5,"Circulação")=0)),"Exige aquisição anterior: Circulação","")</f>
        <v/>
      </c>
      <c r="LW6">
        <f>IF(AND(NOT(OR(FALSE)),AND($LI6="Cortina",COUNTIF($LI$2:$LI5,"Barreira Simples")=0)),"Exige aquisição anterior: Barreira Simples","")</f>
        <v/>
      </c>
      <c r="LX6">
        <f>IF(AND(NOT(OR(FALSE)),AND($LI6="Ritual",'FICHA'!AB19&lt;5)),"Exige Inteligência 5","")</f>
        <v/>
      </c>
      <c r="LY6">
        <f>IF(AND(NOT(OR(FALSE)),AND($LI6="Ímpeto",'FICHA'!L19&lt;4)),"Exige Destreza 4","")</f>
        <v/>
      </c>
      <c r="LZ6">
        <f>IF(AND(NOT(OR(FALSE)),AND($LI6="Casco",'FICHA'!T19&lt;4)),"Exige Constituição 4","")</f>
        <v/>
      </c>
      <c r="MA6">
        <f>IF(AND(NOT(OR(FALSE)),AND($LI6="Presilha",'FICHA'!D19&lt;4)),"Exige Força 4","")</f>
        <v/>
      </c>
      <c r="MB6">
        <f>IF(AND(NOT(OR(FALSE)),AND($LI6="Antecipar",'FICHA'!AB19&lt;4)),"Exige Inteligência 4","")</f>
        <v/>
      </c>
      <c r="MC6">
        <f>IF(AND(NOT(OR(FALSE)),AND($LI6="Sangue Frio",'FICHA'!T19&lt;4)),"Exige Constituição 4","")</f>
        <v/>
      </c>
      <c r="MD6">
        <f>IF(AND(NOT(OR(FALSE)),AND($LI6="Assombro",'FICHA'!AJ19&lt;4)),"Exige Essência 4","")</f>
        <v/>
      </c>
      <c r="ME6">
        <f>IF(AND(NOT(OR(FALSE)),$LI6="Cesta Oca de Vime"),"Conferir Encarnado ou treino em História","")</f>
        <v/>
      </c>
      <c r="MF6">
        <f>IF(AND(NOT(OR(FALSE)),$LI6="Pétala"),"Conferir Descendente ou aprendizado de clã","")</f>
        <v/>
      </c>
      <c r="MG6">
        <f>IF(AND(NOT(OR(FALSE)),$LI6="Domínio Simples"),"Conferir aprendizado de Domínio Simples","")</f>
        <v/>
      </c>
      <c r="MH6">
        <f>IF(AND(NOT(OR(FALSE)),$LI6="Extensão de Domínio"),"Conferir aprendizado de Extensão de Domínio","")</f>
        <v/>
      </c>
      <c r="MI6">
        <f>IF(AND(NOT(OR(FALSE)),$LI6="Ritual"),"Conferir Técnica Inata","")</f>
        <v/>
      </c>
      <c r="MJ6">
        <f>IF(AND(NOT(OR(FALSE)),AND($LI6="Represália",MAX('FICHA'!D19,'FICHA'!L19)&lt;4)),"Exige Força ou Destreza 4","")</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IFERROR(MATCH(SUBSTITUTE(SUBSTITUTE(SUBSTITUTE($ED7,"~","~~"),"*","~*"),"?","~?"),'DADOS_FORMAS'!$FJ$2:$FJ$21,0),0)</f>
        <v/>
      </c>
      <c r="EM7" s="161">
        <f>IF($EL7=0,0,INDEX('DADOS_FORMAS'!$FM$2:$FM$21,$EL7))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IF($EL7=0,0,INDEX('DADOS_FORMAS'!$FN$2:$FN$21,$EL7))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IF($EL7=0,0,INDEX('DADOS_FORMAS'!$FO$2:$FO$21,$EL7))</f>
        <v/>
      </c>
      <c r="EZ7" s="161">
        <f>IF($EL7=0,0,INDEX('DADOS_FORMAS'!$FP$2:$FP$21,$EL7))</f>
        <v/>
      </c>
      <c r="FA7" s="161">
        <f>IF($EL7=0,0,INDEX('DADOS_FORMAS'!$FR$2:$FR$21,$EL7))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IF(IFERROR(INDEX('DADOS_FORMAS'!$AS$2:$AS$21,MATCH(SUBSTITUTE(SUBSTITUTE(SUBSTITUTE($ED7,"~","~~"),"*","~*"),"?","~?"),'DADOS_FORMAS'!$AH$2:$AH$21,0)),"")="",0,IFERROR(N(VLOOKUP(SUBSTITUTE(SUBSTITUTE(SUBSTITUTE(IFERROR(INDEX('DADOS_FORMAS'!$AS$2:$AS$21,MATCH(SUBSTITUTE(SUBSTITUTE(SUBSTITUTE($ED7,"~","~~"),"*","~*"),"?","~?"),'DADOS_FORMAS'!$AH$2:$AH$21,0)),""),"~","~~"),"*","~*"),"?","~?"),'DADOS_RESTRICOES'!$M$2:$Q$54,3,FALSE)=1),0))</f>
        <v/>
      </c>
      <c r="FM7" s="161">
        <f>COUNTIF($FB7:$FC7,2)+IF(IFERROR(INDEX('DADOS_FORMAS'!$AS$2:$AS$21,MATCH(SUBSTITUTE(SUBSTITUTE(SUBSTITUTE($ED7,"~","~~"),"*","~*"),"?","~?"),'DADOS_FORMAS'!$AH$2:$AH$21,0)),"")="",0,IFERROR(N(VLOOKUP(SUBSTITUTE(SUBSTITUTE(SUBSTITUTE(IFERROR(INDEX('DADOS_FORMAS'!$AS$2:$AS$21,MATCH(SUBSTITUTE(SUBSTITUTE(SUBSTITUTE($ED7,"~","~~"),"*","~*"),"?","~?"),'DADOS_FORMAS'!$AH$2:$AH$21,0)),""),"~","~~"),"*","~*"),"?","~?"),'DADOS_RESTRICOES'!$M$2:$Q$54,3,FALSE)=2),0))</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Corpo")&gt;0,$EY7=0,OR($LB7="Cone",$LB7="Linha")),"Corpo a Corpo não entra em "&amp;$ED7,""),IF(AND(COUNTIF($FD7:$FE7,"Corpo a Corpo")&gt;0,$LC7="Corpo a Corpo"),"A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"&amp;$EJ7,""))),IF(AND($ED7&lt;&gt;"",COUNTIF('DADOS_FORMAS'!$AH$2:$AH$21,SUBSTITUTE(SUBSTITUTE(SUBSTITUTE($ED7,"~","~~"),"*","~*"),"?","~?"))=0),"Forma não cadastrada ou com erro: "&amp;$ED7,""),IF(AND(IFERROR(INDEX('DADOS_FORMAS'!$AS$2:$AS$21,MATCH(SUBSTITUTE(SUBSTITUTE(SUBSTITUTE($ED7,"~","~~"),"*","~*"),"?","~?"),'DADOS_FORMAS'!$AH$2:$AH$21,0)),"")&lt;&gt;"",OR(IFERROR(VLOOKUP(SUBSTITUTE(SUBSTITUTE(SUBSTITUTE(IFERROR(INDEX('DADOS_FORMAS'!$AS$2:$AS$21,MATCH(SUBSTITUTE(SUBSTITUTE(SUBSTITUTE($ED7,"~","~~"),"*","~*"),"?","~?"),'DADOS_FORMAS'!$AH$2:$AH$21,0)),""),"~","~~"),"*","~*"),"?","~?"),'DADOS_RESTRICOES'!$M$2:$Q$54,2,FALSE),"")=$FD7,IFERROR(VLOOKUP(SUBSTITUTE(SUBSTITUTE(SUBSTITUTE(IFERROR(INDEX('DADOS_FORMAS'!$AS$2:$AS$21,MATCH(SUBSTITUTE(SUBSTITUTE(SUBSTITUTE($ED7,"~","~~"),"*","~*"),"?","~?"),'DADOS_FORMAS'!$AH$2:$AH$21,0)),""),"~","~~"),"*","~*"),"?","~?"),'DADOS_RESTRICOES'!$M$2:$Q$54,2,FALSE),"")=$FE7)),"Restrição repetida, contando a embutida",""),IF(IF(IFERROR(INDEX('DADOS_FORMAS'!$AS$2:$AS$21,MATCH(SUBSTITUTE(SUBSTITUTE(SUBSTITUTE($ED7,"~","~~"),"*","~*"),"?","~?"),'DADOS_FORMAS'!$AH$2:$AH$21,0)),"")="",0,IFERROR(N(VLOOKUP(SUBSTITUTE(SUBSTITUTE(SUBSTITUTE(IFERROR(INDEX('DADOS_FORMAS'!$AS$2:$AS$21,MATCH(SUBSTITUTE(SUBSTITUTE(SUBSTITUTE($ED7,"~","~~"),"*","~*"),"?","~?"),'DADOS_FORMAS'!$AH$2:$AH$21,0)),""),"~","~~"),"*","~*"),"?","~?"),'DADOS_RESTRICOES'!$M$2:$Q$54,4,FALSE)=1),0))+IF($EI7="",0,IFERROR(N(VLOOKUP(SUBSTITUTE(SUBSTITUTE(SUBSTITUTE($EI7,"~","~~"),"*","~*"),"?","~?"),'DADOS_RESTRICOES'!$M$2:$Q$54,4,FALSE)=1),0))+IF($EJ7="",0,IFERROR(N(VLOOKUP(SUBSTITUTE(SUBSTITUTE(SUBSTITUTE($EJ7,"~","~~"),"*","~*"),"?","~?"),'DADOS_RESTRICOES'!$M$2:$Q$54,4,FALSE)=1),0))&gt;1,"Duas Restrições de frequência, contando a embutida",""),IF(AND(IFERROR(VLOOKUP(SUBSTITUTE(SUBSTITUTE(SUBSTITUTE(IFERROR(INDEX('DADOS_FORMAS'!$AS$2:$AS$21,MATCH(SUBSTITUTE(SUBSTITUTE(SUBSTITUTE($ED7,"~","~~"),"*","~*"),"?","~?"),'DADOS_FORMAS'!$AH$2:$AH$21,0)),""),"~","~~"),"*","~*"),"?","~?"),'DADOS_RESTRICOES'!$M$2:$Q$54,2,FALSE),"")="Tudo ou Nada",$FA7=0),"Tudo ou Nada exige TR",""),IF(AND(IFERROR(VLOOKUP(SUBSTITUTE(SUBSTITUTE(SUBSTITUTE(IFERROR(INDEX('DADOS_FORMAS'!$AS$2:$AS$21,MATCH(SUBSTITUTE(SUBSTITUTE(SUBSTITUTE($ED7,"~","~~"),"*","~*"),"?","~?"),'DADOS_FORMAS'!$AH$2:$AH$21,0)),""),"~","~~"),"*","~*"),"?","~?"),'DADOS_RESTRICOES'!$M$2:$Q$54,2,FALSE),"")="Corpo a Corpo",OR($LB7="Cone",$LB7="Linha")),"Corpo a Corpo não entra em Cone/Linha","")))</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inteira",IF(COUNTIF($LD7:$LF7,"Atrasar")&gt;0,IF(COUNTIF($LD7:$LF7,"Carregar")&gt;0,"Rodada +1 turno","Rodada inteira"),IF(COUNTIF($KW7:$KZ7,"Rápido")&gt;0,"Bônus",IF(COUNTIF($KW7:$KZ7,"Reação")&gt;0,"Reação","Padrão"))&amp;IF(COUNTIF($LD7:$LF7,"Carregar")&gt;0," +1 turno",""))))</f>
        <v/>
      </c>
      <c r="GT7" s="161">
        <f>IF(OR($EK7=0,$EL7=0),"",IF(COUNTIF($KW7:$KZ7,"Inescapável")&gt;0,"Automático",IF(COUNTIF($KW7:$KZ7,"Certeiro")&gt;0,"TR para metade",IF(AND($EX7&gt;0,$FA7=0,INDEX('DADOS_FORMAS'!$FQ$2:$FQ$21,$EL7)="Acerto"),"Acerto + TR",INDEX('DADOS_FORMAS'!$FQ$2:$FQ$21,$EL7)))))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IF($EL7=0,0,CHOOSE(1+INDEX('DADOS_FORMAS'!$FS$2:$FS$21,$EL7),0,$GV7,$GW7,$GV7+$GW7))</f>
        <v/>
      </c>
      <c r="GY7" s="161">
        <f>IF($EL7=0,0,CHOOSE(1+INDEX('DADOS_FORMAS'!$FT$2:$FT$21,$EL7),0,$GV7,$GW7,$GV7+$GW7))</f>
        <v/>
      </c>
      <c r="GZ7" s="161">
        <f>IF(OR($EK7=0,$EL7=0),"",INDEX('DADOS_FORMAS'!$GZ$2:$HE$61,($EL7-1)*3+IF($EB7&gt;=6,3,2),1+MIN(5,$GX7))&amp;INDEX('DADOS_FORMAS'!$HF$2:$HK$61,($EL7-1)*3+IF($EB7&gt;=6,3,2),1+MIN(5,$GY7))&amp;IF(INDEX('DADOS_FORMAS'!$FU$2:$FU$21,$EL7)=1,IF(COUNTIF($KW7:$KZ7,"Mais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IFERROR(VLOOKUP(SUBSTITUTE(SUBSTITUTE(SUBSTITUTE($HP7,"~","~~"),"*","~*"),"?","~?"),'DADOS_TALENTOS'!$AQ$2:$AW$34,2,FALSE),0)</f>
        <v/>
      </c>
      <c r="HR7" s="161">
        <f>IFERROR(VLOOKUP($HQ7,$CA$2:$CB$4,2,FALSE),0)</f>
        <v/>
      </c>
      <c r="HS7" s="161">
        <f>IFERROR(VLOOKUP(SUBSTITUTE(SUBSTITUTE(SUBSTITUTE($HP7,"~","~~"),"*","~*"),"?","~?"),'DADOS_TALENTOS'!$AQ$2:$AW$34,3,FALSE),"")</f>
        <v/>
      </c>
      <c r="HT7" s="161">
        <f>IF($HQ7=0,"",IF($HR7&gt;$HM$2,"⚠ Nível "&amp;$HR7,"CE "&amp;$HQ7))&amp;IF('DADOS_AM'!$LO7="",""," · ⚠ "&amp;'DADOS_AM'!$LO7)</f>
        <v/>
      </c>
      <c r="HU7" s="161">
        <f>IF($HQ7=0,"",IF(1&gt;$HM$8,"⚠ Vaga","Grátis"))</f>
        <v/>
      </c>
      <c r="HV7" s="161">
        <f>'FICHA AMALDIÇOADA'!$E$402&amp;""</f>
        <v/>
      </c>
      <c r="HW7" s="161">
        <f>IF($HP7="","",COUNTIF($HP$2:$HP7,"?*"))</f>
        <v/>
      </c>
      <c r="HY7" s="159" t="inlineStr">
        <is>
          <t>Aptidão 6</t>
        </is>
      </c>
      <c r="HZ7" s="161">
        <f>'FICHA AMALDIÇOADA'!$P$450&amp;""</f>
        <v/>
      </c>
      <c r="IA7" s="161">
        <f>IF($HZ7="","","Requisito: "&amp;IFERROR(VLOOKUP(SUBSTITUTE(SUBSTITUTE(SUBSTITUTE($HZ7,"~","~~"),"*","~*"),"?","~?"),'DADOS_APTIDOES'!$BF$2:$BO$45,2,FALSE),""))&amp;IF($LK7="",""," · ⚠ "&amp;$LK7)</f>
        <v/>
      </c>
      <c r="IB7" s="161">
        <f>IF($HZ7="","",IFERROR(IF(ISNUMBER(VLOOKUP(SUBSTITUTE(SUBSTITUTE(SUBSTITUTE($HZ7,"~","~~"),"*","~*"),"?","~?"),'DADOS_APTIDOES'!$BF$2:$BO$45,3,FALSE)),"CE "&amp;VLOOKUP(SUBSTITUTE(SUBSTITUTE(SUBSTITUTE($HZ7,"~","~~"),"*","~*"),"?","~?"),'DADOS_APTIDOES'!$BF$2:$BO$45,3,FALSE),VLOOKUP(SUBSTITUTE(SUBSTITUTE(SUBSTITUTE($HZ7,"~","~~"),"*","~*"),"?","~?"),'DADOS_APTIDOES'!$BF$2:$BO$45,3,FALSE)),""))</f>
        <v/>
      </c>
      <c r="IC7" s="161">
        <f>IF($HZ7="","",IFERROR(VLOOKUP(SUBSTITUTE(SUBSTITUTE(SUBSTITUTE($HZ7,"~","~~"),"*","~*"),"?","~?"),'DADOS_APTIDOES'!$BF$2:$BO$45,4,FALSE),""))</f>
        <v/>
      </c>
      <c r="ID7" s="161">
        <f>IF($HZ7="","",IFERROR(VLOOKUP(SUBSTITUTE(SUBSTITUTE(SUBSTITUTE($HZ7,"~","~~"),"*","~*"),"?","~?"),'DADOS_APTIDOES'!$BF$2:$BO$45,5,FALSE),""))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IF($KG7=0,"",IF(INDEX($HV$2:$HV$13,$KG7)&lt;&gt;"",INDEX($HV$2:$HV$13,$KG7),IF(IFERROR(VLOOKUP(SUBSTITUTE(SUBSTITUTE(SUBSTITUTE(INDEX($HP$2:$HP$13,$KG7),"~","~~"),"*","~*"),"?","~?"),'DADOS_TALENTOS'!$AQ$2:$AW$34,7,FALSE),"")&lt;&gt;"","Do livro: "&amp;IFERROR(VLOOKUP(SUBSTITUTE(SUBSTITUTE(SUBSTITUTE(INDEX($HP$2:$HP$13,$KG7),"~","~~"),"*","~*"),"?","~?"),'DADOS_TALENTOS'!$AQ$2:$AW$34,7,FALSE),""),"")))</f>
        <v/>
      </c>
      <c r="KL7" s="159" t="inlineStr">
        <is>
          <t>Aptidão 4</t>
        </is>
      </c>
      <c r="KM7" s="161">
        <f>IFERROR(MATCH(4,$IF$2:$IF$13,0),0)</f>
        <v/>
      </c>
      <c r="KN7" s="161">
        <f>IF($KM7=0,"",INDEX($IB$2:$IB$13,$KM7))</f>
        <v/>
      </c>
      <c r="KO7" s="161">
        <f>IF($KM7=0,"",INDEX($HZ$2:$HZ$13,$KM7))</f>
        <v/>
      </c>
      <c r="KP7" s="161">
        <f>IF($KM7=0,"",IF(INDEX($IE$2:$IE$13,$KM7)&lt;&gt;"",INDEX($IE$2:$IE$13,$KM7),IF(IFERROR(VLOOKUP(SUBSTITUTE(SUBSTITUTE(SUBSTITUTE(INDEX($HZ$2:$HZ$13,$KM7),"~","~~"),"*","~*"),"?","~?"),'DADOS_APTIDOES'!$BF$2:$BO$45,10,FALSE),"")&lt;&gt;"","Do livro: "&amp;IFERROR(VLOOKUP(SUBSTITUTE(SUBSTITUTE(SUBSTITUTE(INDEX($HZ$2:$HZ$13,$KM7),"~","~~"),"*","~*"),"?","~?"),'DADOS_APTIDOES'!$BF$2:$BO$45,10,FALSE),""),"")))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c r="LB7">
        <f>IFERROR(INDEX('DADOS_FORMAS'!$BJ$2:$BJ$21,MATCH(SUBSTITUTE(SUBSTITUTE(SUBSTITUTE($ED7,"~","~~"),"*","~*"),"?","~?"),'DADOS_FORMAS'!$AH$2:$AH$21,0)),"")</f>
        <v/>
      </c>
      <c r="LC7">
        <f>IFERROR(VLOOKUP(SUBSTITUTE(SUBSTITUTE(SUBSTITUTE(IFERROR(INDEX('DADOS_FORMAS'!$AS$2:$AS$21,MATCH(SUBSTITUTE(SUBSTITUTE(SUBSTITUTE($ED7,"~","~~"),"*","~*"),"?","~?"),'DADOS_FORMAS'!$AH$2:$AH$21,0)),""),"~","~~"),"*","~*"),"?","~?"),'DADOS_RESTRICOES'!$M$2:$Q$54,2,FALSE),"")</f>
        <v/>
      </c>
      <c r="LD7">
        <f>$FD7</f>
        <v/>
      </c>
      <c r="LE7">
        <f>$FE7</f>
        <v/>
      </c>
      <c r="LF7">
        <f>$LC7</f>
        <v/>
      </c>
      <c r="LH7">
        <f>'FICHA AMALDIÇOADA'!$P$450&amp;""</f>
        <v/>
      </c>
      <c r="LI7">
        <f>IF($LH7="","",IF(IFERROR(INDEX('DADOS_APTIDOES'!$X$2:$X$45,MATCH(SUBSTITUTE(SUBSTITUTE(SUBSTITUTE($LH7,"~","~~"),"*","~*"),"?","~?"),'DADOS_APTIDOES'!$O$2:$O$45,0)),"")="",$LH7,IFERROR(INDEX('DADOS_APTIDOES'!$X$2:$X$45,MATCH(SUBSTITUTE(SUBSTITUTE(SUBSTITUTE($LH7,"~","~~"),"*","~*"),"?","~?"),'DADOS_APTIDOES'!$O$2:$O$45,0)),"")))</f>
        <v/>
      </c>
      <c r="LJ7">
        <f>IF(LEFT($LI7,16)="Aptidão Própria (","Aptidão Própria",IF(LEFT($LI7,15)="Bênção Própria (","Bênção Própria",$LI7))</f>
        <v/>
      </c>
      <c r="LK7">
        <f>IF($LH7="","",TEXTJOIN(" · ",TRUE,$LP7:$MJ7))</f>
        <v/>
      </c>
      <c r="LL7">
        <f>IF($LH7="",0,IF(IFERROR(INDEX('DADOS_APTIDOES'!$W$2:$W$45,MATCH(SUBSTITUTE(SUBSTITUTE(SUBSTITUTE($LH7,"~","~~"),"*","~*"),"?","~?"),'DADOS_APTIDOES'!$O$2:$O$45,0)),"")="Gratuita",0,1))</f>
        <v/>
      </c>
      <c r="LO7">
        <f>IF('FICHA AMALDIÇOADA'!$D$397="","",TEXTJOIN(" · ",TRUE,IF(COUNTIF('DADOS_TALENTOS'!$M$2:$M$34,SUBSTITUTE(SUBSTITUTE(SUBSTITUTE('FICHA AMALDIÇOADA'!$D$397,"~","~~"),"*","~*"),"?","~?"))=0,"Talento não cadastrado ou com erro",""),IF(COUNTIF('DADOS_TALENTOS'!$AV$2:$AV$34,SUBSTITUTE(SUBSTITUTE(SUBSTITUTE('FICHA AMALDIÇOADA'!$D$397,"~","~~"),"*","~*"),"?","~?"))=0,"Talento incompatível com a rota","")))</f>
        <v/>
      </c>
      <c r="LP7">
        <f>IF(COUNTIF('DADOS_APTIDOES'!$O$2:$O$45,SUBSTITUTE(SUBSTITUTE(SUBSTITUTE($LH7,"~","~~"),"*","~*"),"?","~?"))=0,"Aptidão não cadastrada ou com erro","")</f>
        <v/>
      </c>
      <c r="LQ7">
        <f>IF(COUNTIF('DADOS_APTIDOES'!$BK$2:$BK$45,SUBSTITUTE(SUBSTITUTE(SUBSTITUTE($LH7,"~","~~"),"*","~*"),"?","~?"))=0,"Rota/origem incompatível ou capacidade inicial automática","")</f>
        <v/>
      </c>
      <c r="LR7">
        <f>IF(AND(NOT(OR(FALSE)),DADOS_AM!$HM$2&lt;IFERROR(INDEX('DADOS_APTIDOES'!$U$2:$U$45,MATCH(SUBSTITUTE(SUBSTITUTE(SUBSTITUTE($LH7,"~","~~"),"*","~*"),"?","~?"),'DADOS_APTIDOES'!$O$2:$O$45,0)),1)),"Nível mínimo não atendido","")</f>
        <v/>
      </c>
      <c r="LS7">
        <f>IF(AND(NOT(OR(FALSE)),DADOS_AM!$HM$6&lt;MAX(IF(AND($LI7="Domínio Simples",FALSE,IFERROR(INDEX('DADOS_APTIDOES'!$V$2:$V$45,MATCH(SUBSTITUTE(SUBSTITUTE(SUBSTITUTE($LH7,"~","~~"),"*","~*"),"?","~?"),'DADOS_APTIDOES'!$O$2:$O$45,0)),1)=5),4,IFERROR(INDEX('DADOS_APTIDOES'!$V$2:$V$45,MATCH(SUBSTITUTE(SUBSTITUTE(SUBSTITUTE($LH7,"~","~~"),"*","~*"),"?","~?"),'DADOS_APTIDOES'!$O$2:$O$45,0)),1)),IF(IFERROR(INDEX('DADOS_APTIDOES'!$N$2:$N$45,MATCH(SUBSTITUTE(SUBSTITUTE(SUBSTITUTE($LH7,"~","~~"),"*","~*"),"?","~?"),'DADOS_APTIDOES'!$O$2:$O$45,0)),"")="Bênção",IF(IFERROR(INDEX('DADOS_APTIDOES'!$T$2:$T$45,MATCH(SUBSTITUTE(SUBSTITUTE(SUBSTITUTE($LH7,"~","~~"),"*","~*"),"?","~?"),'DADOS_APTIDOES'!$O$2:$O$45,0)),0)=3,7,IF(IFERROR(INDEX('DADOS_APTIDOES'!$T$2:$T$45,MATCH(SUBSTITUTE(SUBSTITUTE(SUBSTITUTE($LH7,"~","~~"),"*","~*"),"?","~?"),'DADOS_APTIDOES'!$O$2:$O$45,0)),0)=2,4,1)),1))),"Refino/Lapidação mínimo não atendido","")</f>
        <v/>
      </c>
      <c r="LT7">
        <f>IF(COUNTIF($LJ$2:$LJ7,SUBSTITUTE(SUBSTITUTE(SUBSTITUTE($LJ7,"~","~~"),"*","~*"),"?","~?"))&gt;1,"Aptidão/Bênção repetida","")</f>
        <v/>
      </c>
      <c r="LU7">
        <f>IF(AND(NOT(OR(FALSE)),AND($LI7="Circulação",COUNTIF($LI$2:$LI6,"Energia Reversa")=0)),"Exige aquisição anterior: Energia Reversa","")</f>
        <v/>
      </c>
      <c r="LV7">
        <f>IF(AND(NOT(OR(FALSE)),AND($LI7="Regravação",COUNTIF($LI$2:$LI6,"Circulação")=0)),"Exige aquisição anterior: Circulação","")</f>
        <v/>
      </c>
      <c r="LW7">
        <f>IF(AND(NOT(OR(FALSE)),AND($LI7="Cortina",COUNTIF($LI$2:$LI6,"Barreira Simples")=0)),"Exige aquisição anterior: Barreira Simples","")</f>
        <v/>
      </c>
      <c r="LX7">
        <f>IF(AND(NOT(OR(FALSE)),AND($LI7="Ritual",'FICHA'!AB19&lt;5)),"Exige Inteligência 5","")</f>
        <v/>
      </c>
      <c r="LY7">
        <f>IF(AND(NOT(OR(FALSE)),AND($LI7="Ímpeto",'FICHA'!L19&lt;4)),"Exige Destreza 4","")</f>
        <v/>
      </c>
      <c r="LZ7">
        <f>IF(AND(NOT(OR(FALSE)),AND($LI7="Casco",'FICHA'!T19&lt;4)),"Exige Constituição 4","")</f>
        <v/>
      </c>
      <c r="MA7">
        <f>IF(AND(NOT(OR(FALSE)),AND($LI7="Presilha",'FICHA'!D19&lt;4)),"Exige Força 4","")</f>
        <v/>
      </c>
      <c r="MB7">
        <f>IF(AND(NOT(OR(FALSE)),AND($LI7="Antecipar",'FICHA'!AB19&lt;4)),"Exige Inteligência 4","")</f>
        <v/>
      </c>
      <c r="MC7">
        <f>IF(AND(NOT(OR(FALSE)),AND($LI7="Sangue Frio",'FICHA'!T19&lt;4)),"Exige Constituição 4","")</f>
        <v/>
      </c>
      <c r="MD7">
        <f>IF(AND(NOT(OR(FALSE)),AND($LI7="Assombro",'FICHA'!AJ19&lt;4)),"Exige Essência 4","")</f>
        <v/>
      </c>
      <c r="ME7">
        <f>IF(AND(NOT(OR(FALSE)),$LI7="Cesta Oca de Vime"),"Conferir Encarnado ou treino em História","")</f>
        <v/>
      </c>
      <c r="MF7">
        <f>IF(AND(NOT(OR(FALSE)),$LI7="Pétala"),"Conferir Descendente ou aprendizado de clã","")</f>
        <v/>
      </c>
      <c r="MG7">
        <f>IF(AND(NOT(OR(FALSE)),$LI7="Domínio Simples"),"Conferir aprendizado de Domínio Simples","")</f>
        <v/>
      </c>
      <c r="MH7">
        <f>IF(AND(NOT(OR(FALSE)),$LI7="Extensão de Domínio"),"Conferir aprendizado de Extensão de Domínio","")</f>
        <v/>
      </c>
      <c r="MI7">
        <f>IF(AND(NOT(OR(FALSE)),$LI7="Ritual"),"Conferir Técnica Inata","")</f>
        <v/>
      </c>
      <c r="MJ7">
        <f>IF(AND(NOT(OR(FALSE)),AND($LI7="Represália",MAX('FICHA'!D19,'FICHA'!L19)&lt;4)),"Exige Força ou Destreza 4","")</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IFERROR(MATCH(SUBSTITUTE(SUBSTITUTE(SUBSTITUTE($ED8,"~","~~"),"*","~*"),"?","~?"),'DADOS_FORMAS'!$FJ$2:$FJ$21,0),0)</f>
        <v/>
      </c>
      <c r="EM8" s="161">
        <f>IF($EL8=0,0,INDEX('DADOS_FORMAS'!$FM$2:$FM$21,$EL8))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IF($EL8=0,0,INDEX('DADOS_FORMAS'!$FN$2:$FN$21,$EL8))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IF($EL8=0,0,INDEX('DADOS_FORMAS'!$FO$2:$FO$21,$EL8))</f>
        <v/>
      </c>
      <c r="EZ8" s="161">
        <f>IF($EL8=0,0,INDEX('DADOS_FORMAS'!$FP$2:$FP$21,$EL8))</f>
        <v/>
      </c>
      <c r="FA8" s="161">
        <f>IF($EL8=0,0,INDEX('DADOS_FORMAS'!$FR$2:$FR$21,$EL8))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IF(IFERROR(INDEX('DADOS_FORMAS'!$AS$2:$AS$21,MATCH(SUBSTITUTE(SUBSTITUTE(SUBSTITUTE($ED8,"~","~~"),"*","~*"),"?","~?"),'DADOS_FORMAS'!$AH$2:$AH$21,0)),"")="",0,IFERROR(N(VLOOKUP(SUBSTITUTE(SUBSTITUTE(SUBSTITUTE(IFERROR(INDEX('DADOS_FORMAS'!$AS$2:$AS$21,MATCH(SUBSTITUTE(SUBSTITUTE(SUBSTITUTE($ED8,"~","~~"),"*","~*"),"?","~?"),'DADOS_FORMAS'!$AH$2:$AH$21,0)),""),"~","~~"),"*","~*"),"?","~?"),'DADOS_RESTRICOES'!$M$2:$Q$54,3,FALSE)=1),0))</f>
        <v/>
      </c>
      <c r="FM8" s="161">
        <f>COUNTIF($FB8:$FC8,2)+IF(IFERROR(INDEX('DADOS_FORMAS'!$AS$2:$AS$21,MATCH(SUBSTITUTE(SUBSTITUTE(SUBSTITUTE($ED8,"~","~~"),"*","~*"),"?","~?"),'DADOS_FORMAS'!$AH$2:$AH$21,0)),"")="",0,IFERROR(N(VLOOKUP(SUBSTITUTE(SUBSTITUTE(SUBSTITUTE(IFERROR(INDEX('DADOS_FORMAS'!$AS$2:$AS$21,MATCH(SUBSTITUTE(SUBSTITUTE(SUBSTITUTE($ED8,"~","~~"),"*","~*"),"?","~?"),'DADOS_FORMAS'!$AH$2:$AH$21,0)),""),"~","~~"),"*","~*"),"?","~?"),'DADOS_RESTRICOES'!$M$2:$Q$54,3,FALSE)=2),0))</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Corpo")&gt;0,$EY8=0,OR($LB8="Cone",$LB8="Linha")),"Corpo a Corpo não entra em "&amp;$ED8,""),IF(AND(COUNTIF($FD8:$FE8,"Corpo a Corpo")&gt;0,$LC8="Corpo a Corpo"),"A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"&amp;$EJ8,""))),IF(AND($ED8&lt;&gt;"",COUNTIF('DADOS_FORMAS'!$AH$2:$AH$21,SUBSTITUTE(SUBSTITUTE(SUBSTITUTE($ED8,"~","~~"),"*","~*"),"?","~?"))=0),"Forma não cadastrada ou com erro: "&amp;$ED8,""),IF(AND(IFERROR(INDEX('DADOS_FORMAS'!$AS$2:$AS$21,MATCH(SUBSTITUTE(SUBSTITUTE(SUBSTITUTE($ED8,"~","~~"),"*","~*"),"?","~?"),'DADOS_FORMAS'!$AH$2:$AH$21,0)),"")&lt;&gt;"",OR(IFERROR(VLOOKUP(SUBSTITUTE(SUBSTITUTE(SUBSTITUTE(IFERROR(INDEX('DADOS_FORMAS'!$AS$2:$AS$21,MATCH(SUBSTITUTE(SUBSTITUTE(SUBSTITUTE($ED8,"~","~~"),"*","~*"),"?","~?"),'DADOS_FORMAS'!$AH$2:$AH$21,0)),""),"~","~~"),"*","~*"),"?","~?"),'DADOS_RESTRICOES'!$M$2:$Q$54,2,FALSE),"")=$FD8,IFERROR(VLOOKUP(SUBSTITUTE(SUBSTITUTE(SUBSTITUTE(IFERROR(INDEX('DADOS_FORMAS'!$AS$2:$AS$21,MATCH(SUBSTITUTE(SUBSTITUTE(SUBSTITUTE($ED8,"~","~~"),"*","~*"),"?","~?"),'DADOS_FORMAS'!$AH$2:$AH$21,0)),""),"~","~~"),"*","~*"),"?","~?"),'DADOS_RESTRICOES'!$M$2:$Q$54,2,FALSE),"")=$FE8)),"Restrição repetida, contando a embutida",""),IF(IF(IFERROR(INDEX('DADOS_FORMAS'!$AS$2:$AS$21,MATCH(SUBSTITUTE(SUBSTITUTE(SUBSTITUTE($ED8,"~","~~"),"*","~*"),"?","~?"),'DADOS_FORMAS'!$AH$2:$AH$21,0)),"")="",0,IFERROR(N(VLOOKUP(SUBSTITUTE(SUBSTITUTE(SUBSTITUTE(IFERROR(INDEX('DADOS_FORMAS'!$AS$2:$AS$21,MATCH(SUBSTITUTE(SUBSTITUTE(SUBSTITUTE($ED8,"~","~~"),"*","~*"),"?","~?"),'DADOS_FORMAS'!$AH$2:$AH$21,0)),""),"~","~~"),"*","~*"),"?","~?"),'DADOS_RESTRICOES'!$M$2:$Q$54,4,FALSE)=1),0))+IF($EI8="",0,IFERROR(N(VLOOKUP(SUBSTITUTE(SUBSTITUTE(SUBSTITUTE($EI8,"~","~~"),"*","~*"),"?","~?"),'DADOS_RESTRICOES'!$M$2:$Q$54,4,FALSE)=1),0))+IF($EJ8="",0,IFERROR(N(VLOOKUP(SUBSTITUTE(SUBSTITUTE(SUBSTITUTE($EJ8,"~","~~"),"*","~*"),"?","~?"),'DADOS_RESTRICOES'!$M$2:$Q$54,4,FALSE)=1),0))&gt;1,"Duas Restrições de frequência, contando a embutida",""),IF(AND(IFERROR(VLOOKUP(SUBSTITUTE(SUBSTITUTE(SUBSTITUTE(IFERROR(INDEX('DADOS_FORMAS'!$AS$2:$AS$21,MATCH(SUBSTITUTE(SUBSTITUTE(SUBSTITUTE($ED8,"~","~~"),"*","~*"),"?","~?"),'DADOS_FORMAS'!$AH$2:$AH$21,0)),""),"~","~~"),"*","~*"),"?","~?"),'DADOS_RESTRICOES'!$M$2:$Q$54,2,FALSE),"")="Tudo ou Nada",$FA8=0),"Tudo ou Nada exige TR",""),IF(AND(IFERROR(VLOOKUP(SUBSTITUTE(SUBSTITUTE(SUBSTITUTE(IFERROR(INDEX('DADOS_FORMAS'!$AS$2:$AS$21,MATCH(SUBSTITUTE(SUBSTITUTE(SUBSTITUTE($ED8,"~","~~"),"*","~*"),"?","~?"),'DADOS_FORMAS'!$AH$2:$AH$21,0)),""),"~","~~"),"*","~*"),"?","~?"),'DADOS_RESTRICOES'!$M$2:$Q$54,2,FALSE),"")="Corpo a Corpo",OR($LB8="Cone",$LB8="Linha")),"Corpo a Corpo não entra em Cone/Linha","")))</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inteira",IF(COUNTIF($LD8:$LF8,"Atrasar")&gt;0,IF(COUNTIF($LD8:$LF8,"Carregar")&gt;0,"Rodada +1 turno","Rodada inteira"),IF(COUNTIF($KW8:$KZ8,"Rápido")&gt;0,"Bônus",IF(COUNTIF($KW8:$KZ8,"Reação")&gt;0,"Reação","Padrão"))&amp;IF(COUNTIF($LD8:$LF8,"Carregar")&gt;0," +1 turno",""))))</f>
        <v/>
      </c>
      <c r="GT8" s="161">
        <f>IF(OR($EK8=0,$EL8=0),"",IF(COUNTIF($KW8:$KZ8,"Inescapável")&gt;0,"Automático",IF(COUNTIF($KW8:$KZ8,"Certeiro")&gt;0,"TR para metade",IF(AND($EX8&gt;0,$FA8=0,INDEX('DADOS_FORMAS'!$FQ$2:$FQ$21,$EL8)="Acerto"),"Acerto + TR",INDEX('DADOS_FORMAS'!$FQ$2:$FQ$21,$EL8)))))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IF($EL8=0,0,CHOOSE(1+INDEX('DADOS_FORMAS'!$FS$2:$FS$21,$EL8),0,$GV8,$GW8,$GV8+$GW8))</f>
        <v/>
      </c>
      <c r="GY8" s="161">
        <f>IF($EL8=0,0,CHOOSE(1+INDEX('DADOS_FORMAS'!$FT$2:$FT$21,$EL8),0,$GV8,$GW8,$GV8+$GW8))</f>
        <v/>
      </c>
      <c r="GZ8" s="161">
        <f>IF(OR($EK8=0,$EL8=0),"",INDEX('DADOS_FORMAS'!$GZ$2:$HE$61,($EL8-1)*3+IF($EB8&gt;=6,3,2),1+MIN(5,$GX8))&amp;INDEX('DADOS_FORMAS'!$HF$2:$HK$61,($EL8-1)*3+IF($EB8&gt;=6,3,2),1+MIN(5,$GY8))&amp;IF(INDEX('DADOS_FORMAS'!$FU$2:$FU$21,$EL8)=1,IF(COUNTIF($KW8:$KZ8,"Mais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IFERROR(VLOOKUP(SUBSTITUTE(SUBSTITUTE(SUBSTITUTE($HP8,"~","~~"),"*","~*"),"?","~?"),'DADOS_TALENTOS'!$AQ$2:$AW$34,2,FALSE),0)</f>
        <v/>
      </c>
      <c r="HR8" s="161">
        <f>IFERROR(VLOOKUP($HQ8,$CA$2:$CB$4,2,FALSE),0)</f>
        <v/>
      </c>
      <c r="HS8" s="161">
        <f>IFERROR(VLOOKUP(SUBSTITUTE(SUBSTITUTE(SUBSTITUTE($HP8,"~","~~"),"*","~*"),"?","~?"),'DADOS_TALENTOS'!$AQ$2:$AW$34,3,FALSE),"")</f>
        <v/>
      </c>
      <c r="HT8" s="161">
        <f>IF($HQ8=0,"",IF($HR8&gt;$HM$2,"⚠ Nível "&amp;$HR8,"CE "&amp;$HQ8))&amp;IF('DADOS_AM'!$LO8="",""," · ⚠ "&amp;'DADOS_AM'!$LO8)</f>
        <v/>
      </c>
      <c r="HU8" s="161">
        <f>IF($HQ8=0,"",IF(2&gt;$HM$8,"⚠ Vaga","Grátis"))</f>
        <v/>
      </c>
      <c r="HV8" s="161">
        <f>'FICHA AMALDIÇOADA'!$K$402&amp;""</f>
        <v/>
      </c>
      <c r="HW8" s="161">
        <f>IF($HP8="","",COUNTIF($HP$2:$HP8,"?*"))</f>
        <v/>
      </c>
      <c r="HY8" s="159" t="inlineStr">
        <is>
          <t>Aptidão 7</t>
        </is>
      </c>
      <c r="HZ8" s="161">
        <f>'FICHA AMALDIÇOADA'!$D$472&amp;""</f>
        <v/>
      </c>
      <c r="IA8" s="161">
        <f>IF($HZ8="","","Requisito: "&amp;IFERROR(VLOOKUP(SUBSTITUTE(SUBSTITUTE(SUBSTITUTE($HZ8,"~","~~"),"*","~*"),"?","~?"),'DADOS_APTIDOES'!$BF$2:$BO$45,2,FALSE),""))&amp;IF($LK8="",""," · ⚠ "&amp;$LK8)</f>
        <v/>
      </c>
      <c r="IB8" s="161">
        <f>IF($HZ8="","",IFERROR(IF(ISNUMBER(VLOOKUP(SUBSTITUTE(SUBSTITUTE(SUBSTITUTE($HZ8,"~","~~"),"*","~*"),"?","~?"),'DADOS_APTIDOES'!$BF$2:$BO$45,3,FALSE)),"CE "&amp;VLOOKUP(SUBSTITUTE(SUBSTITUTE(SUBSTITUTE($HZ8,"~","~~"),"*","~*"),"?","~?"),'DADOS_APTIDOES'!$BF$2:$BO$45,3,FALSE),VLOOKUP(SUBSTITUTE(SUBSTITUTE(SUBSTITUTE($HZ8,"~","~~"),"*","~*"),"?","~?"),'DADOS_APTIDOES'!$BF$2:$BO$45,3,FALSE)),""))</f>
        <v/>
      </c>
      <c r="IC8" s="161">
        <f>IF($HZ8="","",IFERROR(VLOOKUP(SUBSTITUTE(SUBSTITUTE(SUBSTITUTE($HZ8,"~","~~"),"*","~*"),"?","~?"),'DADOS_APTIDOES'!$BF$2:$BO$45,4,FALSE),""))</f>
        <v/>
      </c>
      <c r="ID8" s="161">
        <f>IF($HZ8="","",IFERROR(VLOOKUP(SUBSTITUTE(SUBSTITUTE(SUBSTITUTE($HZ8,"~","~~"),"*","~*"),"?","~?"),'DADOS_APTIDOES'!$BF$2:$BO$45,5,FALSE),""))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IF($KG8=0,"",IF(INDEX($HV$2:$HV$13,$KG8)&lt;&gt;"",INDEX($HV$2:$HV$13,$KG8),IF(IFERROR(VLOOKUP(SUBSTITUTE(SUBSTITUTE(SUBSTITUTE(INDEX($HP$2:$HP$13,$KG8),"~","~~"),"*","~*"),"?","~?"),'DADOS_TALENTOS'!$AQ$2:$AW$34,7,FALSE),"")&lt;&gt;"","Do livro: "&amp;IFERROR(VLOOKUP(SUBSTITUTE(SUBSTITUTE(SUBSTITUTE(INDEX($HP$2:$HP$13,$KG8),"~","~~"),"*","~*"),"?","~?"),'DADOS_TALENTOS'!$AQ$2:$AW$34,7,FALSE),""),"")))</f>
        <v/>
      </c>
      <c r="KL8" s="159" t="inlineStr">
        <is>
          <t>Aptidão 5</t>
        </is>
      </c>
      <c r="KM8" s="161">
        <f>IFERROR(MATCH(5,$IF$2:$IF$13,0),0)</f>
        <v/>
      </c>
      <c r="KN8" s="161">
        <f>IF($KM8=0,"",INDEX($IB$2:$IB$13,$KM8))</f>
        <v/>
      </c>
      <c r="KO8" s="161">
        <f>IF($KM8=0,"",INDEX($HZ$2:$HZ$13,$KM8))</f>
        <v/>
      </c>
      <c r="KP8" s="161">
        <f>IF($KM8=0,"",IF(INDEX($IE$2:$IE$13,$KM8)&lt;&gt;"",INDEX($IE$2:$IE$13,$KM8),IF(IFERROR(VLOOKUP(SUBSTITUTE(SUBSTITUTE(SUBSTITUTE(INDEX($HZ$2:$HZ$13,$KM8),"~","~~"),"*","~*"),"?","~?"),'DADOS_APTIDOES'!$BF$2:$BO$45,10,FALSE),"")&lt;&gt;"","Do livro: "&amp;IFERROR(VLOOKUP(SUBSTITUTE(SUBSTITUTE(SUBSTITUTE(INDEX($HZ$2:$HZ$13,$KM8),"~","~~"),"*","~*"),"?","~?"),'DADOS_APTIDOES'!$BF$2:$BO$45,10,FALSE),""),"")))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c r="LB8">
        <f>IFERROR(INDEX('DADOS_FORMAS'!$BJ$2:$BJ$21,MATCH(SUBSTITUTE(SUBSTITUTE(SUBSTITUTE($ED8,"~","~~"),"*","~*"),"?","~?"),'DADOS_FORMAS'!$AH$2:$AH$21,0)),"")</f>
        <v/>
      </c>
      <c r="LC8">
        <f>IFERROR(VLOOKUP(SUBSTITUTE(SUBSTITUTE(SUBSTITUTE(IFERROR(INDEX('DADOS_FORMAS'!$AS$2:$AS$21,MATCH(SUBSTITUTE(SUBSTITUTE(SUBSTITUTE($ED8,"~","~~"),"*","~*"),"?","~?"),'DADOS_FORMAS'!$AH$2:$AH$21,0)),""),"~","~~"),"*","~*"),"?","~?"),'DADOS_RESTRICOES'!$M$2:$Q$54,2,FALSE),"")</f>
        <v/>
      </c>
      <c r="LD8">
        <f>$FD8</f>
        <v/>
      </c>
      <c r="LE8">
        <f>$FE8</f>
        <v/>
      </c>
      <c r="LF8">
        <f>$LC8</f>
        <v/>
      </c>
      <c r="LH8">
        <f>'FICHA AMALDIÇOADA'!$D$472&amp;""</f>
        <v/>
      </c>
      <c r="LI8">
        <f>IF($LH8="","",IF(IFERROR(INDEX('DADOS_APTIDOES'!$X$2:$X$45,MATCH(SUBSTITUTE(SUBSTITUTE(SUBSTITUTE($LH8,"~","~~"),"*","~*"),"?","~?"),'DADOS_APTIDOES'!$O$2:$O$45,0)),"")="",$LH8,IFERROR(INDEX('DADOS_APTIDOES'!$X$2:$X$45,MATCH(SUBSTITUTE(SUBSTITUTE(SUBSTITUTE($LH8,"~","~~"),"*","~*"),"?","~?"),'DADOS_APTIDOES'!$O$2:$O$45,0)),"")))</f>
        <v/>
      </c>
      <c r="LJ8">
        <f>IF(LEFT($LI8,16)="Aptidão Própria (","Aptidão Própria",IF(LEFT($LI8,15)="Bênção Própria (","Bênção Própria",$LI8))</f>
        <v/>
      </c>
      <c r="LK8">
        <f>IF($LH8="","",TEXTJOIN(" · ",TRUE,$LP8:$MJ8))</f>
        <v/>
      </c>
      <c r="LL8">
        <f>IF($LH8="",0,IF(IFERROR(INDEX('DADOS_APTIDOES'!$W$2:$W$45,MATCH(SUBSTITUTE(SUBSTITUTE(SUBSTITUTE($LH8,"~","~~"),"*","~*"),"?","~?"),'DADOS_APTIDOES'!$O$2:$O$45,0)),"")="Gratuita",0,1))</f>
        <v/>
      </c>
      <c r="LO8">
        <f>IF('FICHA AMALDIÇOADA'!$J$397="","",TEXTJOIN(" · ",TRUE,IF(COUNTIF('DADOS_TALENTOS'!$M$2:$M$34,SUBSTITUTE(SUBSTITUTE(SUBSTITUTE('FICHA AMALDIÇOADA'!$J$397,"~","~~"),"*","~*"),"?","~?"))=0,"Talento não cadastrado ou com erro",""),IF(COUNTIF('DADOS_TALENTOS'!$AV$2:$AV$34,SUBSTITUTE(SUBSTITUTE(SUBSTITUTE('FICHA AMALDIÇOADA'!$J$397,"~","~~"),"*","~*"),"?","~?"))=0,"Talento incompatível com a rota","")))</f>
        <v/>
      </c>
      <c r="LP8">
        <f>IF(COUNTIF('DADOS_APTIDOES'!$O$2:$O$45,SUBSTITUTE(SUBSTITUTE(SUBSTITUTE($LH8,"~","~~"),"*","~*"),"?","~?"))=0,"Aptidão não cadastrada ou com erro","")</f>
        <v/>
      </c>
      <c r="LQ8">
        <f>IF(COUNTIF('DADOS_APTIDOES'!$BK$2:$BK$45,SUBSTITUTE(SUBSTITUTE(SUBSTITUTE($LH8,"~","~~"),"*","~*"),"?","~?"))=0,"Rota/origem incompatível ou capacidade inicial automática","")</f>
        <v/>
      </c>
      <c r="LR8">
        <f>IF(AND(NOT(OR(FALSE)),DADOS_AM!$HM$2&lt;IFERROR(INDEX('DADOS_APTIDOES'!$U$2:$U$45,MATCH(SUBSTITUTE(SUBSTITUTE(SUBSTITUTE($LH8,"~","~~"),"*","~*"),"?","~?"),'DADOS_APTIDOES'!$O$2:$O$45,0)),1)),"Nível mínimo não atendido","")</f>
        <v/>
      </c>
      <c r="LS8">
        <f>IF(AND(NOT(OR(FALSE)),DADOS_AM!$HM$6&lt;MAX(IF(AND($LI8="Domínio Simples",FALSE,IFERROR(INDEX('DADOS_APTIDOES'!$V$2:$V$45,MATCH(SUBSTITUTE(SUBSTITUTE(SUBSTITUTE($LH8,"~","~~"),"*","~*"),"?","~?"),'DADOS_APTIDOES'!$O$2:$O$45,0)),1)=5),4,IFERROR(INDEX('DADOS_APTIDOES'!$V$2:$V$45,MATCH(SUBSTITUTE(SUBSTITUTE(SUBSTITUTE($LH8,"~","~~"),"*","~*"),"?","~?"),'DADOS_APTIDOES'!$O$2:$O$45,0)),1)),IF(IFERROR(INDEX('DADOS_APTIDOES'!$N$2:$N$45,MATCH(SUBSTITUTE(SUBSTITUTE(SUBSTITUTE($LH8,"~","~~"),"*","~*"),"?","~?"),'DADOS_APTIDOES'!$O$2:$O$45,0)),"")="Bênção",IF(IFERROR(INDEX('DADOS_APTIDOES'!$T$2:$T$45,MATCH(SUBSTITUTE(SUBSTITUTE(SUBSTITUTE($LH8,"~","~~"),"*","~*"),"?","~?"),'DADOS_APTIDOES'!$O$2:$O$45,0)),0)=3,7,IF(IFERROR(INDEX('DADOS_APTIDOES'!$T$2:$T$45,MATCH(SUBSTITUTE(SUBSTITUTE(SUBSTITUTE($LH8,"~","~~"),"*","~*"),"?","~?"),'DADOS_APTIDOES'!$O$2:$O$45,0)),0)=2,4,1)),1))),"Refino/Lapidação mínimo não atendido","")</f>
        <v/>
      </c>
      <c r="LT8">
        <f>IF(COUNTIF($LJ$2:$LJ8,SUBSTITUTE(SUBSTITUTE(SUBSTITUTE($LJ8,"~","~~"),"*","~*"),"?","~?"))&gt;1,"Aptidão/Bênção repetida","")</f>
        <v/>
      </c>
      <c r="LU8">
        <f>IF(AND(NOT(OR(FALSE)),AND($LI8="Circulação",COUNTIF($LI$2:$LI7,"Energia Reversa")=0)),"Exige aquisição anterior: Energia Reversa","")</f>
        <v/>
      </c>
      <c r="LV8">
        <f>IF(AND(NOT(OR(FALSE)),AND($LI8="Regravação",COUNTIF($LI$2:$LI7,"Circulação")=0)),"Exige aquisição anterior: Circulação","")</f>
        <v/>
      </c>
      <c r="LW8">
        <f>IF(AND(NOT(OR(FALSE)),AND($LI8="Cortina",COUNTIF($LI$2:$LI7,"Barreira Simples")=0)),"Exige aquisição anterior: Barreira Simples","")</f>
        <v/>
      </c>
      <c r="LX8">
        <f>IF(AND(NOT(OR(FALSE)),AND($LI8="Ritual",'FICHA'!AB19&lt;5)),"Exige Inteligência 5","")</f>
        <v/>
      </c>
      <c r="LY8">
        <f>IF(AND(NOT(OR(FALSE)),AND($LI8="Ímpeto",'FICHA'!L19&lt;4)),"Exige Destreza 4","")</f>
        <v/>
      </c>
      <c r="LZ8">
        <f>IF(AND(NOT(OR(FALSE)),AND($LI8="Casco",'FICHA'!T19&lt;4)),"Exige Constituição 4","")</f>
        <v/>
      </c>
      <c r="MA8">
        <f>IF(AND(NOT(OR(FALSE)),AND($LI8="Presilha",'FICHA'!D19&lt;4)),"Exige Força 4","")</f>
        <v/>
      </c>
      <c r="MB8">
        <f>IF(AND(NOT(OR(FALSE)),AND($LI8="Antecipar",'FICHA'!AB19&lt;4)),"Exige Inteligência 4","")</f>
        <v/>
      </c>
      <c r="MC8">
        <f>IF(AND(NOT(OR(FALSE)),AND($LI8="Sangue Frio",'FICHA'!T19&lt;4)),"Exige Constituição 4","")</f>
        <v/>
      </c>
      <c r="MD8">
        <f>IF(AND(NOT(OR(FALSE)),AND($LI8="Assombro",'FICHA'!AJ19&lt;4)),"Exige Essência 4","")</f>
        <v/>
      </c>
      <c r="ME8">
        <f>IF(AND(NOT(OR(FALSE)),$LI8="Cesta Oca de Vime"),"Conferir Encarnado ou treino em História","")</f>
        <v/>
      </c>
      <c r="MF8">
        <f>IF(AND(NOT(OR(FALSE)),$LI8="Pétala"),"Conferir Descendente ou aprendizado de clã","")</f>
        <v/>
      </c>
      <c r="MG8">
        <f>IF(AND(NOT(OR(FALSE)),$LI8="Domínio Simples"),"Conferir aprendizado de Domínio Simples","")</f>
        <v/>
      </c>
      <c r="MH8">
        <f>IF(AND(NOT(OR(FALSE)),$LI8="Extensão de Domínio"),"Conferir aprendizado de Extensão de Domínio","")</f>
        <v/>
      </c>
      <c r="MI8">
        <f>IF(AND(NOT(OR(FALSE)),$LI8="Ritual"),"Conferir Técnica Inata","")</f>
        <v/>
      </c>
      <c r="MJ8">
        <f>IF(AND(NOT(OR(FALSE)),AND($LI8="Represália",MAX('FICHA'!D19,'FICHA'!L19)&lt;4)),"Exige Força ou Destreza 4","")</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IFERROR(MATCH(SUBSTITUTE(SUBSTITUTE(SUBSTITUTE($ED9,"~","~~"),"*","~*"),"?","~?"),'DADOS_FORMAS'!$FJ$2:$FJ$21,0),0)</f>
        <v/>
      </c>
      <c r="EM9" s="161">
        <f>IF($EL9=0,0,INDEX('DADOS_FORMAS'!$FM$2:$FM$21,$EL9))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IF($EL9=0,0,INDEX('DADOS_FORMAS'!$FN$2:$FN$21,$EL9))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IF($EL9=0,0,INDEX('DADOS_FORMAS'!$FO$2:$FO$21,$EL9))</f>
        <v/>
      </c>
      <c r="EZ9" s="161">
        <f>IF($EL9=0,0,INDEX('DADOS_FORMAS'!$FP$2:$FP$21,$EL9))</f>
        <v/>
      </c>
      <c r="FA9" s="161">
        <f>IF($EL9=0,0,INDEX('DADOS_FORMAS'!$FR$2:$FR$21,$EL9))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IF(IFERROR(INDEX('DADOS_FORMAS'!$AS$2:$AS$21,MATCH(SUBSTITUTE(SUBSTITUTE(SUBSTITUTE($ED9,"~","~~"),"*","~*"),"?","~?"),'DADOS_FORMAS'!$AH$2:$AH$21,0)),"")="",0,IFERROR(N(VLOOKUP(SUBSTITUTE(SUBSTITUTE(SUBSTITUTE(IFERROR(INDEX('DADOS_FORMAS'!$AS$2:$AS$21,MATCH(SUBSTITUTE(SUBSTITUTE(SUBSTITUTE($ED9,"~","~~"),"*","~*"),"?","~?"),'DADOS_FORMAS'!$AH$2:$AH$21,0)),""),"~","~~"),"*","~*"),"?","~?"),'DADOS_RESTRICOES'!$M$2:$Q$54,3,FALSE)=1),0))</f>
        <v/>
      </c>
      <c r="FM9" s="161">
        <f>COUNTIF($FB9:$FC9,2)+IF(IFERROR(INDEX('DADOS_FORMAS'!$AS$2:$AS$21,MATCH(SUBSTITUTE(SUBSTITUTE(SUBSTITUTE($ED9,"~","~~"),"*","~*"),"?","~?"),'DADOS_FORMAS'!$AH$2:$AH$21,0)),"")="",0,IFERROR(N(VLOOKUP(SUBSTITUTE(SUBSTITUTE(SUBSTITUTE(IFERROR(INDEX('DADOS_FORMAS'!$AS$2:$AS$21,MATCH(SUBSTITUTE(SUBSTITUTE(SUBSTITUTE($ED9,"~","~~"),"*","~*"),"?","~?"),'DADOS_FORMAS'!$AH$2:$AH$21,0)),""),"~","~~"),"*","~*"),"?","~?"),'DADOS_RESTRICOES'!$M$2:$Q$54,3,FALSE)=2),0))</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Corpo")&gt;0,$EY9=0,OR($LB9="Cone",$LB9="Linha")),"Corpo a Corpo não entra em "&amp;$ED9,""),IF(AND(COUNTIF($FD9:$FE9,"Corpo a Corpo")&gt;0,$LC9="Corpo a Corpo"),"A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"&amp;$EJ9,""))),IF(AND($ED9&lt;&gt;"",COUNTIF('DADOS_FORMAS'!$AH$2:$AH$21,SUBSTITUTE(SUBSTITUTE(SUBSTITUTE($ED9,"~","~~"),"*","~*"),"?","~?"))=0),"Forma não cadastrada ou com erro: "&amp;$ED9,""),IF(AND(IFERROR(INDEX('DADOS_FORMAS'!$AS$2:$AS$21,MATCH(SUBSTITUTE(SUBSTITUTE(SUBSTITUTE($ED9,"~","~~"),"*","~*"),"?","~?"),'DADOS_FORMAS'!$AH$2:$AH$21,0)),"")&lt;&gt;"",OR(IFERROR(VLOOKUP(SUBSTITUTE(SUBSTITUTE(SUBSTITUTE(IFERROR(INDEX('DADOS_FORMAS'!$AS$2:$AS$21,MATCH(SUBSTITUTE(SUBSTITUTE(SUBSTITUTE($ED9,"~","~~"),"*","~*"),"?","~?"),'DADOS_FORMAS'!$AH$2:$AH$21,0)),""),"~","~~"),"*","~*"),"?","~?"),'DADOS_RESTRICOES'!$M$2:$Q$54,2,FALSE),"")=$FD9,IFERROR(VLOOKUP(SUBSTITUTE(SUBSTITUTE(SUBSTITUTE(IFERROR(INDEX('DADOS_FORMAS'!$AS$2:$AS$21,MATCH(SUBSTITUTE(SUBSTITUTE(SUBSTITUTE($ED9,"~","~~"),"*","~*"),"?","~?"),'DADOS_FORMAS'!$AH$2:$AH$21,0)),""),"~","~~"),"*","~*"),"?","~?"),'DADOS_RESTRICOES'!$M$2:$Q$54,2,FALSE),"")=$FE9)),"Restrição repetida, contando a embutida",""),IF(IF(IFERROR(INDEX('DADOS_FORMAS'!$AS$2:$AS$21,MATCH(SUBSTITUTE(SUBSTITUTE(SUBSTITUTE($ED9,"~","~~"),"*","~*"),"?","~?"),'DADOS_FORMAS'!$AH$2:$AH$21,0)),"")="",0,IFERROR(N(VLOOKUP(SUBSTITUTE(SUBSTITUTE(SUBSTITUTE(IFERROR(INDEX('DADOS_FORMAS'!$AS$2:$AS$21,MATCH(SUBSTITUTE(SUBSTITUTE(SUBSTITUTE($ED9,"~","~~"),"*","~*"),"?","~?"),'DADOS_FORMAS'!$AH$2:$AH$21,0)),""),"~","~~"),"*","~*"),"?","~?"),'DADOS_RESTRICOES'!$M$2:$Q$54,4,FALSE)=1),0))+IF($EI9="",0,IFERROR(N(VLOOKUP(SUBSTITUTE(SUBSTITUTE(SUBSTITUTE($EI9,"~","~~"),"*","~*"),"?","~?"),'DADOS_RESTRICOES'!$M$2:$Q$54,4,FALSE)=1),0))+IF($EJ9="",0,IFERROR(N(VLOOKUP(SUBSTITUTE(SUBSTITUTE(SUBSTITUTE($EJ9,"~","~~"),"*","~*"),"?","~?"),'DADOS_RESTRICOES'!$M$2:$Q$54,4,FALSE)=1),0))&gt;1,"Duas Restrições de frequência, contando a embutida",""),IF(AND(IFERROR(VLOOKUP(SUBSTITUTE(SUBSTITUTE(SUBSTITUTE(IFERROR(INDEX('DADOS_FORMAS'!$AS$2:$AS$21,MATCH(SUBSTITUTE(SUBSTITUTE(SUBSTITUTE($ED9,"~","~~"),"*","~*"),"?","~?"),'DADOS_FORMAS'!$AH$2:$AH$21,0)),""),"~","~~"),"*","~*"),"?","~?"),'DADOS_RESTRICOES'!$M$2:$Q$54,2,FALSE),"")="Tudo ou Nada",$FA9=0),"Tudo ou Nada exige TR",""),IF(AND(IFERROR(VLOOKUP(SUBSTITUTE(SUBSTITUTE(SUBSTITUTE(IFERROR(INDEX('DADOS_FORMAS'!$AS$2:$AS$21,MATCH(SUBSTITUTE(SUBSTITUTE(SUBSTITUTE($ED9,"~","~~"),"*","~*"),"?","~?"),'DADOS_FORMAS'!$AH$2:$AH$21,0)),""),"~","~~"),"*","~*"),"?","~?"),'DADOS_RESTRICOES'!$M$2:$Q$54,2,FALSE),"")="Corpo a Corpo",OR($LB9="Cone",$LB9="Linha")),"Corpo a Corpo não entra em Cone/Linha","")))</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inteira",IF(COUNTIF($LD9:$LF9,"Atrasar")&gt;0,IF(COUNTIF($LD9:$LF9,"Carregar")&gt;0,"Rodada +1 turno","Rodada inteira"),IF(COUNTIF($KW9:$KZ9,"Rápido")&gt;0,"Bônus",IF(COUNTIF($KW9:$KZ9,"Reação")&gt;0,"Reação","Padrão"))&amp;IF(COUNTIF($LD9:$LF9,"Carregar")&gt;0," +1 turno",""))))</f>
        <v/>
      </c>
      <c r="GT9" s="161">
        <f>IF(OR($EK9=0,$EL9=0),"",IF(COUNTIF($KW9:$KZ9,"Inescapável")&gt;0,"Automático",IF(COUNTIF($KW9:$KZ9,"Certeiro")&gt;0,"TR para metade",IF(AND($EX9&gt;0,$FA9=0,INDEX('DADOS_FORMAS'!$FQ$2:$FQ$21,$EL9)="Acerto"),"Acerto + TR",INDEX('DADOS_FORMAS'!$FQ$2:$FQ$21,$EL9)))))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IF($EL9=0,0,CHOOSE(1+INDEX('DADOS_FORMAS'!$FS$2:$FS$21,$EL9),0,$GV9,$GW9,$GV9+$GW9))</f>
        <v/>
      </c>
      <c r="GY9" s="161">
        <f>IF($EL9=0,0,CHOOSE(1+INDEX('DADOS_FORMAS'!$FT$2:$FT$21,$EL9),0,$GV9,$GW9,$GV9+$GW9))</f>
        <v/>
      </c>
      <c r="GZ9" s="161">
        <f>IF(OR($EK9=0,$EL9=0),"",INDEX('DADOS_FORMAS'!$GZ$2:$HE$61,($EL9-1)*3+IF($EB9&gt;=6,3,2),1+MIN(5,$GX9))&amp;INDEX('DADOS_FORMAS'!$HF$2:$HK$61,($EL9-1)*3+IF($EB9&gt;=6,3,2),1+MIN(5,$GY9))&amp;IF(INDEX('DADOS_FORMAS'!$FU$2:$FU$21,$EL9)=1,IF(COUNTIF($KW9:$KZ9,"Mais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IFERROR(VLOOKUP(SUBSTITUTE(SUBSTITUTE(SUBSTITUTE($HP9,"~","~~"),"*","~*"),"?","~?"),'DADOS_TALENTOS'!$AQ$2:$AW$34,2,FALSE),0)</f>
        <v/>
      </c>
      <c r="HR9" s="161">
        <f>IFERROR(VLOOKUP($HQ9,$CA$2:$CB$4,2,FALSE),0)</f>
        <v/>
      </c>
      <c r="HS9" s="161">
        <f>IFERROR(VLOOKUP(SUBSTITUTE(SUBSTITUTE(SUBSTITUTE($HP9,"~","~~"),"*","~*"),"?","~?"),'DADOS_TALENTOS'!$AQ$2:$AW$34,3,FALSE),"")</f>
        <v/>
      </c>
      <c r="HT9" s="161">
        <f>IF($HQ9=0,"",IF($HR9&gt;$HM$2,"⚠ Nível "&amp;$HR9,"CE "&amp;$HQ9))&amp;IF('DADOS_AM'!$LO9="",""," · ⚠ "&amp;'DADOS_AM'!$LO9)</f>
        <v/>
      </c>
      <c r="HU9" s="161">
        <f>IF($HQ9=0,"",IF(3&gt;$HM$8,"⚠ Vaga","Grátis"))</f>
        <v/>
      </c>
      <c r="HV9" s="161">
        <f>'FICHA AMALDIÇOADA'!$Q$402&amp;""</f>
        <v/>
      </c>
      <c r="HW9" s="161">
        <f>IF($HP9="","",COUNTIF($HP$2:$HP9,"?*"))</f>
        <v/>
      </c>
      <c r="HY9" s="159" t="inlineStr">
        <is>
          <t>Aptidão 8</t>
        </is>
      </c>
      <c r="HZ9" s="161">
        <f>'FICHA AMALDIÇOADA'!$J$472&amp;""</f>
        <v/>
      </c>
      <c r="IA9" s="161">
        <f>IF($HZ9="","","Requisito: "&amp;IFERROR(VLOOKUP(SUBSTITUTE(SUBSTITUTE(SUBSTITUTE($HZ9,"~","~~"),"*","~*"),"?","~?"),'DADOS_APTIDOES'!$BF$2:$BO$45,2,FALSE),""))&amp;IF($LK9="",""," · ⚠ "&amp;$LK9)</f>
        <v/>
      </c>
      <c r="IB9" s="161">
        <f>IF($HZ9="","",IFERROR(IF(ISNUMBER(VLOOKUP(SUBSTITUTE(SUBSTITUTE(SUBSTITUTE($HZ9,"~","~~"),"*","~*"),"?","~?"),'DADOS_APTIDOES'!$BF$2:$BO$45,3,FALSE)),"CE "&amp;VLOOKUP(SUBSTITUTE(SUBSTITUTE(SUBSTITUTE($HZ9,"~","~~"),"*","~*"),"?","~?"),'DADOS_APTIDOES'!$BF$2:$BO$45,3,FALSE),VLOOKUP(SUBSTITUTE(SUBSTITUTE(SUBSTITUTE($HZ9,"~","~~"),"*","~*"),"?","~?"),'DADOS_APTIDOES'!$BF$2:$BO$45,3,FALSE)),""))</f>
        <v/>
      </c>
      <c r="IC9" s="161">
        <f>IF($HZ9="","",IFERROR(VLOOKUP(SUBSTITUTE(SUBSTITUTE(SUBSTITUTE($HZ9,"~","~~"),"*","~*"),"?","~?"),'DADOS_APTIDOES'!$BF$2:$BO$45,4,FALSE),""))</f>
        <v/>
      </c>
      <c r="ID9" s="161">
        <f>IF($HZ9="","",IFERROR(VLOOKUP(SUBSTITUTE(SUBSTITUTE(SUBSTITUTE($HZ9,"~","~~"),"*","~*"),"?","~?"),'DADOS_APTIDOES'!$BF$2:$BO$45,5,FALSE),""))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IF($KG9=0,"",IF(INDEX($HV$2:$HV$13,$KG9)&lt;&gt;"",INDEX($HV$2:$HV$13,$KG9),IF(IFERROR(VLOOKUP(SUBSTITUTE(SUBSTITUTE(SUBSTITUTE(INDEX($HP$2:$HP$13,$KG9),"~","~~"),"*","~*"),"?","~?"),'DADOS_TALENTOS'!$AQ$2:$AW$34,7,FALSE),"")&lt;&gt;"","Do livro: "&amp;IFERROR(VLOOKUP(SUBSTITUTE(SUBSTITUTE(SUBSTITUTE(INDEX($HP$2:$HP$13,$KG9),"~","~~"),"*","~*"),"?","~?"),'DADOS_TALENTOS'!$AQ$2:$AW$34,7,FALSE),""),"")))</f>
        <v/>
      </c>
      <c r="KL9" s="159" t="inlineStr">
        <is>
          <t>Aptidão 6</t>
        </is>
      </c>
      <c r="KM9" s="161">
        <f>IFERROR(MATCH(6,$IF$2:$IF$13,0),0)</f>
        <v/>
      </c>
      <c r="KN9" s="161">
        <f>IF($KM9=0,"",INDEX($IB$2:$IB$13,$KM9))</f>
        <v/>
      </c>
      <c r="KO9" s="161">
        <f>IF($KM9=0,"",INDEX($HZ$2:$HZ$13,$KM9))</f>
        <v/>
      </c>
      <c r="KP9" s="161">
        <f>IF($KM9=0,"",IF(INDEX($IE$2:$IE$13,$KM9)&lt;&gt;"",INDEX($IE$2:$IE$13,$KM9),IF(IFERROR(VLOOKUP(SUBSTITUTE(SUBSTITUTE(SUBSTITUTE(INDEX($HZ$2:$HZ$13,$KM9),"~","~~"),"*","~*"),"?","~?"),'DADOS_APTIDOES'!$BF$2:$BO$45,10,FALSE),"")&lt;&gt;"","Do livro: "&amp;IFERROR(VLOOKUP(SUBSTITUTE(SUBSTITUTE(SUBSTITUTE(INDEX($HZ$2:$HZ$13,$KM9),"~","~~"),"*","~*"),"?","~?"),'DADOS_APTIDOES'!$BF$2:$BO$45,10,FALSE),""),"")))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c r="LB9">
        <f>IFERROR(INDEX('DADOS_FORMAS'!$BJ$2:$BJ$21,MATCH(SUBSTITUTE(SUBSTITUTE(SUBSTITUTE($ED9,"~","~~"),"*","~*"),"?","~?"),'DADOS_FORMAS'!$AH$2:$AH$21,0)),"")</f>
        <v/>
      </c>
      <c r="LC9">
        <f>IFERROR(VLOOKUP(SUBSTITUTE(SUBSTITUTE(SUBSTITUTE(IFERROR(INDEX('DADOS_FORMAS'!$AS$2:$AS$21,MATCH(SUBSTITUTE(SUBSTITUTE(SUBSTITUTE($ED9,"~","~~"),"*","~*"),"?","~?"),'DADOS_FORMAS'!$AH$2:$AH$21,0)),""),"~","~~"),"*","~*"),"?","~?"),'DADOS_RESTRICOES'!$M$2:$Q$54,2,FALSE),"")</f>
        <v/>
      </c>
      <c r="LD9">
        <f>$FD9</f>
        <v/>
      </c>
      <c r="LE9">
        <f>$FE9</f>
        <v/>
      </c>
      <c r="LF9">
        <f>$LC9</f>
        <v/>
      </c>
      <c r="LH9">
        <f>'FICHA AMALDIÇOADA'!$J$472&amp;""</f>
        <v/>
      </c>
      <c r="LI9">
        <f>IF($LH9="","",IF(IFERROR(INDEX('DADOS_APTIDOES'!$X$2:$X$45,MATCH(SUBSTITUTE(SUBSTITUTE(SUBSTITUTE($LH9,"~","~~"),"*","~*"),"?","~?"),'DADOS_APTIDOES'!$O$2:$O$45,0)),"")="",$LH9,IFERROR(INDEX('DADOS_APTIDOES'!$X$2:$X$45,MATCH(SUBSTITUTE(SUBSTITUTE(SUBSTITUTE($LH9,"~","~~"),"*","~*"),"?","~?"),'DADOS_APTIDOES'!$O$2:$O$45,0)),"")))</f>
        <v/>
      </c>
      <c r="LJ9">
        <f>IF(LEFT($LI9,16)="Aptidão Própria (","Aptidão Própria",IF(LEFT($LI9,15)="Bênção Própria (","Bênção Própria",$LI9))</f>
        <v/>
      </c>
      <c r="LK9">
        <f>IF($LH9="","",TEXTJOIN(" · ",TRUE,$LP9:$MJ9))</f>
        <v/>
      </c>
      <c r="LL9">
        <f>IF($LH9="",0,IF(IFERROR(INDEX('DADOS_APTIDOES'!$W$2:$W$45,MATCH(SUBSTITUTE(SUBSTITUTE(SUBSTITUTE($LH9,"~","~~"),"*","~*"),"?","~?"),'DADOS_APTIDOES'!$O$2:$O$45,0)),"")="Gratuita",0,1))</f>
        <v/>
      </c>
      <c r="LO9">
        <f>IF('FICHA AMALDIÇOADA'!$P$397="","",TEXTJOIN(" · ",TRUE,IF(COUNTIF('DADOS_TALENTOS'!$M$2:$M$34,SUBSTITUTE(SUBSTITUTE(SUBSTITUTE('FICHA AMALDIÇOADA'!$P$397,"~","~~"),"*","~*"),"?","~?"))=0,"Talento não cadastrado ou com erro",""),IF(COUNTIF('DADOS_TALENTOS'!$AV$2:$AV$34,SUBSTITUTE(SUBSTITUTE(SUBSTITUTE('FICHA AMALDIÇOADA'!$P$397,"~","~~"),"*","~*"),"?","~?"))=0,"Talento incompatível com a rota","")))</f>
        <v/>
      </c>
      <c r="LP9">
        <f>IF(COUNTIF('DADOS_APTIDOES'!$O$2:$O$45,SUBSTITUTE(SUBSTITUTE(SUBSTITUTE($LH9,"~","~~"),"*","~*"),"?","~?"))=0,"Aptidão não cadastrada ou com erro","")</f>
        <v/>
      </c>
      <c r="LQ9">
        <f>IF(COUNTIF('DADOS_APTIDOES'!$BK$2:$BK$45,SUBSTITUTE(SUBSTITUTE(SUBSTITUTE($LH9,"~","~~"),"*","~*"),"?","~?"))=0,"Rota/origem incompatível ou capacidade inicial automática","")</f>
        <v/>
      </c>
      <c r="LR9">
        <f>IF(AND(NOT(OR(FALSE)),DADOS_AM!$HM$2&lt;IFERROR(INDEX('DADOS_APTIDOES'!$U$2:$U$45,MATCH(SUBSTITUTE(SUBSTITUTE(SUBSTITUTE($LH9,"~","~~"),"*","~*"),"?","~?"),'DADOS_APTIDOES'!$O$2:$O$45,0)),1)),"Nível mínimo não atendido","")</f>
        <v/>
      </c>
      <c r="LS9">
        <f>IF(AND(NOT(OR(FALSE)),DADOS_AM!$HM$6&lt;MAX(IF(AND($LI9="Domínio Simples",FALSE,IFERROR(INDEX('DADOS_APTIDOES'!$V$2:$V$45,MATCH(SUBSTITUTE(SUBSTITUTE(SUBSTITUTE($LH9,"~","~~"),"*","~*"),"?","~?"),'DADOS_APTIDOES'!$O$2:$O$45,0)),1)=5),4,IFERROR(INDEX('DADOS_APTIDOES'!$V$2:$V$45,MATCH(SUBSTITUTE(SUBSTITUTE(SUBSTITUTE($LH9,"~","~~"),"*","~*"),"?","~?"),'DADOS_APTIDOES'!$O$2:$O$45,0)),1)),IF(IFERROR(INDEX('DADOS_APTIDOES'!$N$2:$N$45,MATCH(SUBSTITUTE(SUBSTITUTE(SUBSTITUTE($LH9,"~","~~"),"*","~*"),"?","~?"),'DADOS_APTIDOES'!$O$2:$O$45,0)),"")="Bênção",IF(IFERROR(INDEX('DADOS_APTIDOES'!$T$2:$T$45,MATCH(SUBSTITUTE(SUBSTITUTE(SUBSTITUTE($LH9,"~","~~"),"*","~*"),"?","~?"),'DADOS_APTIDOES'!$O$2:$O$45,0)),0)=3,7,IF(IFERROR(INDEX('DADOS_APTIDOES'!$T$2:$T$45,MATCH(SUBSTITUTE(SUBSTITUTE(SUBSTITUTE($LH9,"~","~~"),"*","~*"),"?","~?"),'DADOS_APTIDOES'!$O$2:$O$45,0)),0)=2,4,1)),1))),"Refino/Lapidação mínimo não atendido","")</f>
        <v/>
      </c>
      <c r="LT9">
        <f>IF(COUNTIF($LJ$2:$LJ9,SUBSTITUTE(SUBSTITUTE(SUBSTITUTE($LJ9,"~","~~"),"*","~*"),"?","~?"))&gt;1,"Aptidão/Bênção repetida","")</f>
        <v/>
      </c>
      <c r="LU9">
        <f>IF(AND(NOT(OR(FALSE)),AND($LI9="Circulação",COUNTIF($LI$2:$LI8,"Energia Reversa")=0)),"Exige aquisição anterior: Energia Reversa","")</f>
        <v/>
      </c>
      <c r="LV9">
        <f>IF(AND(NOT(OR(FALSE)),AND($LI9="Regravação",COUNTIF($LI$2:$LI8,"Circulação")=0)),"Exige aquisição anterior: Circulação","")</f>
        <v/>
      </c>
      <c r="LW9">
        <f>IF(AND(NOT(OR(FALSE)),AND($LI9="Cortina",COUNTIF($LI$2:$LI8,"Barreira Simples")=0)),"Exige aquisição anterior: Barreira Simples","")</f>
        <v/>
      </c>
      <c r="LX9">
        <f>IF(AND(NOT(OR(FALSE)),AND($LI9="Ritual",'FICHA'!AB19&lt;5)),"Exige Inteligência 5","")</f>
        <v/>
      </c>
      <c r="LY9">
        <f>IF(AND(NOT(OR(FALSE)),AND($LI9="Ímpeto",'FICHA'!L19&lt;4)),"Exige Destreza 4","")</f>
        <v/>
      </c>
      <c r="LZ9">
        <f>IF(AND(NOT(OR(FALSE)),AND($LI9="Casco",'FICHA'!T19&lt;4)),"Exige Constituição 4","")</f>
        <v/>
      </c>
      <c r="MA9">
        <f>IF(AND(NOT(OR(FALSE)),AND($LI9="Presilha",'FICHA'!D19&lt;4)),"Exige Força 4","")</f>
        <v/>
      </c>
      <c r="MB9">
        <f>IF(AND(NOT(OR(FALSE)),AND($LI9="Antecipar",'FICHA'!AB19&lt;4)),"Exige Inteligência 4","")</f>
        <v/>
      </c>
      <c r="MC9">
        <f>IF(AND(NOT(OR(FALSE)),AND($LI9="Sangue Frio",'FICHA'!T19&lt;4)),"Exige Constituição 4","")</f>
        <v/>
      </c>
      <c r="MD9">
        <f>IF(AND(NOT(OR(FALSE)),AND($LI9="Assombro",'FICHA'!AJ19&lt;4)),"Exige Essência 4","")</f>
        <v/>
      </c>
      <c r="ME9">
        <f>IF(AND(NOT(OR(FALSE)),$LI9="Cesta Oca de Vime"),"Conferir Encarnado ou treino em História","")</f>
        <v/>
      </c>
      <c r="MF9">
        <f>IF(AND(NOT(OR(FALSE)),$LI9="Pétala"),"Conferir Descendente ou aprendizado de clã","")</f>
        <v/>
      </c>
      <c r="MG9">
        <f>IF(AND(NOT(OR(FALSE)),$LI9="Domínio Simples"),"Conferir aprendizado de Domínio Simples","")</f>
        <v/>
      </c>
      <c r="MH9">
        <f>IF(AND(NOT(OR(FALSE)),$LI9="Extensão de Domínio"),"Conferir aprendizado de Extensão de Domínio","")</f>
        <v/>
      </c>
      <c r="MI9">
        <f>IF(AND(NOT(OR(FALSE)),$LI9="Ritual"),"Conferir Técnica Inata","")</f>
        <v/>
      </c>
      <c r="MJ9">
        <f>IF(AND(NOT(OR(FALSE)),AND($LI9="Represália",MAX('FICHA'!D19,'FICHA'!L19)&lt;4)),"Exige Força ou Destreza 4","")</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IFERROR(MATCH(SUBSTITUTE(SUBSTITUTE(SUBSTITUTE($ED10,"~","~~"),"*","~*"),"?","~?"),'DADOS_FORMAS'!$FJ$2:$FJ$21,0),0)</f>
        <v/>
      </c>
      <c r="EM10" s="161">
        <f>IF($EL10=0,0,INDEX('DADOS_FORMAS'!$FM$2:$FM$21,$EL10))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IF($EL10=0,0,INDEX('DADOS_FORMAS'!$FN$2:$FN$21,$EL10))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IF($EL10=0,0,INDEX('DADOS_FORMAS'!$FO$2:$FO$21,$EL10))</f>
        <v/>
      </c>
      <c r="EZ10" s="161">
        <f>IF($EL10=0,0,INDEX('DADOS_FORMAS'!$FP$2:$FP$21,$EL10))</f>
        <v/>
      </c>
      <c r="FA10" s="161">
        <f>IF($EL10=0,0,INDEX('DADOS_FORMAS'!$FR$2:$FR$21,$EL10))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IF(IFERROR(INDEX('DADOS_FORMAS'!$AS$2:$AS$21,MATCH(SUBSTITUTE(SUBSTITUTE(SUBSTITUTE($ED10,"~","~~"),"*","~*"),"?","~?"),'DADOS_FORMAS'!$AH$2:$AH$21,0)),"")="",0,IFERROR(N(VLOOKUP(SUBSTITUTE(SUBSTITUTE(SUBSTITUTE(IFERROR(INDEX('DADOS_FORMAS'!$AS$2:$AS$21,MATCH(SUBSTITUTE(SUBSTITUTE(SUBSTITUTE($ED10,"~","~~"),"*","~*"),"?","~?"),'DADOS_FORMAS'!$AH$2:$AH$21,0)),""),"~","~~"),"*","~*"),"?","~?"),'DADOS_RESTRICOES'!$M$2:$Q$54,3,FALSE)=1),0))</f>
        <v/>
      </c>
      <c r="FM10" s="161">
        <f>COUNTIF($FB10:$FC10,2)+IF(IFERROR(INDEX('DADOS_FORMAS'!$AS$2:$AS$21,MATCH(SUBSTITUTE(SUBSTITUTE(SUBSTITUTE($ED10,"~","~~"),"*","~*"),"?","~?"),'DADOS_FORMAS'!$AH$2:$AH$21,0)),"")="",0,IFERROR(N(VLOOKUP(SUBSTITUTE(SUBSTITUTE(SUBSTITUTE(IFERROR(INDEX('DADOS_FORMAS'!$AS$2:$AS$21,MATCH(SUBSTITUTE(SUBSTITUTE(SUBSTITUTE($ED10,"~","~~"),"*","~*"),"?","~?"),'DADOS_FORMAS'!$AH$2:$AH$21,0)),""),"~","~~"),"*","~*"),"?","~?"),'DADOS_RESTRICOES'!$M$2:$Q$54,3,FALSE)=2),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Corpo")&gt;0,$EY10=0,OR($LB10="Cone",$LB10="Linha")),"Corpo a Corpo não entra em "&amp;$ED10,""),IF(AND(COUNTIF($FD10:$FE10,"Corpo a Corpo")&gt;0,$LC10="Corpo a Corpo"),"A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"&amp;$EJ10,""))),IF(AND($ED10&lt;&gt;"",COUNTIF('DADOS_FORMAS'!$AH$2:$AH$21,SUBSTITUTE(SUBSTITUTE(SUBSTITUTE($ED10,"~","~~"),"*","~*"),"?","~?"))=0),"Forma não cadastrada ou com erro: "&amp;$ED10,""),IF(AND(IFERROR(INDEX('DADOS_FORMAS'!$AS$2:$AS$21,MATCH(SUBSTITUTE(SUBSTITUTE(SUBSTITUTE($ED10,"~","~~"),"*","~*"),"?","~?"),'DADOS_FORMAS'!$AH$2:$AH$21,0)),"")&lt;&gt;"",OR(IFERROR(VLOOKUP(SUBSTITUTE(SUBSTITUTE(SUBSTITUTE(IFERROR(INDEX('DADOS_FORMAS'!$AS$2:$AS$21,MATCH(SUBSTITUTE(SUBSTITUTE(SUBSTITUTE($ED10,"~","~~"),"*","~*"),"?","~?"),'DADOS_FORMAS'!$AH$2:$AH$21,0)),""),"~","~~"),"*","~*"),"?","~?"),'DADOS_RESTRICOES'!$M$2:$Q$54,2,FALSE),"")=$FD10,IFERROR(VLOOKUP(SUBSTITUTE(SUBSTITUTE(SUBSTITUTE(IFERROR(INDEX('DADOS_FORMAS'!$AS$2:$AS$21,MATCH(SUBSTITUTE(SUBSTITUTE(SUBSTITUTE($ED10,"~","~~"),"*","~*"),"?","~?"),'DADOS_FORMAS'!$AH$2:$AH$21,0)),""),"~","~~"),"*","~*"),"?","~?"),'DADOS_RESTRICOES'!$M$2:$Q$54,2,FALSE),"")=$FE10)),"Restrição repetida, contando a embutida",""),IF(IF(IFERROR(INDEX('DADOS_FORMAS'!$AS$2:$AS$21,MATCH(SUBSTITUTE(SUBSTITUTE(SUBSTITUTE($ED10,"~","~~"),"*","~*"),"?","~?"),'DADOS_FORMAS'!$AH$2:$AH$21,0)),"")="",0,IFERROR(N(VLOOKUP(SUBSTITUTE(SUBSTITUTE(SUBSTITUTE(IFERROR(INDEX('DADOS_FORMAS'!$AS$2:$AS$21,MATCH(SUBSTITUTE(SUBSTITUTE(SUBSTITUTE($ED10,"~","~~"),"*","~*"),"?","~?"),'DADOS_FORMAS'!$AH$2:$AH$21,0)),""),"~","~~"),"*","~*"),"?","~?"),'DADOS_RESTRICOES'!$M$2:$Q$54,4,FALSE)=1),0))+IF($EI10="",0,IFERROR(N(VLOOKUP(SUBSTITUTE(SUBSTITUTE(SUBSTITUTE($EI10,"~","~~"),"*","~*"),"?","~?"),'DADOS_RESTRICOES'!$M$2:$Q$54,4,FALSE)=1),0))+IF($EJ10="",0,IFERROR(N(VLOOKUP(SUBSTITUTE(SUBSTITUTE(SUBSTITUTE($EJ10,"~","~~"),"*","~*"),"?","~?"),'DADOS_RESTRICOES'!$M$2:$Q$54,4,FALSE)=1),0))&gt;1,"Duas Restrições de frequência, contando a embutida",""),IF(AND(IFERROR(VLOOKUP(SUBSTITUTE(SUBSTITUTE(SUBSTITUTE(IFERROR(INDEX('DADOS_FORMAS'!$AS$2:$AS$21,MATCH(SUBSTITUTE(SUBSTITUTE(SUBSTITUTE($ED10,"~","~~"),"*","~*"),"?","~?"),'DADOS_FORMAS'!$AH$2:$AH$21,0)),""),"~","~~"),"*","~*"),"?","~?"),'DADOS_RESTRICOES'!$M$2:$Q$54,2,FALSE),"")="Tudo ou Nada",$FA10=0),"Tudo ou Nada exige TR",""),IF(AND(IFERROR(VLOOKUP(SUBSTITUTE(SUBSTITUTE(SUBSTITUTE(IFERROR(INDEX('DADOS_FORMAS'!$AS$2:$AS$21,MATCH(SUBSTITUTE(SUBSTITUTE(SUBSTITUTE($ED10,"~","~~"),"*","~*"),"?","~?"),'DADOS_FORMAS'!$AH$2:$AH$21,0)),""),"~","~~"),"*","~*"),"?","~?"),'DADOS_RESTRICOES'!$M$2:$Q$54,2,FALSE),"")="Corpo a Corpo",OR($LB10="Cone",$LB10="Linha")),"Corpo a Corpo não entra em Cone/Linha","")))</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inteira",IF(COUNTIF($LD10:$LF10,"Atrasar")&gt;0,IF(COUNTIF($LD10:$LF10,"Carregar")&gt;0,"Rodada +1 turno","Rodada inteira"),IF(COUNTIF($KW10:$KZ10,"Rápido")&gt;0,"Bônus",IF(COUNTIF($KW10:$KZ10,"Reação")&gt;0,"Reação","Padrão"))&amp;IF(COUNTIF($LD10:$LF10,"Carregar")&gt;0," +1 turno",""))))</f>
        <v/>
      </c>
      <c r="GT10" s="161">
        <f>IF(OR($EK10=0,$EL10=0),"",IF(COUNTIF($KW10:$KZ10,"Inescapável")&gt;0,"Automático",IF(COUNTIF($KW10:$KZ10,"Certeiro")&gt;0,"TR para metade",IF(AND($EX10&gt;0,$FA10=0,INDEX('DADOS_FORMAS'!$FQ$2:$FQ$21,$EL10)="Acerto"),"Acerto + TR",INDEX('DADOS_FORMAS'!$FQ$2:$FQ$21,$EL10)))))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IF($EL10=0,0,CHOOSE(1+INDEX('DADOS_FORMAS'!$FS$2:$FS$21,$EL10),0,$GV10,$GW10,$GV10+$GW10))</f>
        <v/>
      </c>
      <c r="GY10" s="161">
        <f>IF($EL10=0,0,CHOOSE(1+INDEX('DADOS_FORMAS'!$FT$2:$FT$21,$EL10),0,$GV10,$GW10,$GV10+$GW10))</f>
        <v/>
      </c>
      <c r="GZ10" s="161">
        <f>IF(OR($EK10=0,$EL10=0),"",INDEX('DADOS_FORMAS'!$GZ$2:$HE$61,($EL10-1)*3+IF($EB10&gt;=6,3,2),1+MIN(5,$GX10))&amp;INDEX('DADOS_FORMAS'!$HF$2:$HK$61,($EL10-1)*3+IF($EB10&gt;=6,3,2),1+MIN(5,$GY10))&amp;IF(INDEX('DADOS_FORMAS'!$FU$2:$FU$21,$EL10)=1,IF(COUNTIF($KW10:$KZ10,"Mais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IFERROR(VLOOKUP(SUBSTITUTE(SUBSTITUTE(SUBSTITUTE($HP10,"~","~~"),"*","~*"),"?","~?"),'DADOS_TALENTOS'!$AQ$2:$AW$34,2,FALSE),0)</f>
        <v/>
      </c>
      <c r="HR10" s="161">
        <f>IFERROR(VLOOKUP($HQ10,$CA$2:$CB$4,2,FALSE),0)</f>
        <v/>
      </c>
      <c r="HS10" s="161">
        <f>IFERROR(VLOOKUP(SUBSTITUTE(SUBSTITUTE(SUBSTITUTE($HP10,"~","~~"),"*","~*"),"?","~?"),'DADOS_TALENTOS'!$AQ$2:$AW$34,3,FALSE),"")</f>
        <v/>
      </c>
      <c r="HT10" s="161">
        <f>IF($HQ10=0,"",IF($HR10&gt;$HM$2,"⚠ Nível "&amp;$HR10,"CE "&amp;$HQ10))&amp;IF('DADOS_AM'!$LO10="",""," · ⚠ "&amp;'DADOS_AM'!$LO10)</f>
        <v/>
      </c>
      <c r="HU10" s="161">
        <f>IF($HQ10=0,"",IF(4&gt;$HM$8,"⚠ Vaga","Grátis"))</f>
        <v/>
      </c>
      <c r="HV10" s="161">
        <f>'FICHA AMALDIÇOADA'!$E$410&amp;""</f>
        <v/>
      </c>
      <c r="HW10" s="161">
        <f>IF($HP10="","",COUNTIF($HP$2:$HP10,"?*"))</f>
        <v/>
      </c>
      <c r="HY10" s="159" t="inlineStr">
        <is>
          <t>Aptidão 9</t>
        </is>
      </c>
      <c r="HZ10" s="161">
        <f>'FICHA AMALDIÇOADA'!$P$472&amp;""</f>
        <v/>
      </c>
      <c r="IA10" s="161">
        <f>IF($HZ10="","","Requisito: "&amp;IFERROR(VLOOKUP(SUBSTITUTE(SUBSTITUTE(SUBSTITUTE($HZ10,"~","~~"),"*","~*"),"?","~?"),'DADOS_APTIDOES'!$BF$2:$BO$45,2,FALSE),""))&amp;IF($LK10="",""," · ⚠ "&amp;$LK10)</f>
        <v/>
      </c>
      <c r="IB10" s="161">
        <f>IF($HZ10="","",IFERROR(IF(ISNUMBER(VLOOKUP(SUBSTITUTE(SUBSTITUTE(SUBSTITUTE($HZ10,"~","~~"),"*","~*"),"?","~?"),'DADOS_APTIDOES'!$BF$2:$BO$45,3,FALSE)),"CE "&amp;VLOOKUP(SUBSTITUTE(SUBSTITUTE(SUBSTITUTE($HZ10,"~","~~"),"*","~*"),"?","~?"),'DADOS_APTIDOES'!$BF$2:$BO$45,3,FALSE),VLOOKUP(SUBSTITUTE(SUBSTITUTE(SUBSTITUTE($HZ10,"~","~~"),"*","~*"),"?","~?"),'DADOS_APTIDOES'!$BF$2:$BO$45,3,FALSE)),""))</f>
        <v/>
      </c>
      <c r="IC10" s="161">
        <f>IF($HZ10="","",IFERROR(VLOOKUP(SUBSTITUTE(SUBSTITUTE(SUBSTITUTE($HZ10,"~","~~"),"*","~*"),"?","~?"),'DADOS_APTIDOES'!$BF$2:$BO$45,4,FALSE),""))</f>
        <v/>
      </c>
      <c r="ID10" s="161">
        <f>IF($HZ10="","",IFERROR(VLOOKUP(SUBSTITUTE(SUBSTITUTE(SUBSTITUTE($HZ10,"~","~~"),"*","~*"),"?","~?"),'DADOS_APTIDOES'!$BF$2:$BO$45,5,FALSE),""))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IF($KG10=0,"",IF(INDEX($HV$2:$HV$13,$KG10)&lt;&gt;"",INDEX($HV$2:$HV$13,$KG10),IF(IFERROR(VLOOKUP(SUBSTITUTE(SUBSTITUTE(SUBSTITUTE(INDEX($HP$2:$HP$13,$KG10),"~","~~"),"*","~*"),"?","~?"),'DADOS_TALENTOS'!$AQ$2:$AW$34,7,FALSE),"")&lt;&gt;"","Do livro: "&amp;IFERROR(VLOOKUP(SUBSTITUTE(SUBSTITUTE(SUBSTITUTE(INDEX($HP$2:$HP$13,$KG10),"~","~~"),"*","~*"),"?","~?"),'DADOS_TALENTOS'!$AQ$2:$AW$34,7,FALSE),""),"")))</f>
        <v/>
      </c>
      <c r="KL10" s="159" t="inlineStr">
        <is>
          <t>Aptidão 7</t>
        </is>
      </c>
      <c r="KM10" s="161">
        <f>IFERROR(MATCH(7,$IF$2:$IF$13,0),0)</f>
        <v/>
      </c>
      <c r="KN10" s="161">
        <f>IF($KM10=0,"",INDEX($IB$2:$IB$13,$KM10))</f>
        <v/>
      </c>
      <c r="KO10" s="161">
        <f>IF($KM10=0,"",INDEX($HZ$2:$HZ$13,$KM10))</f>
        <v/>
      </c>
      <c r="KP10" s="161">
        <f>IF($KM10=0,"",IF(INDEX($IE$2:$IE$13,$KM10)&lt;&gt;"",INDEX($IE$2:$IE$13,$KM10),IF(IFERROR(VLOOKUP(SUBSTITUTE(SUBSTITUTE(SUBSTITUTE(INDEX($HZ$2:$HZ$13,$KM10),"~","~~"),"*","~*"),"?","~?"),'DADOS_APTIDOES'!$BF$2:$BO$45,10,FALSE),"")&lt;&gt;"","Do livro: "&amp;IFERROR(VLOOKUP(SUBSTITUTE(SUBSTITUTE(SUBSTITUTE(INDEX($HZ$2:$HZ$13,$KM10),"~","~~"),"*","~*"),"?","~?"),'DADOS_APTIDOES'!$BF$2:$BO$45,10,FALSE),""),"")))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c r="LB10">
        <f>IFERROR(INDEX('DADOS_FORMAS'!$BJ$2:$BJ$21,MATCH(SUBSTITUTE(SUBSTITUTE(SUBSTITUTE($ED10,"~","~~"),"*","~*"),"?","~?"),'DADOS_FORMAS'!$AH$2:$AH$21,0)),"")</f>
        <v/>
      </c>
      <c r="LC10">
        <f>IFERROR(VLOOKUP(SUBSTITUTE(SUBSTITUTE(SUBSTITUTE(IFERROR(INDEX('DADOS_FORMAS'!$AS$2:$AS$21,MATCH(SUBSTITUTE(SUBSTITUTE(SUBSTITUTE($ED10,"~","~~"),"*","~*"),"?","~?"),'DADOS_FORMAS'!$AH$2:$AH$21,0)),""),"~","~~"),"*","~*"),"?","~?"),'DADOS_RESTRICOES'!$M$2:$Q$54,2,FALSE),"")</f>
        <v/>
      </c>
      <c r="LD10">
        <f>$FD10</f>
        <v/>
      </c>
      <c r="LE10">
        <f>$FE10</f>
        <v/>
      </c>
      <c r="LF10">
        <f>$LC10</f>
        <v/>
      </c>
      <c r="LH10">
        <f>'FICHA AMALDIÇOADA'!$P$472&amp;""</f>
        <v/>
      </c>
      <c r="LI10">
        <f>IF($LH10="","",IF(IFERROR(INDEX('DADOS_APTIDOES'!$X$2:$X$45,MATCH(SUBSTITUTE(SUBSTITUTE(SUBSTITUTE($LH10,"~","~~"),"*","~*"),"?","~?"),'DADOS_APTIDOES'!$O$2:$O$45,0)),"")="",$LH10,IFERROR(INDEX('DADOS_APTIDOES'!$X$2:$X$45,MATCH(SUBSTITUTE(SUBSTITUTE(SUBSTITUTE($LH10,"~","~~"),"*","~*"),"?","~?"),'DADOS_APTIDOES'!$O$2:$O$45,0)),"")))</f>
        <v/>
      </c>
      <c r="LJ10">
        <f>IF(LEFT($LI10,16)="Aptidão Própria (","Aptidão Própria",IF(LEFT($LI10,15)="Bênção Própria (","Bênção Própria",$LI10))</f>
        <v/>
      </c>
      <c r="LK10">
        <f>IF($LH10="","",TEXTJOIN(" · ",TRUE,$LP10:$MJ10))</f>
        <v/>
      </c>
      <c r="LL10">
        <f>IF($LH10="",0,IF(IFERROR(INDEX('DADOS_APTIDOES'!$W$2:$W$45,MATCH(SUBSTITUTE(SUBSTITUTE(SUBSTITUTE($LH10,"~","~~"),"*","~*"),"?","~?"),'DADOS_APTIDOES'!$O$2:$O$45,0)),"")="Gratuita",0,1))</f>
        <v/>
      </c>
      <c r="LO10">
        <f>IF('FICHA AMALDIÇOADA'!$D$405="","",TEXTJOIN(" · ",TRUE,IF(COUNTIF('DADOS_TALENTOS'!$M$2:$M$34,SUBSTITUTE(SUBSTITUTE(SUBSTITUTE('FICHA AMALDIÇOADA'!$D$405,"~","~~"),"*","~*"),"?","~?"))=0,"Talento não cadastrado ou com erro",""),IF(COUNTIF('DADOS_TALENTOS'!$AV$2:$AV$34,SUBSTITUTE(SUBSTITUTE(SUBSTITUTE('FICHA AMALDIÇOADA'!$D$405,"~","~~"),"*","~*"),"?","~?"))=0,"Talento incompatível com a rota","")))</f>
        <v/>
      </c>
      <c r="LP10">
        <f>IF(COUNTIF('DADOS_APTIDOES'!$O$2:$O$45,SUBSTITUTE(SUBSTITUTE(SUBSTITUTE($LH10,"~","~~"),"*","~*"),"?","~?"))=0,"Aptidão não cadastrada ou com erro","")</f>
        <v/>
      </c>
      <c r="LQ10">
        <f>IF(COUNTIF('DADOS_APTIDOES'!$BK$2:$BK$45,SUBSTITUTE(SUBSTITUTE(SUBSTITUTE($LH10,"~","~~"),"*","~*"),"?","~?"))=0,"Rota/origem incompatível ou capacidade inicial automática","")</f>
        <v/>
      </c>
      <c r="LR10">
        <f>IF(AND(NOT(OR(FALSE)),DADOS_AM!$HM$2&lt;IFERROR(INDEX('DADOS_APTIDOES'!$U$2:$U$45,MATCH(SUBSTITUTE(SUBSTITUTE(SUBSTITUTE($LH10,"~","~~"),"*","~*"),"?","~?"),'DADOS_APTIDOES'!$O$2:$O$45,0)),1)),"Nível mínimo não atendido","")</f>
        <v/>
      </c>
      <c r="LS10">
        <f>IF(AND(NOT(OR(FALSE)),DADOS_AM!$HM$6&lt;MAX(IF(AND($LI10="Domínio Simples",FALSE,IFERROR(INDEX('DADOS_APTIDOES'!$V$2:$V$45,MATCH(SUBSTITUTE(SUBSTITUTE(SUBSTITUTE($LH10,"~","~~"),"*","~*"),"?","~?"),'DADOS_APTIDOES'!$O$2:$O$45,0)),1)=5),4,IFERROR(INDEX('DADOS_APTIDOES'!$V$2:$V$45,MATCH(SUBSTITUTE(SUBSTITUTE(SUBSTITUTE($LH10,"~","~~"),"*","~*"),"?","~?"),'DADOS_APTIDOES'!$O$2:$O$45,0)),1)),IF(IFERROR(INDEX('DADOS_APTIDOES'!$N$2:$N$45,MATCH(SUBSTITUTE(SUBSTITUTE(SUBSTITUTE($LH10,"~","~~"),"*","~*"),"?","~?"),'DADOS_APTIDOES'!$O$2:$O$45,0)),"")="Bênção",IF(IFERROR(INDEX('DADOS_APTIDOES'!$T$2:$T$45,MATCH(SUBSTITUTE(SUBSTITUTE(SUBSTITUTE($LH10,"~","~~"),"*","~*"),"?","~?"),'DADOS_APTIDOES'!$O$2:$O$45,0)),0)=3,7,IF(IFERROR(INDEX('DADOS_APTIDOES'!$T$2:$T$45,MATCH(SUBSTITUTE(SUBSTITUTE(SUBSTITUTE($LH10,"~","~~"),"*","~*"),"?","~?"),'DADOS_APTIDOES'!$O$2:$O$45,0)),0)=2,4,1)),1))),"Refino/Lapidação mínimo não atendido","")</f>
        <v/>
      </c>
      <c r="LT10">
        <f>IF(COUNTIF($LJ$2:$LJ10,SUBSTITUTE(SUBSTITUTE(SUBSTITUTE($LJ10,"~","~~"),"*","~*"),"?","~?"))&gt;1,"Aptidão/Bênção repetida","")</f>
        <v/>
      </c>
      <c r="LU10">
        <f>IF(AND(NOT(OR(FALSE)),AND($LI10="Circulação",COUNTIF($LI$2:$LI9,"Energia Reversa")=0)),"Exige aquisição anterior: Energia Reversa","")</f>
        <v/>
      </c>
      <c r="LV10">
        <f>IF(AND(NOT(OR(FALSE)),AND($LI10="Regravação",COUNTIF($LI$2:$LI9,"Circulação")=0)),"Exige aquisição anterior: Circulação","")</f>
        <v/>
      </c>
      <c r="LW10">
        <f>IF(AND(NOT(OR(FALSE)),AND($LI10="Cortina",COUNTIF($LI$2:$LI9,"Barreira Simples")=0)),"Exige aquisição anterior: Barreira Simples","")</f>
        <v/>
      </c>
      <c r="LX10">
        <f>IF(AND(NOT(OR(FALSE)),AND($LI10="Ritual",'FICHA'!AB19&lt;5)),"Exige Inteligência 5","")</f>
        <v/>
      </c>
      <c r="LY10">
        <f>IF(AND(NOT(OR(FALSE)),AND($LI10="Ímpeto",'FICHA'!L19&lt;4)),"Exige Destreza 4","")</f>
        <v/>
      </c>
      <c r="LZ10">
        <f>IF(AND(NOT(OR(FALSE)),AND($LI10="Casco",'FICHA'!T19&lt;4)),"Exige Constituição 4","")</f>
        <v/>
      </c>
      <c r="MA10">
        <f>IF(AND(NOT(OR(FALSE)),AND($LI10="Presilha",'FICHA'!D19&lt;4)),"Exige Força 4","")</f>
        <v/>
      </c>
      <c r="MB10">
        <f>IF(AND(NOT(OR(FALSE)),AND($LI10="Antecipar",'FICHA'!AB19&lt;4)),"Exige Inteligência 4","")</f>
        <v/>
      </c>
      <c r="MC10">
        <f>IF(AND(NOT(OR(FALSE)),AND($LI10="Sangue Frio",'FICHA'!T19&lt;4)),"Exige Constituição 4","")</f>
        <v/>
      </c>
      <c r="MD10">
        <f>IF(AND(NOT(OR(FALSE)),AND($LI10="Assombro",'FICHA'!AJ19&lt;4)),"Exige Essência 4","")</f>
        <v/>
      </c>
      <c r="ME10">
        <f>IF(AND(NOT(OR(FALSE)),$LI10="Cesta Oca de Vime"),"Conferir Encarnado ou treino em História","")</f>
        <v/>
      </c>
      <c r="MF10">
        <f>IF(AND(NOT(OR(FALSE)),$LI10="Pétala"),"Conferir Descendente ou aprendizado de clã","")</f>
        <v/>
      </c>
      <c r="MG10">
        <f>IF(AND(NOT(OR(FALSE)),$LI10="Domínio Simples"),"Conferir aprendizado de Domínio Simples","")</f>
        <v/>
      </c>
      <c r="MH10">
        <f>IF(AND(NOT(OR(FALSE)),$LI10="Extensão de Domínio"),"Conferir aprendizado de Extensão de Domínio","")</f>
        <v/>
      </c>
      <c r="MI10">
        <f>IF(AND(NOT(OR(FALSE)),$LI10="Ritual"),"Conferir Técnica Inata","")</f>
        <v/>
      </c>
      <c r="MJ10">
        <f>IF(AND(NOT(OR(FALSE)),AND($LI10="Represália",MAX('FICHA'!D19,'FICHA'!L19)&lt;4)),"Exige Força ou Destreza 4","")</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IFERROR(MATCH(SUBSTITUTE(SUBSTITUTE(SUBSTITUTE($ED11,"~","~~"),"*","~*"),"?","~?"),'DADOS_FORMAS'!$FJ$2:$FJ$21,0),0)</f>
        <v/>
      </c>
      <c r="EM11" s="161">
        <f>IF($EL11=0,0,INDEX('DADOS_FORMAS'!$FM$2:$FM$21,$EL11))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IF($EL11=0,0,INDEX('DADOS_FORMAS'!$FN$2:$FN$21,$EL11))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IF($EL11=0,0,INDEX('DADOS_FORMAS'!$FO$2:$FO$21,$EL11))</f>
        <v/>
      </c>
      <c r="EZ11" s="161">
        <f>IF($EL11=0,0,INDEX('DADOS_FORMAS'!$FP$2:$FP$21,$EL11))</f>
        <v/>
      </c>
      <c r="FA11" s="161">
        <f>IF($EL11=0,0,INDEX('DADOS_FORMAS'!$FR$2:$FR$21,$EL11))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IF(IFERROR(INDEX('DADOS_FORMAS'!$AS$2:$AS$21,MATCH(SUBSTITUTE(SUBSTITUTE(SUBSTITUTE($ED11,"~","~~"),"*","~*"),"?","~?"),'DADOS_FORMAS'!$AH$2:$AH$21,0)),"")="",0,IFERROR(N(VLOOKUP(SUBSTITUTE(SUBSTITUTE(SUBSTITUTE(IFERROR(INDEX('DADOS_FORMAS'!$AS$2:$AS$21,MATCH(SUBSTITUTE(SUBSTITUTE(SUBSTITUTE($ED11,"~","~~"),"*","~*"),"?","~?"),'DADOS_FORMAS'!$AH$2:$AH$21,0)),""),"~","~~"),"*","~*"),"?","~?"),'DADOS_RESTRICOES'!$M$2:$Q$54,3,FALSE)=1),0))</f>
        <v/>
      </c>
      <c r="FM11" s="161">
        <f>COUNTIF($FB11:$FC11,2)+IF(IFERROR(INDEX('DADOS_FORMAS'!$AS$2:$AS$21,MATCH(SUBSTITUTE(SUBSTITUTE(SUBSTITUTE($ED11,"~","~~"),"*","~*"),"?","~?"),'DADOS_FORMAS'!$AH$2:$AH$21,0)),"")="",0,IFERROR(N(VLOOKUP(SUBSTITUTE(SUBSTITUTE(SUBSTITUTE(IFERROR(INDEX('DADOS_FORMAS'!$AS$2:$AS$21,MATCH(SUBSTITUTE(SUBSTITUTE(SUBSTITUTE($ED11,"~","~~"),"*","~*"),"?","~?"),'DADOS_FORMAS'!$AH$2:$AH$21,0)),""),"~","~~"),"*","~*"),"?","~?"),'DADOS_RESTRICOES'!$M$2:$Q$54,3,FALSE)=2),0))</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Corpo")&gt;0,$EY11=0,OR($LB11="Cone",$LB11="Linha")),"Corpo a Corpo não entra em "&amp;$ED11,""),IF(AND(COUNTIF($FD11:$FE11,"Corpo a Corpo")&gt;0,$LC11="Corpo a Corpo"),"A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"&amp;$EJ11,""))),IF(AND($ED11&lt;&gt;"",COUNTIF('DADOS_FORMAS'!$AH$2:$AH$21,SUBSTITUTE(SUBSTITUTE(SUBSTITUTE($ED11,"~","~~"),"*","~*"),"?","~?"))=0),"Forma não cadastrada ou com erro: "&amp;$ED11,""),IF(AND(IFERROR(INDEX('DADOS_FORMAS'!$AS$2:$AS$21,MATCH(SUBSTITUTE(SUBSTITUTE(SUBSTITUTE($ED11,"~","~~"),"*","~*"),"?","~?"),'DADOS_FORMAS'!$AH$2:$AH$21,0)),"")&lt;&gt;"",OR(IFERROR(VLOOKUP(SUBSTITUTE(SUBSTITUTE(SUBSTITUTE(IFERROR(INDEX('DADOS_FORMAS'!$AS$2:$AS$21,MATCH(SUBSTITUTE(SUBSTITUTE(SUBSTITUTE($ED11,"~","~~"),"*","~*"),"?","~?"),'DADOS_FORMAS'!$AH$2:$AH$21,0)),""),"~","~~"),"*","~*"),"?","~?"),'DADOS_RESTRICOES'!$M$2:$Q$54,2,FALSE),"")=$FD11,IFERROR(VLOOKUP(SUBSTITUTE(SUBSTITUTE(SUBSTITUTE(IFERROR(INDEX('DADOS_FORMAS'!$AS$2:$AS$21,MATCH(SUBSTITUTE(SUBSTITUTE(SUBSTITUTE($ED11,"~","~~"),"*","~*"),"?","~?"),'DADOS_FORMAS'!$AH$2:$AH$21,0)),""),"~","~~"),"*","~*"),"?","~?"),'DADOS_RESTRICOES'!$M$2:$Q$54,2,FALSE),"")=$FE11)),"Restrição repetida, contando a embutida",""),IF(IF(IFERROR(INDEX('DADOS_FORMAS'!$AS$2:$AS$21,MATCH(SUBSTITUTE(SUBSTITUTE(SUBSTITUTE($ED11,"~","~~"),"*","~*"),"?","~?"),'DADOS_FORMAS'!$AH$2:$AH$21,0)),"")="",0,IFERROR(N(VLOOKUP(SUBSTITUTE(SUBSTITUTE(SUBSTITUTE(IFERROR(INDEX('DADOS_FORMAS'!$AS$2:$AS$21,MATCH(SUBSTITUTE(SUBSTITUTE(SUBSTITUTE($ED11,"~","~~"),"*","~*"),"?","~?"),'DADOS_FORMAS'!$AH$2:$AH$21,0)),""),"~","~~"),"*","~*"),"?","~?"),'DADOS_RESTRICOES'!$M$2:$Q$54,4,FALSE)=1),0))+IF($EI11="",0,IFERROR(N(VLOOKUP(SUBSTITUTE(SUBSTITUTE(SUBSTITUTE($EI11,"~","~~"),"*","~*"),"?","~?"),'DADOS_RESTRICOES'!$M$2:$Q$54,4,FALSE)=1),0))+IF($EJ11="",0,IFERROR(N(VLOOKUP(SUBSTITUTE(SUBSTITUTE(SUBSTITUTE($EJ11,"~","~~"),"*","~*"),"?","~?"),'DADOS_RESTRICOES'!$M$2:$Q$54,4,FALSE)=1),0))&gt;1,"Duas Restrições de frequência, contando a embutida",""),IF(AND(IFERROR(VLOOKUP(SUBSTITUTE(SUBSTITUTE(SUBSTITUTE(IFERROR(INDEX('DADOS_FORMAS'!$AS$2:$AS$21,MATCH(SUBSTITUTE(SUBSTITUTE(SUBSTITUTE($ED11,"~","~~"),"*","~*"),"?","~?"),'DADOS_FORMAS'!$AH$2:$AH$21,0)),""),"~","~~"),"*","~*"),"?","~?"),'DADOS_RESTRICOES'!$M$2:$Q$54,2,FALSE),"")="Tudo ou Nada",$FA11=0),"Tudo ou Nada exige TR",""),IF(AND(IFERROR(VLOOKUP(SUBSTITUTE(SUBSTITUTE(SUBSTITUTE(IFERROR(INDEX('DADOS_FORMAS'!$AS$2:$AS$21,MATCH(SUBSTITUTE(SUBSTITUTE(SUBSTITUTE($ED11,"~","~~"),"*","~*"),"?","~?"),'DADOS_FORMAS'!$AH$2:$AH$21,0)),""),"~","~~"),"*","~*"),"?","~?"),'DADOS_RESTRICOES'!$M$2:$Q$54,2,FALSE),"")="Corpo a Corpo",OR($LB11="Cone",$LB11="Linha")),"Corpo a Corpo não entra em Cone/Linha","")))</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inteira",IF(COUNTIF($LD11:$LF11,"Atrasar")&gt;0,IF(COUNTIF($LD11:$LF11,"Carregar")&gt;0,"Rodada +1 turno","Rodada inteira"),IF(COUNTIF($KW11:$KZ11,"Rápido")&gt;0,"Bônus",IF(COUNTIF($KW11:$KZ11,"Reação")&gt;0,"Reação","Padrão"))&amp;IF(COUNTIF($LD11:$LF11,"Carregar")&gt;0," +1 turno",""))))</f>
        <v/>
      </c>
      <c r="GT11" s="161">
        <f>IF(OR($EK11=0,$EL11=0),"",IF(COUNTIF($KW11:$KZ11,"Inescapável")&gt;0,"Automático",IF(COUNTIF($KW11:$KZ11,"Certeiro")&gt;0,"TR para metade",IF(AND($EX11&gt;0,$FA11=0,INDEX('DADOS_FORMAS'!$FQ$2:$FQ$21,$EL11)="Acerto"),"Acerto + TR",INDEX('DADOS_FORMAS'!$FQ$2:$FQ$21,$EL11)))))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IF($EL11=0,0,CHOOSE(1+INDEX('DADOS_FORMAS'!$FS$2:$FS$21,$EL11),0,$GV11,$GW11,$GV11+$GW11))</f>
        <v/>
      </c>
      <c r="GY11" s="161">
        <f>IF($EL11=0,0,CHOOSE(1+INDEX('DADOS_FORMAS'!$FT$2:$FT$21,$EL11),0,$GV11,$GW11,$GV11+$GW11))</f>
        <v/>
      </c>
      <c r="GZ11" s="161">
        <f>IF(OR($EK11=0,$EL11=0),"",INDEX('DADOS_FORMAS'!$GZ$2:$HE$61,($EL11-1)*3+IF($EB11&gt;=6,3,2),1+MIN(5,$GX11))&amp;INDEX('DADOS_FORMAS'!$HF$2:$HK$61,($EL11-1)*3+IF($EB11&gt;=6,3,2),1+MIN(5,$GY11))&amp;IF(INDEX('DADOS_FORMAS'!$FU$2:$FU$21,$EL11)=1,IF(COUNTIF($KW11:$KZ11,"Mais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IFERROR(VLOOKUP(SUBSTITUTE(SUBSTITUTE(SUBSTITUTE($HP11,"~","~~"),"*","~*"),"?","~?"),'DADOS_TALENTOS'!$AQ$2:$AW$34,2,FALSE),0)</f>
        <v/>
      </c>
      <c r="HR11" s="161">
        <f>IFERROR(VLOOKUP($HQ11,$CA$2:$CB$4,2,FALSE),0)</f>
        <v/>
      </c>
      <c r="HS11" s="161">
        <f>IFERROR(VLOOKUP(SUBSTITUTE(SUBSTITUTE(SUBSTITUTE($HP11,"~","~~"),"*","~*"),"?","~?"),'DADOS_TALENTOS'!$AQ$2:$AW$34,3,FALSE),"")</f>
        <v/>
      </c>
      <c r="HT11" s="161">
        <f>IF($HQ11=0,"",IF($HR11&gt;$HM$2,"⚠ Nível "&amp;$HR11,"CE "&amp;$HQ11))&amp;IF('DADOS_AM'!$LO11="",""," · ⚠ "&amp;'DADOS_AM'!$LO11)</f>
        <v/>
      </c>
      <c r="HU11" s="161">
        <f>IF($HQ11=0,"",IF(5&gt;$HM$8,"⚠ Vaga","Grátis"))</f>
        <v/>
      </c>
      <c r="HV11" s="161">
        <f>'FICHA AMALDIÇOADA'!$K$410&amp;""</f>
        <v/>
      </c>
      <c r="HW11" s="161">
        <f>IF($HP11="","",COUNTIF($HP$2:$HP11,"?*"))</f>
        <v/>
      </c>
      <c r="HY11" s="159" t="inlineStr">
        <is>
          <t>Aptidão 10</t>
        </is>
      </c>
      <c r="HZ11" s="161">
        <f>'FICHA AMALDIÇOADA'!$D$492&amp;""</f>
        <v/>
      </c>
      <c r="IA11" s="161">
        <f>IF($HZ11="","","Requisito: "&amp;IFERROR(VLOOKUP(SUBSTITUTE(SUBSTITUTE(SUBSTITUTE($HZ11,"~","~~"),"*","~*"),"?","~?"),'DADOS_APTIDOES'!$BF$2:$BO$45,2,FALSE),""))&amp;IF($LK11="",""," · ⚠ "&amp;$LK11)</f>
        <v/>
      </c>
      <c r="IB11" s="161">
        <f>IF($HZ11="","",IFERROR(IF(ISNUMBER(VLOOKUP(SUBSTITUTE(SUBSTITUTE(SUBSTITUTE($HZ11,"~","~~"),"*","~*"),"?","~?"),'DADOS_APTIDOES'!$BF$2:$BO$45,3,FALSE)),"CE "&amp;VLOOKUP(SUBSTITUTE(SUBSTITUTE(SUBSTITUTE($HZ11,"~","~~"),"*","~*"),"?","~?"),'DADOS_APTIDOES'!$BF$2:$BO$45,3,FALSE),VLOOKUP(SUBSTITUTE(SUBSTITUTE(SUBSTITUTE($HZ11,"~","~~"),"*","~*"),"?","~?"),'DADOS_APTIDOES'!$BF$2:$BO$45,3,FALSE)),""))</f>
        <v/>
      </c>
      <c r="IC11" s="161">
        <f>IF($HZ11="","",IFERROR(VLOOKUP(SUBSTITUTE(SUBSTITUTE(SUBSTITUTE($HZ11,"~","~~"),"*","~*"),"?","~?"),'DADOS_APTIDOES'!$BF$2:$BO$45,4,FALSE),""))</f>
        <v/>
      </c>
      <c r="ID11" s="161">
        <f>IF($HZ11="","",IFERROR(VLOOKUP(SUBSTITUTE(SUBSTITUTE(SUBSTITUTE($HZ11,"~","~~"),"*","~*"),"?","~?"),'DADOS_APTIDOES'!$BF$2:$BO$45,5,FALSE),""))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IF($KG11=0,"",IF(INDEX($HV$2:$HV$13,$KG11)&lt;&gt;"",INDEX($HV$2:$HV$13,$KG11),IF(IFERROR(VLOOKUP(SUBSTITUTE(SUBSTITUTE(SUBSTITUTE(INDEX($HP$2:$HP$13,$KG11),"~","~~"),"*","~*"),"?","~?"),'DADOS_TALENTOS'!$AQ$2:$AW$34,7,FALSE),"")&lt;&gt;"","Do livro: "&amp;IFERROR(VLOOKUP(SUBSTITUTE(SUBSTITUTE(SUBSTITUTE(INDEX($HP$2:$HP$13,$KG11),"~","~~"),"*","~*"),"?","~?"),'DADOS_TALENTOS'!$AQ$2:$AW$34,7,FALSE),""),"")))</f>
        <v/>
      </c>
      <c r="KL11" s="159" t="inlineStr">
        <is>
          <t>Aptidão 8</t>
        </is>
      </c>
      <c r="KM11" s="161">
        <f>IFERROR(MATCH(8,$IF$2:$IF$13,0),0)</f>
        <v/>
      </c>
      <c r="KN11" s="161">
        <f>IF($KM11=0,"",INDEX($IB$2:$IB$13,$KM11))</f>
        <v/>
      </c>
      <c r="KO11" s="161">
        <f>IF($KM11=0,"",INDEX($HZ$2:$HZ$13,$KM11))</f>
        <v/>
      </c>
      <c r="KP11" s="161">
        <f>IF($KM11=0,"",IF(INDEX($IE$2:$IE$13,$KM11)&lt;&gt;"",INDEX($IE$2:$IE$13,$KM11),IF(IFERROR(VLOOKUP(SUBSTITUTE(SUBSTITUTE(SUBSTITUTE(INDEX($HZ$2:$HZ$13,$KM11),"~","~~"),"*","~*"),"?","~?"),'DADOS_APTIDOES'!$BF$2:$BO$45,10,FALSE),"")&lt;&gt;"","Do livro: "&amp;IFERROR(VLOOKUP(SUBSTITUTE(SUBSTITUTE(SUBSTITUTE(INDEX($HZ$2:$HZ$13,$KM11),"~","~~"),"*","~*"),"?","~?"),'DADOS_APTIDOES'!$BF$2:$BO$45,10,FALSE),""),"")))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c r="LB11">
        <f>IFERROR(INDEX('DADOS_FORMAS'!$BJ$2:$BJ$21,MATCH(SUBSTITUTE(SUBSTITUTE(SUBSTITUTE($ED11,"~","~~"),"*","~*"),"?","~?"),'DADOS_FORMAS'!$AH$2:$AH$21,0)),"")</f>
        <v/>
      </c>
      <c r="LC11">
        <f>IFERROR(VLOOKUP(SUBSTITUTE(SUBSTITUTE(SUBSTITUTE(IFERROR(INDEX('DADOS_FORMAS'!$AS$2:$AS$21,MATCH(SUBSTITUTE(SUBSTITUTE(SUBSTITUTE($ED11,"~","~~"),"*","~*"),"?","~?"),'DADOS_FORMAS'!$AH$2:$AH$21,0)),""),"~","~~"),"*","~*"),"?","~?"),'DADOS_RESTRICOES'!$M$2:$Q$54,2,FALSE),"")</f>
        <v/>
      </c>
      <c r="LD11">
        <f>$FD11</f>
        <v/>
      </c>
      <c r="LE11">
        <f>$FE11</f>
        <v/>
      </c>
      <c r="LF11">
        <f>$LC11</f>
        <v/>
      </c>
      <c r="LH11">
        <f>'FICHA AMALDIÇOADA'!$D$492&amp;""</f>
        <v/>
      </c>
      <c r="LI11">
        <f>IF($LH11="","",IF(IFERROR(INDEX('DADOS_APTIDOES'!$X$2:$X$45,MATCH(SUBSTITUTE(SUBSTITUTE(SUBSTITUTE($LH11,"~","~~"),"*","~*"),"?","~?"),'DADOS_APTIDOES'!$O$2:$O$45,0)),"")="",$LH11,IFERROR(INDEX('DADOS_APTIDOES'!$X$2:$X$45,MATCH(SUBSTITUTE(SUBSTITUTE(SUBSTITUTE($LH11,"~","~~"),"*","~*"),"?","~?"),'DADOS_APTIDOES'!$O$2:$O$45,0)),"")))</f>
        <v/>
      </c>
      <c r="LJ11">
        <f>IF(LEFT($LI11,16)="Aptidão Própria (","Aptidão Própria",IF(LEFT($LI11,15)="Bênção Própria (","Bênção Própria",$LI11))</f>
        <v/>
      </c>
      <c r="LK11">
        <f>IF($LH11="","",TEXTJOIN(" · ",TRUE,$LP11:$MJ11))</f>
        <v/>
      </c>
      <c r="LL11">
        <f>IF($LH11="",0,IF(IFERROR(INDEX('DADOS_APTIDOES'!$W$2:$W$45,MATCH(SUBSTITUTE(SUBSTITUTE(SUBSTITUTE($LH11,"~","~~"),"*","~*"),"?","~?"),'DADOS_APTIDOES'!$O$2:$O$45,0)),"")="Gratuita",0,1))</f>
        <v/>
      </c>
      <c r="LO11">
        <f>IF('FICHA AMALDIÇOADA'!$J$405="","",TEXTJOIN(" · ",TRUE,IF(COUNTIF('DADOS_TALENTOS'!$M$2:$M$34,SUBSTITUTE(SUBSTITUTE(SUBSTITUTE('FICHA AMALDIÇOADA'!$J$405,"~","~~"),"*","~*"),"?","~?"))=0,"Talento não cadastrado ou com erro",""),IF(COUNTIF('DADOS_TALENTOS'!$AV$2:$AV$34,SUBSTITUTE(SUBSTITUTE(SUBSTITUTE('FICHA AMALDIÇOADA'!$J$405,"~","~~"),"*","~*"),"?","~?"))=0,"Talento incompatível com a rota","")))</f>
        <v/>
      </c>
      <c r="LP11">
        <f>IF(COUNTIF('DADOS_APTIDOES'!$O$2:$O$45,SUBSTITUTE(SUBSTITUTE(SUBSTITUTE($LH11,"~","~~"),"*","~*"),"?","~?"))=0,"Aptidão não cadastrada ou com erro","")</f>
        <v/>
      </c>
      <c r="LQ11">
        <f>IF(COUNTIF('DADOS_APTIDOES'!$BK$2:$BK$45,SUBSTITUTE(SUBSTITUTE(SUBSTITUTE($LH11,"~","~~"),"*","~*"),"?","~?"))=0,"Rota/origem incompatível ou capacidade inicial automática","")</f>
        <v/>
      </c>
      <c r="LR11">
        <f>IF(AND(NOT(OR(FALSE)),DADOS_AM!$HM$2&lt;IFERROR(INDEX('DADOS_APTIDOES'!$U$2:$U$45,MATCH(SUBSTITUTE(SUBSTITUTE(SUBSTITUTE($LH11,"~","~~"),"*","~*"),"?","~?"),'DADOS_APTIDOES'!$O$2:$O$45,0)),1)),"Nível mínimo não atendido","")</f>
        <v/>
      </c>
      <c r="LS11">
        <f>IF(AND(NOT(OR(FALSE)),DADOS_AM!$HM$6&lt;MAX(IF(AND($LI11="Domínio Simples",FALSE,IFERROR(INDEX('DADOS_APTIDOES'!$V$2:$V$45,MATCH(SUBSTITUTE(SUBSTITUTE(SUBSTITUTE($LH11,"~","~~"),"*","~*"),"?","~?"),'DADOS_APTIDOES'!$O$2:$O$45,0)),1)=5),4,IFERROR(INDEX('DADOS_APTIDOES'!$V$2:$V$45,MATCH(SUBSTITUTE(SUBSTITUTE(SUBSTITUTE($LH11,"~","~~"),"*","~*"),"?","~?"),'DADOS_APTIDOES'!$O$2:$O$45,0)),1)),IF(IFERROR(INDEX('DADOS_APTIDOES'!$N$2:$N$45,MATCH(SUBSTITUTE(SUBSTITUTE(SUBSTITUTE($LH11,"~","~~"),"*","~*"),"?","~?"),'DADOS_APTIDOES'!$O$2:$O$45,0)),"")="Bênção",IF(IFERROR(INDEX('DADOS_APTIDOES'!$T$2:$T$45,MATCH(SUBSTITUTE(SUBSTITUTE(SUBSTITUTE($LH11,"~","~~"),"*","~*"),"?","~?"),'DADOS_APTIDOES'!$O$2:$O$45,0)),0)=3,7,IF(IFERROR(INDEX('DADOS_APTIDOES'!$T$2:$T$45,MATCH(SUBSTITUTE(SUBSTITUTE(SUBSTITUTE($LH11,"~","~~"),"*","~*"),"?","~?"),'DADOS_APTIDOES'!$O$2:$O$45,0)),0)=2,4,1)),1))),"Refino/Lapidação mínimo não atendido","")</f>
        <v/>
      </c>
      <c r="LT11">
        <f>IF(COUNTIF($LJ$2:$LJ11,SUBSTITUTE(SUBSTITUTE(SUBSTITUTE($LJ11,"~","~~"),"*","~*"),"?","~?"))&gt;1,"Aptidão/Bênção repetida","")</f>
        <v/>
      </c>
      <c r="LU11">
        <f>IF(AND(NOT(OR(FALSE)),AND($LI11="Circulação",COUNTIF($LI$2:$LI10,"Energia Reversa")=0)),"Exige aquisição anterior: Energia Reversa","")</f>
        <v/>
      </c>
      <c r="LV11">
        <f>IF(AND(NOT(OR(FALSE)),AND($LI11="Regravação",COUNTIF($LI$2:$LI10,"Circulação")=0)),"Exige aquisição anterior: Circulação","")</f>
        <v/>
      </c>
      <c r="LW11">
        <f>IF(AND(NOT(OR(FALSE)),AND($LI11="Cortina",COUNTIF($LI$2:$LI10,"Barreira Simples")=0)),"Exige aquisição anterior: Barreira Simples","")</f>
        <v/>
      </c>
      <c r="LX11">
        <f>IF(AND(NOT(OR(FALSE)),AND($LI11="Ritual",'FICHA'!AB19&lt;5)),"Exige Inteligência 5","")</f>
        <v/>
      </c>
      <c r="LY11">
        <f>IF(AND(NOT(OR(FALSE)),AND($LI11="Ímpeto",'FICHA'!L19&lt;4)),"Exige Destreza 4","")</f>
        <v/>
      </c>
      <c r="LZ11">
        <f>IF(AND(NOT(OR(FALSE)),AND($LI11="Casco",'FICHA'!T19&lt;4)),"Exige Constituição 4","")</f>
        <v/>
      </c>
      <c r="MA11">
        <f>IF(AND(NOT(OR(FALSE)),AND($LI11="Presilha",'FICHA'!D19&lt;4)),"Exige Força 4","")</f>
        <v/>
      </c>
      <c r="MB11">
        <f>IF(AND(NOT(OR(FALSE)),AND($LI11="Antecipar",'FICHA'!AB19&lt;4)),"Exige Inteligência 4","")</f>
        <v/>
      </c>
      <c r="MC11">
        <f>IF(AND(NOT(OR(FALSE)),AND($LI11="Sangue Frio",'FICHA'!T19&lt;4)),"Exige Constituição 4","")</f>
        <v/>
      </c>
      <c r="MD11">
        <f>IF(AND(NOT(OR(FALSE)),AND($LI11="Assombro",'FICHA'!AJ19&lt;4)),"Exige Essência 4","")</f>
        <v/>
      </c>
      <c r="ME11">
        <f>IF(AND(NOT(OR(FALSE)),$LI11="Cesta Oca de Vime"),"Conferir Encarnado ou treino em História","")</f>
        <v/>
      </c>
      <c r="MF11">
        <f>IF(AND(NOT(OR(FALSE)),$LI11="Pétala"),"Conferir Descendente ou aprendizado de clã","")</f>
        <v/>
      </c>
      <c r="MG11">
        <f>IF(AND(NOT(OR(FALSE)),$LI11="Domínio Simples"),"Conferir aprendizado de Domínio Simples","")</f>
        <v/>
      </c>
      <c r="MH11">
        <f>IF(AND(NOT(OR(FALSE)),$LI11="Extensão de Domínio"),"Conferir aprendizado de Extensão de Domínio","")</f>
        <v/>
      </c>
      <c r="MI11">
        <f>IF(AND(NOT(OR(FALSE)),$LI11="Ritual"),"Conferir Técnica Inata","")</f>
        <v/>
      </c>
      <c r="MJ11">
        <f>IF(AND(NOT(OR(FALSE)),AND($LI11="Represália",MAX('FICHA'!D19,'FICHA'!L19)&lt;4)),"Exige Força ou Destreza 4","")</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IFERROR(MATCH(SUBSTITUTE(SUBSTITUTE(SUBSTITUTE($ED12,"~","~~"),"*","~*"),"?","~?"),'DADOS_FORMAS'!$FJ$2:$FJ$21,0),0)</f>
        <v/>
      </c>
      <c r="EM12" s="161">
        <f>IF($EL12=0,0,INDEX('DADOS_FORMAS'!$FM$2:$FM$21,$EL12))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IF($EL12=0,0,INDEX('DADOS_FORMAS'!$FN$2:$FN$21,$EL12))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IF($EL12=0,0,INDEX('DADOS_FORMAS'!$FO$2:$FO$21,$EL12))</f>
        <v/>
      </c>
      <c r="EZ12" s="161">
        <f>IF($EL12=0,0,INDEX('DADOS_FORMAS'!$FP$2:$FP$21,$EL12))</f>
        <v/>
      </c>
      <c r="FA12" s="161">
        <f>IF($EL12=0,0,INDEX('DADOS_FORMAS'!$FR$2:$FR$21,$EL12))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IF(IFERROR(INDEX('DADOS_FORMAS'!$AS$2:$AS$21,MATCH(SUBSTITUTE(SUBSTITUTE(SUBSTITUTE($ED12,"~","~~"),"*","~*"),"?","~?"),'DADOS_FORMAS'!$AH$2:$AH$21,0)),"")="",0,IFERROR(N(VLOOKUP(SUBSTITUTE(SUBSTITUTE(SUBSTITUTE(IFERROR(INDEX('DADOS_FORMAS'!$AS$2:$AS$21,MATCH(SUBSTITUTE(SUBSTITUTE(SUBSTITUTE($ED12,"~","~~"),"*","~*"),"?","~?"),'DADOS_FORMAS'!$AH$2:$AH$21,0)),""),"~","~~"),"*","~*"),"?","~?"),'DADOS_RESTRICOES'!$M$2:$Q$54,3,FALSE)=1),0))</f>
        <v/>
      </c>
      <c r="FM12" s="161">
        <f>COUNTIF($FB12:$FC12,2)+IF(IFERROR(INDEX('DADOS_FORMAS'!$AS$2:$AS$21,MATCH(SUBSTITUTE(SUBSTITUTE(SUBSTITUTE($ED12,"~","~~"),"*","~*"),"?","~?"),'DADOS_FORMAS'!$AH$2:$AH$21,0)),"")="",0,IFERROR(N(VLOOKUP(SUBSTITUTE(SUBSTITUTE(SUBSTITUTE(IFERROR(INDEX('DADOS_FORMAS'!$AS$2:$AS$21,MATCH(SUBSTITUTE(SUBSTITUTE(SUBSTITUTE($ED12,"~","~~"),"*","~*"),"?","~?"),'DADOS_FORMAS'!$AH$2:$AH$21,0)),""),"~","~~"),"*","~*"),"?","~?"),'DADOS_RESTRICOES'!$M$2:$Q$54,3,FALSE)=2),0))</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Corpo")&gt;0,$EY12=0,OR($LB12="Cone",$LB12="Linha")),"Corpo a Corpo não entra em "&amp;$ED12,""),IF(AND(COUNTIF($FD12:$FE12,"Corpo a Corpo")&gt;0,$LC12="Corpo a Corpo"),"A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"&amp;$EJ12,""))),IF(AND($ED12&lt;&gt;"",COUNTIF('DADOS_FORMAS'!$AH$2:$AH$21,SUBSTITUTE(SUBSTITUTE(SUBSTITUTE($ED12,"~","~~"),"*","~*"),"?","~?"))=0),"Forma não cadastrada ou com erro: "&amp;$ED12,""),IF(AND(IFERROR(INDEX('DADOS_FORMAS'!$AS$2:$AS$21,MATCH(SUBSTITUTE(SUBSTITUTE(SUBSTITUTE($ED12,"~","~~"),"*","~*"),"?","~?"),'DADOS_FORMAS'!$AH$2:$AH$21,0)),"")&lt;&gt;"",OR(IFERROR(VLOOKUP(SUBSTITUTE(SUBSTITUTE(SUBSTITUTE(IFERROR(INDEX('DADOS_FORMAS'!$AS$2:$AS$21,MATCH(SUBSTITUTE(SUBSTITUTE(SUBSTITUTE($ED12,"~","~~"),"*","~*"),"?","~?"),'DADOS_FORMAS'!$AH$2:$AH$21,0)),""),"~","~~"),"*","~*"),"?","~?"),'DADOS_RESTRICOES'!$M$2:$Q$54,2,FALSE),"")=$FD12,IFERROR(VLOOKUP(SUBSTITUTE(SUBSTITUTE(SUBSTITUTE(IFERROR(INDEX('DADOS_FORMAS'!$AS$2:$AS$21,MATCH(SUBSTITUTE(SUBSTITUTE(SUBSTITUTE($ED12,"~","~~"),"*","~*"),"?","~?"),'DADOS_FORMAS'!$AH$2:$AH$21,0)),""),"~","~~"),"*","~*"),"?","~?"),'DADOS_RESTRICOES'!$M$2:$Q$54,2,FALSE),"")=$FE12)),"Restrição repetida, contando a embutida",""),IF(IF(IFERROR(INDEX('DADOS_FORMAS'!$AS$2:$AS$21,MATCH(SUBSTITUTE(SUBSTITUTE(SUBSTITUTE($ED12,"~","~~"),"*","~*"),"?","~?"),'DADOS_FORMAS'!$AH$2:$AH$21,0)),"")="",0,IFERROR(N(VLOOKUP(SUBSTITUTE(SUBSTITUTE(SUBSTITUTE(IFERROR(INDEX('DADOS_FORMAS'!$AS$2:$AS$21,MATCH(SUBSTITUTE(SUBSTITUTE(SUBSTITUTE($ED12,"~","~~"),"*","~*"),"?","~?"),'DADOS_FORMAS'!$AH$2:$AH$21,0)),""),"~","~~"),"*","~*"),"?","~?"),'DADOS_RESTRICOES'!$M$2:$Q$54,4,FALSE)=1),0))+IF($EI12="",0,IFERROR(N(VLOOKUP(SUBSTITUTE(SUBSTITUTE(SUBSTITUTE($EI12,"~","~~"),"*","~*"),"?","~?"),'DADOS_RESTRICOES'!$M$2:$Q$54,4,FALSE)=1),0))+IF($EJ12="",0,IFERROR(N(VLOOKUP(SUBSTITUTE(SUBSTITUTE(SUBSTITUTE($EJ12,"~","~~"),"*","~*"),"?","~?"),'DADOS_RESTRICOES'!$M$2:$Q$54,4,FALSE)=1),0))&gt;1,"Duas Restrições de frequência, contando a embutida",""),IF(AND(IFERROR(VLOOKUP(SUBSTITUTE(SUBSTITUTE(SUBSTITUTE(IFERROR(INDEX('DADOS_FORMAS'!$AS$2:$AS$21,MATCH(SUBSTITUTE(SUBSTITUTE(SUBSTITUTE($ED12,"~","~~"),"*","~*"),"?","~?"),'DADOS_FORMAS'!$AH$2:$AH$21,0)),""),"~","~~"),"*","~*"),"?","~?"),'DADOS_RESTRICOES'!$M$2:$Q$54,2,FALSE),"")="Tudo ou Nada",$FA12=0),"Tudo ou Nada exige TR",""),IF(AND(IFERROR(VLOOKUP(SUBSTITUTE(SUBSTITUTE(SUBSTITUTE(IFERROR(INDEX('DADOS_FORMAS'!$AS$2:$AS$21,MATCH(SUBSTITUTE(SUBSTITUTE(SUBSTITUTE($ED12,"~","~~"),"*","~*"),"?","~?"),'DADOS_FORMAS'!$AH$2:$AH$21,0)),""),"~","~~"),"*","~*"),"?","~?"),'DADOS_RESTRICOES'!$M$2:$Q$54,2,FALSE),"")="Corpo a Corpo",OR($LB12="Cone",$LB12="Linha")),"Corpo a Corpo não entra em Cone/Linha","")))</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inteira",IF(COUNTIF($LD12:$LF12,"Atrasar")&gt;0,IF(COUNTIF($LD12:$LF12,"Carregar")&gt;0,"Rodada +1 turno","Rodada inteira"),IF(COUNTIF($KW12:$KZ12,"Rápido")&gt;0,"Bônus",IF(COUNTIF($KW12:$KZ12,"Reação")&gt;0,"Reação","Padrão"))&amp;IF(COUNTIF($LD12:$LF12,"Carregar")&gt;0," +1 turno",""))))</f>
        <v/>
      </c>
      <c r="GT12" s="161">
        <f>IF(OR($EK12=0,$EL12=0),"",IF(COUNTIF($KW12:$KZ12,"Inescapável")&gt;0,"Automático",IF(COUNTIF($KW12:$KZ12,"Certeiro")&gt;0,"TR para metade",IF(AND($EX12&gt;0,$FA12=0,INDEX('DADOS_FORMAS'!$FQ$2:$FQ$21,$EL12)="Acerto"),"Acerto + TR",INDEX('DADOS_FORMAS'!$FQ$2:$FQ$21,$EL12)))))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IF($EL12=0,0,CHOOSE(1+INDEX('DADOS_FORMAS'!$FS$2:$FS$21,$EL12),0,$GV12,$GW12,$GV12+$GW12))</f>
        <v/>
      </c>
      <c r="GY12" s="161">
        <f>IF($EL12=0,0,CHOOSE(1+INDEX('DADOS_FORMAS'!$FT$2:$FT$21,$EL12),0,$GV12,$GW12,$GV12+$GW12))</f>
        <v/>
      </c>
      <c r="GZ12" s="161">
        <f>IF(OR($EK12=0,$EL12=0),"",INDEX('DADOS_FORMAS'!$GZ$2:$HE$61,($EL12-1)*3+IF($EB12&gt;=6,3,2),1+MIN(5,$GX12))&amp;INDEX('DADOS_FORMAS'!$HF$2:$HK$61,($EL12-1)*3+IF($EB12&gt;=6,3,2),1+MIN(5,$GY12))&amp;IF(INDEX('DADOS_FORMAS'!$FU$2:$FU$21,$EL12)=1,IF(COUNTIF($KW12:$KZ12,"Mais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IFERROR(VLOOKUP(SUBSTITUTE(SUBSTITUTE(SUBSTITUTE($HP12,"~","~~"),"*","~*"),"?","~?"),'DADOS_TALENTOS'!$AQ$2:$AW$34,2,FALSE),0)</f>
        <v/>
      </c>
      <c r="HR12" s="161">
        <f>IFERROR(VLOOKUP($HQ12,$CA$2:$CB$4,2,FALSE),0)</f>
        <v/>
      </c>
      <c r="HS12" s="161">
        <f>IFERROR(VLOOKUP(SUBSTITUTE(SUBSTITUTE(SUBSTITUTE($HP12,"~","~~"),"*","~*"),"?","~?"),'DADOS_TALENTOS'!$AQ$2:$AW$34,3,FALSE),"")</f>
        <v/>
      </c>
      <c r="HT12" s="161">
        <f>IF($HQ12=0,"",IF($HR12&gt;$HM$2,"⚠ Nível "&amp;$HR12,"CE "&amp;$HQ12))&amp;IF('DADOS_AM'!$LO12="",""," · ⚠ "&amp;'DADOS_AM'!$LO12)</f>
        <v/>
      </c>
      <c r="HU12" s="161">
        <f>IF($HQ12=0,"",IF(6&gt;$HM$8,"⚠ Vaga","Grátis"))</f>
        <v/>
      </c>
      <c r="HV12" s="161">
        <f>'FICHA AMALDIÇOADA'!$Q$410&amp;""</f>
        <v/>
      </c>
      <c r="HW12" s="161">
        <f>IF($HP12="","",COUNTIF($HP$2:$HP12,"?*"))</f>
        <v/>
      </c>
      <c r="HY12" s="159" t="inlineStr">
        <is>
          <t>Aptidão 11</t>
        </is>
      </c>
      <c r="HZ12" s="161">
        <f>'FICHA AMALDIÇOADA'!$J$492&amp;""</f>
        <v/>
      </c>
      <c r="IA12" s="161">
        <f>IF($HZ12="","","Requisito: "&amp;IFERROR(VLOOKUP(SUBSTITUTE(SUBSTITUTE(SUBSTITUTE($HZ12,"~","~~"),"*","~*"),"?","~?"),'DADOS_APTIDOES'!$BF$2:$BO$45,2,FALSE),""))&amp;IF($LK12="",""," · ⚠ "&amp;$LK12)</f>
        <v/>
      </c>
      <c r="IB12" s="161">
        <f>IF($HZ12="","",IFERROR(IF(ISNUMBER(VLOOKUP(SUBSTITUTE(SUBSTITUTE(SUBSTITUTE($HZ12,"~","~~"),"*","~*"),"?","~?"),'DADOS_APTIDOES'!$BF$2:$BO$45,3,FALSE)),"CE "&amp;VLOOKUP(SUBSTITUTE(SUBSTITUTE(SUBSTITUTE($HZ12,"~","~~"),"*","~*"),"?","~?"),'DADOS_APTIDOES'!$BF$2:$BO$45,3,FALSE),VLOOKUP(SUBSTITUTE(SUBSTITUTE(SUBSTITUTE($HZ12,"~","~~"),"*","~*"),"?","~?"),'DADOS_APTIDOES'!$BF$2:$BO$45,3,FALSE)),""))</f>
        <v/>
      </c>
      <c r="IC12" s="161">
        <f>IF($HZ12="","",IFERROR(VLOOKUP(SUBSTITUTE(SUBSTITUTE(SUBSTITUTE($HZ12,"~","~~"),"*","~*"),"?","~?"),'DADOS_APTIDOES'!$BF$2:$BO$45,4,FALSE),""))</f>
        <v/>
      </c>
      <c r="ID12" s="161">
        <f>IF($HZ12="","",IFERROR(VLOOKUP(SUBSTITUTE(SUBSTITUTE(SUBSTITUTE($HZ12,"~","~~"),"*","~*"),"?","~?"),'DADOS_APTIDOES'!$BF$2:$BO$45,5,FALSE),""))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IF($KG12=0,"",IF(INDEX($HV$2:$HV$13,$KG12)&lt;&gt;"",INDEX($HV$2:$HV$13,$KG12),IF(IFERROR(VLOOKUP(SUBSTITUTE(SUBSTITUTE(SUBSTITUTE(INDEX($HP$2:$HP$13,$KG12),"~","~~"),"*","~*"),"?","~?"),'DADOS_TALENTOS'!$AQ$2:$AW$34,7,FALSE),"")&lt;&gt;"","Do livro: "&amp;IFERROR(VLOOKUP(SUBSTITUTE(SUBSTITUTE(SUBSTITUTE(INDEX($HP$2:$HP$13,$KG12),"~","~~"),"*","~*"),"?","~?"),'DADOS_TALENTOS'!$AQ$2:$AW$34,7,FALSE),""),"")))</f>
        <v/>
      </c>
      <c r="KL12" s="159" t="inlineStr">
        <is>
          <t>Aptidão 9</t>
        </is>
      </c>
      <c r="KM12" s="161">
        <f>IFERROR(MATCH(9,$IF$2:$IF$13,0),0)</f>
        <v/>
      </c>
      <c r="KN12" s="161">
        <f>IF($KM12=0,"",INDEX($IB$2:$IB$13,$KM12))</f>
        <v/>
      </c>
      <c r="KO12" s="161">
        <f>IF($KM12=0,"",INDEX($HZ$2:$HZ$13,$KM12))</f>
        <v/>
      </c>
      <c r="KP12" s="161">
        <f>IF($KM12=0,"",IF(INDEX($IE$2:$IE$13,$KM12)&lt;&gt;"",INDEX($IE$2:$IE$13,$KM12),IF(IFERROR(VLOOKUP(SUBSTITUTE(SUBSTITUTE(SUBSTITUTE(INDEX($HZ$2:$HZ$13,$KM12),"~","~~"),"*","~*"),"?","~?"),'DADOS_APTIDOES'!$BF$2:$BO$45,10,FALSE),"")&lt;&gt;"","Do livro: "&amp;IFERROR(VLOOKUP(SUBSTITUTE(SUBSTITUTE(SUBSTITUTE(INDEX($HZ$2:$HZ$13,$KM12),"~","~~"),"*","~*"),"?","~?"),'DADOS_APTIDOES'!$BF$2:$BO$45,10,FALSE),""),"")))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c r="LB12">
        <f>IFERROR(INDEX('DADOS_FORMAS'!$BJ$2:$BJ$21,MATCH(SUBSTITUTE(SUBSTITUTE(SUBSTITUTE($ED12,"~","~~"),"*","~*"),"?","~?"),'DADOS_FORMAS'!$AH$2:$AH$21,0)),"")</f>
        <v/>
      </c>
      <c r="LC12">
        <f>IFERROR(VLOOKUP(SUBSTITUTE(SUBSTITUTE(SUBSTITUTE(IFERROR(INDEX('DADOS_FORMAS'!$AS$2:$AS$21,MATCH(SUBSTITUTE(SUBSTITUTE(SUBSTITUTE($ED12,"~","~~"),"*","~*"),"?","~?"),'DADOS_FORMAS'!$AH$2:$AH$21,0)),""),"~","~~"),"*","~*"),"?","~?"),'DADOS_RESTRICOES'!$M$2:$Q$54,2,FALSE),"")</f>
        <v/>
      </c>
      <c r="LD12">
        <f>$FD12</f>
        <v/>
      </c>
      <c r="LE12">
        <f>$FE12</f>
        <v/>
      </c>
      <c r="LF12">
        <f>$LC12</f>
        <v/>
      </c>
      <c r="LH12">
        <f>'FICHA AMALDIÇOADA'!$J$492&amp;""</f>
        <v/>
      </c>
      <c r="LI12">
        <f>IF($LH12="","",IF(IFERROR(INDEX('DADOS_APTIDOES'!$X$2:$X$45,MATCH(SUBSTITUTE(SUBSTITUTE(SUBSTITUTE($LH12,"~","~~"),"*","~*"),"?","~?"),'DADOS_APTIDOES'!$O$2:$O$45,0)),"")="",$LH12,IFERROR(INDEX('DADOS_APTIDOES'!$X$2:$X$45,MATCH(SUBSTITUTE(SUBSTITUTE(SUBSTITUTE($LH12,"~","~~"),"*","~*"),"?","~?"),'DADOS_APTIDOES'!$O$2:$O$45,0)),"")))</f>
        <v/>
      </c>
      <c r="LJ12">
        <f>IF(LEFT($LI12,16)="Aptidão Própria (","Aptidão Própria",IF(LEFT($LI12,15)="Bênção Própria (","Bênção Própria",$LI12))</f>
        <v/>
      </c>
      <c r="LK12">
        <f>IF($LH12="","",TEXTJOIN(" · ",TRUE,$LP12:$MJ12))</f>
        <v/>
      </c>
      <c r="LL12">
        <f>IF($LH12="",0,IF(IFERROR(INDEX('DADOS_APTIDOES'!$W$2:$W$45,MATCH(SUBSTITUTE(SUBSTITUTE(SUBSTITUTE($LH12,"~","~~"),"*","~*"),"?","~?"),'DADOS_APTIDOES'!$O$2:$O$45,0)),"")="Gratuita",0,1))</f>
        <v/>
      </c>
      <c r="LO12">
        <f>IF('FICHA AMALDIÇOADA'!$P$405="","",TEXTJOIN(" · ",TRUE,IF(COUNTIF('DADOS_TALENTOS'!$M$2:$M$34,SUBSTITUTE(SUBSTITUTE(SUBSTITUTE('FICHA AMALDIÇOADA'!$P$405,"~","~~"),"*","~*"),"?","~?"))=0,"Talento não cadastrado ou com erro",""),IF(COUNTIF('DADOS_TALENTOS'!$AV$2:$AV$34,SUBSTITUTE(SUBSTITUTE(SUBSTITUTE('FICHA AMALDIÇOADA'!$P$405,"~","~~"),"*","~*"),"?","~?"))=0,"Talento incompatível com a rota","")))</f>
        <v/>
      </c>
      <c r="LP12">
        <f>IF(COUNTIF('DADOS_APTIDOES'!$O$2:$O$45,SUBSTITUTE(SUBSTITUTE(SUBSTITUTE($LH12,"~","~~"),"*","~*"),"?","~?"))=0,"Aptidão não cadastrada ou com erro","")</f>
        <v/>
      </c>
      <c r="LQ12">
        <f>IF(COUNTIF('DADOS_APTIDOES'!$BK$2:$BK$45,SUBSTITUTE(SUBSTITUTE(SUBSTITUTE($LH12,"~","~~"),"*","~*"),"?","~?"))=0,"Rota/origem incompatível ou capacidade inicial automática","")</f>
        <v/>
      </c>
      <c r="LR12">
        <f>IF(AND(NOT(OR(FALSE)),DADOS_AM!$HM$2&lt;IFERROR(INDEX('DADOS_APTIDOES'!$U$2:$U$45,MATCH(SUBSTITUTE(SUBSTITUTE(SUBSTITUTE($LH12,"~","~~"),"*","~*"),"?","~?"),'DADOS_APTIDOES'!$O$2:$O$45,0)),1)),"Nível mínimo não atendido","")</f>
        <v/>
      </c>
      <c r="LS12">
        <f>IF(AND(NOT(OR(FALSE)),DADOS_AM!$HM$6&lt;MAX(IF(AND($LI12="Domínio Simples",FALSE,IFERROR(INDEX('DADOS_APTIDOES'!$V$2:$V$45,MATCH(SUBSTITUTE(SUBSTITUTE(SUBSTITUTE($LH12,"~","~~"),"*","~*"),"?","~?"),'DADOS_APTIDOES'!$O$2:$O$45,0)),1)=5),4,IFERROR(INDEX('DADOS_APTIDOES'!$V$2:$V$45,MATCH(SUBSTITUTE(SUBSTITUTE(SUBSTITUTE($LH12,"~","~~"),"*","~*"),"?","~?"),'DADOS_APTIDOES'!$O$2:$O$45,0)),1)),IF(IFERROR(INDEX('DADOS_APTIDOES'!$N$2:$N$45,MATCH(SUBSTITUTE(SUBSTITUTE(SUBSTITUTE($LH12,"~","~~"),"*","~*"),"?","~?"),'DADOS_APTIDOES'!$O$2:$O$45,0)),"")="Bênção",IF(IFERROR(INDEX('DADOS_APTIDOES'!$T$2:$T$45,MATCH(SUBSTITUTE(SUBSTITUTE(SUBSTITUTE($LH12,"~","~~"),"*","~*"),"?","~?"),'DADOS_APTIDOES'!$O$2:$O$45,0)),0)=3,7,IF(IFERROR(INDEX('DADOS_APTIDOES'!$T$2:$T$45,MATCH(SUBSTITUTE(SUBSTITUTE(SUBSTITUTE($LH12,"~","~~"),"*","~*"),"?","~?"),'DADOS_APTIDOES'!$O$2:$O$45,0)),0)=2,4,1)),1))),"Refino/Lapidação mínimo não atendido","")</f>
        <v/>
      </c>
      <c r="LT12">
        <f>IF(COUNTIF($LJ$2:$LJ12,SUBSTITUTE(SUBSTITUTE(SUBSTITUTE($LJ12,"~","~~"),"*","~*"),"?","~?"))&gt;1,"Aptidão/Bênção repetida","")</f>
        <v/>
      </c>
      <c r="LU12">
        <f>IF(AND(NOT(OR(FALSE)),AND($LI12="Circulação",COUNTIF($LI$2:$LI11,"Energia Reversa")=0)),"Exige aquisição anterior: Energia Reversa","")</f>
        <v/>
      </c>
      <c r="LV12">
        <f>IF(AND(NOT(OR(FALSE)),AND($LI12="Regravação",COUNTIF($LI$2:$LI11,"Circulação")=0)),"Exige aquisição anterior: Circulação","")</f>
        <v/>
      </c>
      <c r="LW12">
        <f>IF(AND(NOT(OR(FALSE)),AND($LI12="Cortina",COUNTIF($LI$2:$LI11,"Barreira Simples")=0)),"Exige aquisição anterior: Barreira Simples","")</f>
        <v/>
      </c>
      <c r="LX12">
        <f>IF(AND(NOT(OR(FALSE)),AND($LI12="Ritual",'FICHA'!AB19&lt;5)),"Exige Inteligência 5","")</f>
        <v/>
      </c>
      <c r="LY12">
        <f>IF(AND(NOT(OR(FALSE)),AND($LI12="Ímpeto",'FICHA'!L19&lt;4)),"Exige Destreza 4","")</f>
        <v/>
      </c>
      <c r="LZ12">
        <f>IF(AND(NOT(OR(FALSE)),AND($LI12="Casco",'FICHA'!T19&lt;4)),"Exige Constituição 4","")</f>
        <v/>
      </c>
      <c r="MA12">
        <f>IF(AND(NOT(OR(FALSE)),AND($LI12="Presilha",'FICHA'!D19&lt;4)),"Exige Força 4","")</f>
        <v/>
      </c>
      <c r="MB12">
        <f>IF(AND(NOT(OR(FALSE)),AND($LI12="Antecipar",'FICHA'!AB19&lt;4)),"Exige Inteligência 4","")</f>
        <v/>
      </c>
      <c r="MC12">
        <f>IF(AND(NOT(OR(FALSE)),AND($LI12="Sangue Frio",'FICHA'!T19&lt;4)),"Exige Constituição 4","")</f>
        <v/>
      </c>
      <c r="MD12">
        <f>IF(AND(NOT(OR(FALSE)),AND($LI12="Assombro",'FICHA'!AJ19&lt;4)),"Exige Essência 4","")</f>
        <v/>
      </c>
      <c r="ME12">
        <f>IF(AND(NOT(OR(FALSE)),$LI12="Cesta Oca de Vime"),"Conferir Encarnado ou treino em História","")</f>
        <v/>
      </c>
      <c r="MF12">
        <f>IF(AND(NOT(OR(FALSE)),$LI12="Pétala"),"Conferir Descendente ou aprendizado de clã","")</f>
        <v/>
      </c>
      <c r="MG12">
        <f>IF(AND(NOT(OR(FALSE)),$LI12="Domínio Simples"),"Conferir aprendizado de Domínio Simples","")</f>
        <v/>
      </c>
      <c r="MH12">
        <f>IF(AND(NOT(OR(FALSE)),$LI12="Extensão de Domínio"),"Conferir aprendizado de Extensão de Domínio","")</f>
        <v/>
      </c>
      <c r="MI12">
        <f>IF(AND(NOT(OR(FALSE)),$LI12="Ritual"),"Conferir Técnica Inata","")</f>
        <v/>
      </c>
      <c r="MJ12">
        <f>IF(AND(NOT(OR(FALSE)),AND($LI12="Represália",MAX('FICHA'!D19,'FICHA'!L19)&lt;4)),"Exige Força ou Destreza 4","")</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IFERROR(MATCH(SUBSTITUTE(SUBSTITUTE(SUBSTITUTE($ED13,"~","~~"),"*","~*"),"?","~?"),'DADOS_FORMAS'!$FJ$2:$FJ$21,0),0)</f>
        <v/>
      </c>
      <c r="EM13" s="161">
        <f>IF($EL13=0,0,INDEX('DADOS_FORMAS'!$FM$2:$FM$21,$EL13))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IF($EL13=0,0,INDEX('DADOS_FORMAS'!$FN$2:$FN$21,$EL13))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IF($EL13=0,0,INDEX('DADOS_FORMAS'!$FO$2:$FO$21,$EL13))</f>
        <v/>
      </c>
      <c r="EZ13" s="161">
        <f>IF($EL13=0,0,INDEX('DADOS_FORMAS'!$FP$2:$FP$21,$EL13))</f>
        <v/>
      </c>
      <c r="FA13" s="161">
        <f>IF($EL13=0,0,INDEX('DADOS_FORMAS'!$FR$2:$FR$21,$EL13))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IF(IFERROR(INDEX('DADOS_FORMAS'!$AS$2:$AS$21,MATCH(SUBSTITUTE(SUBSTITUTE(SUBSTITUTE($ED13,"~","~~"),"*","~*"),"?","~?"),'DADOS_FORMAS'!$AH$2:$AH$21,0)),"")="",0,IFERROR(N(VLOOKUP(SUBSTITUTE(SUBSTITUTE(SUBSTITUTE(IFERROR(INDEX('DADOS_FORMAS'!$AS$2:$AS$21,MATCH(SUBSTITUTE(SUBSTITUTE(SUBSTITUTE($ED13,"~","~~"),"*","~*"),"?","~?"),'DADOS_FORMAS'!$AH$2:$AH$21,0)),""),"~","~~"),"*","~*"),"?","~?"),'DADOS_RESTRICOES'!$M$2:$Q$54,3,FALSE)=1),0))</f>
        <v/>
      </c>
      <c r="FM13" s="161">
        <f>COUNTIF($FB13:$FC13,2)+IF(IFERROR(INDEX('DADOS_FORMAS'!$AS$2:$AS$21,MATCH(SUBSTITUTE(SUBSTITUTE(SUBSTITUTE($ED13,"~","~~"),"*","~*"),"?","~?"),'DADOS_FORMAS'!$AH$2:$AH$21,0)),"")="",0,IFERROR(N(VLOOKUP(SUBSTITUTE(SUBSTITUTE(SUBSTITUTE(IFERROR(INDEX('DADOS_FORMAS'!$AS$2:$AS$21,MATCH(SUBSTITUTE(SUBSTITUTE(SUBSTITUTE($ED13,"~","~~"),"*","~*"),"?","~?"),'DADOS_FORMAS'!$AH$2:$AH$21,0)),""),"~","~~"),"*","~*"),"?","~?"),'DADOS_RESTRICOES'!$M$2:$Q$54,3,FALSE)=2),0))</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Corpo")&gt;0,$EY13=0,OR($LB13="Cone",$LB13="Linha")),"Corpo a Corpo não entra em "&amp;$ED13,""),IF(AND(COUNTIF($FD13:$FE13,"Corpo a Corpo")&gt;0,$LC13="Corpo a Corpo"),"A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"&amp;$EJ13,""))),IF(AND($ED13&lt;&gt;"",COUNTIF('DADOS_FORMAS'!$AH$2:$AH$21,SUBSTITUTE(SUBSTITUTE(SUBSTITUTE($ED13,"~","~~"),"*","~*"),"?","~?"))=0),"Forma não cadastrada ou com erro: "&amp;$ED13,""),IF(AND(IFERROR(INDEX('DADOS_FORMAS'!$AS$2:$AS$21,MATCH(SUBSTITUTE(SUBSTITUTE(SUBSTITUTE($ED13,"~","~~"),"*","~*"),"?","~?"),'DADOS_FORMAS'!$AH$2:$AH$21,0)),"")&lt;&gt;"",OR(IFERROR(VLOOKUP(SUBSTITUTE(SUBSTITUTE(SUBSTITUTE(IFERROR(INDEX('DADOS_FORMAS'!$AS$2:$AS$21,MATCH(SUBSTITUTE(SUBSTITUTE(SUBSTITUTE($ED13,"~","~~"),"*","~*"),"?","~?"),'DADOS_FORMAS'!$AH$2:$AH$21,0)),""),"~","~~"),"*","~*"),"?","~?"),'DADOS_RESTRICOES'!$M$2:$Q$54,2,FALSE),"")=$FD13,IFERROR(VLOOKUP(SUBSTITUTE(SUBSTITUTE(SUBSTITUTE(IFERROR(INDEX('DADOS_FORMAS'!$AS$2:$AS$21,MATCH(SUBSTITUTE(SUBSTITUTE(SUBSTITUTE($ED13,"~","~~"),"*","~*"),"?","~?"),'DADOS_FORMAS'!$AH$2:$AH$21,0)),""),"~","~~"),"*","~*"),"?","~?"),'DADOS_RESTRICOES'!$M$2:$Q$54,2,FALSE),"")=$FE13)),"Restrição repetida, contando a embutida",""),IF(IF(IFERROR(INDEX('DADOS_FORMAS'!$AS$2:$AS$21,MATCH(SUBSTITUTE(SUBSTITUTE(SUBSTITUTE($ED13,"~","~~"),"*","~*"),"?","~?"),'DADOS_FORMAS'!$AH$2:$AH$21,0)),"")="",0,IFERROR(N(VLOOKUP(SUBSTITUTE(SUBSTITUTE(SUBSTITUTE(IFERROR(INDEX('DADOS_FORMAS'!$AS$2:$AS$21,MATCH(SUBSTITUTE(SUBSTITUTE(SUBSTITUTE($ED13,"~","~~"),"*","~*"),"?","~?"),'DADOS_FORMAS'!$AH$2:$AH$21,0)),""),"~","~~"),"*","~*"),"?","~?"),'DADOS_RESTRICOES'!$M$2:$Q$54,4,FALSE)=1),0))+IF($EI13="",0,IFERROR(N(VLOOKUP(SUBSTITUTE(SUBSTITUTE(SUBSTITUTE($EI13,"~","~~"),"*","~*"),"?","~?"),'DADOS_RESTRICOES'!$M$2:$Q$54,4,FALSE)=1),0))+IF($EJ13="",0,IFERROR(N(VLOOKUP(SUBSTITUTE(SUBSTITUTE(SUBSTITUTE($EJ13,"~","~~"),"*","~*"),"?","~?"),'DADOS_RESTRICOES'!$M$2:$Q$54,4,FALSE)=1),0))&gt;1,"Duas Restrições de frequência, contando a embutida",""),IF(AND(IFERROR(VLOOKUP(SUBSTITUTE(SUBSTITUTE(SUBSTITUTE(IFERROR(INDEX('DADOS_FORMAS'!$AS$2:$AS$21,MATCH(SUBSTITUTE(SUBSTITUTE(SUBSTITUTE($ED13,"~","~~"),"*","~*"),"?","~?"),'DADOS_FORMAS'!$AH$2:$AH$21,0)),""),"~","~~"),"*","~*"),"?","~?"),'DADOS_RESTRICOES'!$M$2:$Q$54,2,FALSE),"")="Tudo ou Nada",$FA13=0),"Tudo ou Nada exige TR",""),IF(AND(IFERROR(VLOOKUP(SUBSTITUTE(SUBSTITUTE(SUBSTITUTE(IFERROR(INDEX('DADOS_FORMAS'!$AS$2:$AS$21,MATCH(SUBSTITUTE(SUBSTITUTE(SUBSTITUTE($ED13,"~","~~"),"*","~*"),"?","~?"),'DADOS_FORMAS'!$AH$2:$AH$21,0)),""),"~","~~"),"*","~*"),"?","~?"),'DADOS_RESTRICOES'!$M$2:$Q$54,2,FALSE),"")="Corpo a Corpo",OR($LB13="Cone",$LB13="Linha")),"Corpo a Corpo não entra em Cone/Linha","")))</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inteira",IF(COUNTIF($LD13:$LF13,"Atrasar")&gt;0,IF(COUNTIF($LD13:$LF13,"Carregar")&gt;0,"Rodada +1 turno","Rodada inteira"),IF(COUNTIF($KW13:$KZ13,"Rápido")&gt;0,"Bônus",IF(COUNTIF($KW13:$KZ13,"Reação")&gt;0,"Reação","Padrão"))&amp;IF(COUNTIF($LD13:$LF13,"Carregar")&gt;0," +1 turno",""))))</f>
        <v/>
      </c>
      <c r="GT13" s="161">
        <f>IF(OR($EK13=0,$EL13=0),"",IF(COUNTIF($KW13:$KZ13,"Inescapável")&gt;0,"Automático",IF(COUNTIF($KW13:$KZ13,"Certeiro")&gt;0,"TR para metade",IF(AND($EX13&gt;0,$FA13=0,INDEX('DADOS_FORMAS'!$FQ$2:$FQ$21,$EL13)="Acerto"),"Acerto + TR",INDEX('DADOS_FORMAS'!$FQ$2:$FQ$21,$EL13)))))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IF($EL13=0,0,CHOOSE(1+INDEX('DADOS_FORMAS'!$FS$2:$FS$21,$EL13),0,$GV13,$GW13,$GV13+$GW13))</f>
        <v/>
      </c>
      <c r="GY13" s="161">
        <f>IF($EL13=0,0,CHOOSE(1+INDEX('DADOS_FORMAS'!$FT$2:$FT$21,$EL13),0,$GV13,$GW13,$GV13+$GW13))</f>
        <v/>
      </c>
      <c r="GZ13" s="161">
        <f>IF(OR($EK13=0,$EL13=0),"",INDEX('DADOS_FORMAS'!$GZ$2:$HE$61,($EL13-1)*3+IF($EB13&gt;=6,3,2),1+MIN(5,$GX13))&amp;INDEX('DADOS_FORMAS'!$HF$2:$HK$61,($EL13-1)*3+IF($EB13&gt;=6,3,2),1+MIN(5,$GY13))&amp;IF(INDEX('DADOS_FORMAS'!$FU$2:$FU$21,$EL13)=1,IF(COUNTIF($KW13:$KZ13,"Mais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IFERROR(VLOOKUP(SUBSTITUTE(SUBSTITUTE(SUBSTITUTE($HP13,"~","~~"),"*","~*"),"?","~?"),'DADOS_TALENTOS'!$AQ$2:$AW$34,2,FALSE),0)</f>
        <v/>
      </c>
      <c r="HR13" s="161">
        <f>IFERROR(VLOOKUP($HQ13,$CA$2:$CB$4,2,FALSE),0)</f>
        <v/>
      </c>
      <c r="HS13" s="161">
        <f>IFERROR(VLOOKUP(SUBSTITUTE(SUBSTITUTE(SUBSTITUTE($HP13,"~","~~"),"*","~*"),"?","~?"),'DADOS_TALENTOS'!$AQ$2:$AW$34,3,FALSE),"")</f>
        <v/>
      </c>
      <c r="HT13" s="161">
        <f>IF($HQ13=0,"",IF($HR13&gt;$HM$2,"⚠ Nível "&amp;$HR13,"CE "&amp;$HQ13))&amp;IF('DADOS_AM'!$LO13="",""," · ⚠ "&amp;'DADOS_AM'!$LO13)</f>
        <v/>
      </c>
      <c r="HU13" s="161">
        <f>IF($HQ13=0,"",IF(7&gt;$HM$8,"⚠ Vaga","Grátis"))</f>
        <v/>
      </c>
      <c r="HV13" s="161">
        <f>'FICHA AMALDIÇOADA'!$E$418&amp;""</f>
        <v/>
      </c>
      <c r="HW13" s="161">
        <f>IF($HP13="","",COUNTIF($HP$2:$HP13,"?*"))</f>
        <v/>
      </c>
      <c r="HY13" s="159" t="inlineStr">
        <is>
          <t>Aptidão 12</t>
        </is>
      </c>
      <c r="HZ13" s="161">
        <f>'FICHA AMALDIÇOADA'!$P$492&amp;""</f>
        <v/>
      </c>
      <c r="IA13" s="161">
        <f>IF($HZ13="","","Requisito: "&amp;IFERROR(VLOOKUP(SUBSTITUTE(SUBSTITUTE(SUBSTITUTE($HZ13,"~","~~"),"*","~*"),"?","~?"),'DADOS_APTIDOES'!$BF$2:$BO$45,2,FALSE),""))&amp;IF($LK13="",""," · ⚠ "&amp;$LK13)</f>
        <v/>
      </c>
      <c r="IB13" s="161">
        <f>IF($HZ13="","",IFERROR(IF(ISNUMBER(VLOOKUP(SUBSTITUTE(SUBSTITUTE(SUBSTITUTE($HZ13,"~","~~"),"*","~*"),"?","~?"),'DADOS_APTIDOES'!$BF$2:$BO$45,3,FALSE)),"CE "&amp;VLOOKUP(SUBSTITUTE(SUBSTITUTE(SUBSTITUTE($HZ13,"~","~~"),"*","~*"),"?","~?"),'DADOS_APTIDOES'!$BF$2:$BO$45,3,FALSE),VLOOKUP(SUBSTITUTE(SUBSTITUTE(SUBSTITUTE($HZ13,"~","~~"),"*","~*"),"?","~?"),'DADOS_APTIDOES'!$BF$2:$BO$45,3,FALSE)),""))</f>
        <v/>
      </c>
      <c r="IC13" s="161">
        <f>IF($HZ13="","",IFERROR(VLOOKUP(SUBSTITUTE(SUBSTITUTE(SUBSTITUTE($HZ13,"~","~~"),"*","~*"),"?","~?"),'DADOS_APTIDOES'!$BF$2:$BO$45,4,FALSE),""))</f>
        <v/>
      </c>
      <c r="ID13" s="161">
        <f>IF($HZ13="","",IFERROR(VLOOKUP(SUBSTITUTE(SUBSTITUTE(SUBSTITUTE($HZ13,"~","~~"),"*","~*"),"?","~?"),'DADOS_APTIDOES'!$BF$2:$BO$45,5,FALSE),""))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IF($KG13=0,"",IF(INDEX($HV$2:$HV$13,$KG13)&lt;&gt;"",INDEX($HV$2:$HV$13,$KG13),IF(IFERROR(VLOOKUP(SUBSTITUTE(SUBSTITUTE(SUBSTITUTE(INDEX($HP$2:$HP$13,$KG13),"~","~~"),"*","~*"),"?","~?"),'DADOS_TALENTOS'!$AQ$2:$AW$34,7,FALSE),"")&lt;&gt;"","Do livro: "&amp;IFERROR(VLOOKUP(SUBSTITUTE(SUBSTITUTE(SUBSTITUTE(INDEX($HP$2:$HP$13,$KG13),"~","~~"),"*","~*"),"?","~?"),'DADOS_TALENTOS'!$AQ$2:$AW$34,7,FALSE),""),"")))</f>
        <v/>
      </c>
      <c r="KL13" s="159" t="inlineStr">
        <is>
          <t>Aptidão 10</t>
        </is>
      </c>
      <c r="KM13" s="161">
        <f>IFERROR(MATCH(10,$IF$2:$IF$13,0),0)</f>
        <v/>
      </c>
      <c r="KN13" s="161">
        <f>IF($KM13=0,"",INDEX($IB$2:$IB$13,$KM13))</f>
        <v/>
      </c>
      <c r="KO13" s="161">
        <f>IF($KM13=0,"",INDEX($HZ$2:$HZ$13,$KM13))</f>
        <v/>
      </c>
      <c r="KP13" s="161">
        <f>IF($KM13=0,"",IF(INDEX($IE$2:$IE$13,$KM13)&lt;&gt;"",INDEX($IE$2:$IE$13,$KM13),IF(IFERROR(VLOOKUP(SUBSTITUTE(SUBSTITUTE(SUBSTITUTE(INDEX($HZ$2:$HZ$13,$KM13),"~","~~"),"*","~*"),"?","~?"),'DADOS_APTIDOES'!$BF$2:$BO$45,10,FALSE),"")&lt;&gt;"","Do livro: "&amp;IFERROR(VLOOKUP(SUBSTITUTE(SUBSTITUTE(SUBSTITUTE(INDEX($HZ$2:$HZ$13,$KM13),"~","~~"),"*","~*"),"?","~?"),'DADOS_APTIDOES'!$BF$2:$BO$45,10,FALSE),""),"")))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c r="LB13">
        <f>IFERROR(INDEX('DADOS_FORMAS'!$BJ$2:$BJ$21,MATCH(SUBSTITUTE(SUBSTITUTE(SUBSTITUTE($ED13,"~","~~"),"*","~*"),"?","~?"),'DADOS_FORMAS'!$AH$2:$AH$21,0)),"")</f>
        <v/>
      </c>
      <c r="LC13">
        <f>IFERROR(VLOOKUP(SUBSTITUTE(SUBSTITUTE(SUBSTITUTE(IFERROR(INDEX('DADOS_FORMAS'!$AS$2:$AS$21,MATCH(SUBSTITUTE(SUBSTITUTE(SUBSTITUTE($ED13,"~","~~"),"*","~*"),"?","~?"),'DADOS_FORMAS'!$AH$2:$AH$21,0)),""),"~","~~"),"*","~*"),"?","~?"),'DADOS_RESTRICOES'!$M$2:$Q$54,2,FALSE),"")</f>
        <v/>
      </c>
      <c r="LD13">
        <f>$FD13</f>
        <v/>
      </c>
      <c r="LE13">
        <f>$FE13</f>
        <v/>
      </c>
      <c r="LF13">
        <f>$LC13</f>
        <v/>
      </c>
      <c r="LH13">
        <f>'FICHA AMALDIÇOADA'!$P$492&amp;""</f>
        <v/>
      </c>
      <c r="LI13">
        <f>IF($LH13="","",IF(IFERROR(INDEX('DADOS_APTIDOES'!$X$2:$X$45,MATCH(SUBSTITUTE(SUBSTITUTE(SUBSTITUTE($LH13,"~","~~"),"*","~*"),"?","~?"),'DADOS_APTIDOES'!$O$2:$O$45,0)),"")="",$LH13,IFERROR(INDEX('DADOS_APTIDOES'!$X$2:$X$45,MATCH(SUBSTITUTE(SUBSTITUTE(SUBSTITUTE($LH13,"~","~~"),"*","~*"),"?","~?"),'DADOS_APTIDOES'!$O$2:$O$45,0)),"")))</f>
        <v/>
      </c>
      <c r="LJ13">
        <f>IF(LEFT($LI13,16)="Aptidão Própria (","Aptidão Própria",IF(LEFT($LI13,15)="Bênção Própria (","Bênção Própria",$LI13))</f>
        <v/>
      </c>
      <c r="LK13">
        <f>IF($LH13="","",TEXTJOIN(" · ",TRUE,$LP13:$MJ13))</f>
        <v/>
      </c>
      <c r="LL13">
        <f>IF($LH13="",0,IF(IFERROR(INDEX('DADOS_APTIDOES'!$W$2:$W$45,MATCH(SUBSTITUTE(SUBSTITUTE(SUBSTITUTE($LH13,"~","~~"),"*","~*"),"?","~?"),'DADOS_APTIDOES'!$O$2:$O$45,0)),"")="Gratuita",0,1))</f>
        <v/>
      </c>
      <c r="LO13">
        <f>IF('FICHA AMALDIÇOADA'!$D$413="","",TEXTJOIN(" · ",TRUE,IF(COUNTIF('DADOS_TALENTOS'!$M$2:$M$34,SUBSTITUTE(SUBSTITUTE(SUBSTITUTE('FICHA AMALDIÇOADA'!$D$413,"~","~~"),"*","~*"),"?","~?"))=0,"Talento não cadastrado ou com erro",""),IF(COUNTIF('DADOS_TALENTOS'!$AV$2:$AV$34,SUBSTITUTE(SUBSTITUTE(SUBSTITUTE('FICHA AMALDIÇOADA'!$D$413,"~","~~"),"*","~*"),"?","~?"))=0,"Talento incompatível com a rota","")))</f>
        <v/>
      </c>
      <c r="LP13">
        <f>IF(COUNTIF('DADOS_APTIDOES'!$O$2:$O$45,SUBSTITUTE(SUBSTITUTE(SUBSTITUTE($LH13,"~","~~"),"*","~*"),"?","~?"))=0,"Aptidão não cadastrada ou com erro","")</f>
        <v/>
      </c>
      <c r="LQ13">
        <f>IF(COUNTIF('DADOS_APTIDOES'!$BK$2:$BK$45,SUBSTITUTE(SUBSTITUTE(SUBSTITUTE($LH13,"~","~~"),"*","~*"),"?","~?"))=0,"Rota/origem incompatível ou capacidade inicial automática","")</f>
        <v/>
      </c>
      <c r="LR13">
        <f>IF(AND(NOT(OR(FALSE)),DADOS_AM!$HM$2&lt;IFERROR(INDEX('DADOS_APTIDOES'!$U$2:$U$45,MATCH(SUBSTITUTE(SUBSTITUTE(SUBSTITUTE($LH13,"~","~~"),"*","~*"),"?","~?"),'DADOS_APTIDOES'!$O$2:$O$45,0)),1)),"Nível mínimo não atendido","")</f>
        <v/>
      </c>
      <c r="LS13">
        <f>IF(AND(NOT(OR(FALSE)),DADOS_AM!$HM$6&lt;MAX(IF(AND($LI13="Domínio Simples",FALSE,IFERROR(INDEX('DADOS_APTIDOES'!$V$2:$V$45,MATCH(SUBSTITUTE(SUBSTITUTE(SUBSTITUTE($LH13,"~","~~"),"*","~*"),"?","~?"),'DADOS_APTIDOES'!$O$2:$O$45,0)),1)=5),4,IFERROR(INDEX('DADOS_APTIDOES'!$V$2:$V$45,MATCH(SUBSTITUTE(SUBSTITUTE(SUBSTITUTE($LH13,"~","~~"),"*","~*"),"?","~?"),'DADOS_APTIDOES'!$O$2:$O$45,0)),1)),IF(IFERROR(INDEX('DADOS_APTIDOES'!$N$2:$N$45,MATCH(SUBSTITUTE(SUBSTITUTE(SUBSTITUTE($LH13,"~","~~"),"*","~*"),"?","~?"),'DADOS_APTIDOES'!$O$2:$O$45,0)),"")="Bênção",IF(IFERROR(INDEX('DADOS_APTIDOES'!$T$2:$T$45,MATCH(SUBSTITUTE(SUBSTITUTE(SUBSTITUTE($LH13,"~","~~"),"*","~*"),"?","~?"),'DADOS_APTIDOES'!$O$2:$O$45,0)),0)=3,7,IF(IFERROR(INDEX('DADOS_APTIDOES'!$T$2:$T$45,MATCH(SUBSTITUTE(SUBSTITUTE(SUBSTITUTE($LH13,"~","~~"),"*","~*"),"?","~?"),'DADOS_APTIDOES'!$O$2:$O$45,0)),0)=2,4,1)),1))),"Refino/Lapidação mínimo não atendido","")</f>
        <v/>
      </c>
      <c r="LT13">
        <f>IF(COUNTIF($LJ$2:$LJ13,SUBSTITUTE(SUBSTITUTE(SUBSTITUTE($LJ13,"~","~~"),"*","~*"),"?","~?"))&gt;1,"Aptidão/Bênção repetida","")</f>
        <v/>
      </c>
      <c r="LU13">
        <f>IF(AND(NOT(OR(FALSE)),AND($LI13="Circulação",COUNTIF($LI$2:$LI12,"Energia Reversa")=0)),"Exige aquisição anterior: Energia Reversa","")</f>
        <v/>
      </c>
      <c r="LV13">
        <f>IF(AND(NOT(OR(FALSE)),AND($LI13="Regravação",COUNTIF($LI$2:$LI12,"Circulação")=0)),"Exige aquisição anterior: Circulação","")</f>
        <v/>
      </c>
      <c r="LW13">
        <f>IF(AND(NOT(OR(FALSE)),AND($LI13="Cortina",COUNTIF($LI$2:$LI12,"Barreira Simples")=0)),"Exige aquisição anterior: Barreira Simples","")</f>
        <v/>
      </c>
      <c r="LX13">
        <f>IF(AND(NOT(OR(FALSE)),AND($LI13="Ritual",'FICHA'!AB19&lt;5)),"Exige Inteligência 5","")</f>
        <v/>
      </c>
      <c r="LY13">
        <f>IF(AND(NOT(OR(FALSE)),AND($LI13="Ímpeto",'FICHA'!L19&lt;4)),"Exige Destreza 4","")</f>
        <v/>
      </c>
      <c r="LZ13">
        <f>IF(AND(NOT(OR(FALSE)),AND($LI13="Casco",'FICHA'!T19&lt;4)),"Exige Constituição 4","")</f>
        <v/>
      </c>
      <c r="MA13">
        <f>IF(AND(NOT(OR(FALSE)),AND($LI13="Presilha",'FICHA'!D19&lt;4)),"Exige Força 4","")</f>
        <v/>
      </c>
      <c r="MB13">
        <f>IF(AND(NOT(OR(FALSE)),AND($LI13="Antecipar",'FICHA'!AB19&lt;4)),"Exige Inteligência 4","")</f>
        <v/>
      </c>
      <c r="MC13">
        <f>IF(AND(NOT(OR(FALSE)),AND($LI13="Sangue Frio",'FICHA'!T19&lt;4)),"Exige Constituição 4","")</f>
        <v/>
      </c>
      <c r="MD13">
        <f>IF(AND(NOT(OR(FALSE)),AND($LI13="Assombro",'FICHA'!AJ19&lt;4)),"Exige Essência 4","")</f>
        <v/>
      </c>
      <c r="ME13">
        <f>IF(AND(NOT(OR(FALSE)),$LI13="Cesta Oca de Vime"),"Conferir Encarnado ou treino em História","")</f>
        <v/>
      </c>
      <c r="MF13">
        <f>IF(AND(NOT(OR(FALSE)),$LI13="Pétala"),"Conferir Descendente ou aprendizado de clã","")</f>
        <v/>
      </c>
      <c r="MG13">
        <f>IF(AND(NOT(OR(FALSE)),$LI13="Domínio Simples"),"Conferir aprendizado de Domínio Simples","")</f>
        <v/>
      </c>
      <c r="MH13">
        <f>IF(AND(NOT(OR(FALSE)),$LI13="Extensão de Domínio"),"Conferir aprendizado de Extensão de Domínio","")</f>
        <v/>
      </c>
      <c r="MI13">
        <f>IF(AND(NOT(OR(FALSE)),$LI13="Ritual"),"Conferir Técnica Inata","")</f>
        <v/>
      </c>
      <c r="MJ13">
        <f>IF(AND(NOT(OR(FALSE)),AND($LI13="Represália",MAX('FICHA'!D19,'FICHA'!L19)&lt;4)),"Exige Força ou Destreza 4","")</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IFERROR(MATCH(SUBSTITUTE(SUBSTITUTE(SUBSTITUTE($ED14,"~","~~"),"*","~*"),"?","~?"),'DADOS_FORMAS'!$FJ$2:$FJ$21,0),0)</f>
        <v/>
      </c>
      <c r="EM14" s="161">
        <f>IF($EL14=0,0,INDEX('DADOS_FORMAS'!$FM$2:$FM$21,$EL14))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IF($EL14=0,0,INDEX('DADOS_FORMAS'!$FN$2:$FN$21,$EL14))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IF($EL14=0,0,INDEX('DADOS_FORMAS'!$FO$2:$FO$21,$EL14))</f>
        <v/>
      </c>
      <c r="EZ14" s="161">
        <f>IF($EL14=0,0,INDEX('DADOS_FORMAS'!$FP$2:$FP$21,$EL14))</f>
        <v/>
      </c>
      <c r="FA14" s="161">
        <f>IF($EL14=0,0,INDEX('DADOS_FORMAS'!$FR$2:$FR$21,$EL14))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IF(IFERROR(INDEX('DADOS_FORMAS'!$AS$2:$AS$21,MATCH(SUBSTITUTE(SUBSTITUTE(SUBSTITUTE($ED14,"~","~~"),"*","~*"),"?","~?"),'DADOS_FORMAS'!$AH$2:$AH$21,0)),"")="",0,IFERROR(N(VLOOKUP(SUBSTITUTE(SUBSTITUTE(SUBSTITUTE(IFERROR(INDEX('DADOS_FORMAS'!$AS$2:$AS$21,MATCH(SUBSTITUTE(SUBSTITUTE(SUBSTITUTE($ED14,"~","~~"),"*","~*"),"?","~?"),'DADOS_FORMAS'!$AH$2:$AH$21,0)),""),"~","~~"),"*","~*"),"?","~?"),'DADOS_RESTRICOES'!$M$2:$Q$54,3,FALSE)=1),0))</f>
        <v/>
      </c>
      <c r="FM14" s="161">
        <f>COUNTIF($FB14:$FC14,2)+IF(IFERROR(INDEX('DADOS_FORMAS'!$AS$2:$AS$21,MATCH(SUBSTITUTE(SUBSTITUTE(SUBSTITUTE($ED14,"~","~~"),"*","~*"),"?","~?"),'DADOS_FORMAS'!$AH$2:$AH$21,0)),"")="",0,IFERROR(N(VLOOKUP(SUBSTITUTE(SUBSTITUTE(SUBSTITUTE(IFERROR(INDEX('DADOS_FORMAS'!$AS$2:$AS$21,MATCH(SUBSTITUTE(SUBSTITUTE(SUBSTITUTE($ED14,"~","~~"),"*","~*"),"?","~?"),'DADOS_FORMAS'!$AH$2:$AH$21,0)),""),"~","~~"),"*","~*"),"?","~?"),'DADOS_RESTRICOES'!$M$2:$Q$54,3,FALSE)=2),0))</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Corpo")&gt;0,$EY14=0,OR($LB14="Cone",$LB14="Linha")),"Corpo a Corpo não entra em "&amp;$ED14,""),IF(AND(COUNTIF($FD14:$FE14,"Corpo a Corpo")&gt;0,$LC14="Corpo a Corpo"),"A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"&amp;$EJ14,""))),IF(AND($ED14&lt;&gt;"",COUNTIF('DADOS_FORMAS'!$AH$2:$AH$21,SUBSTITUTE(SUBSTITUTE(SUBSTITUTE($ED14,"~","~~"),"*","~*"),"?","~?"))=0),"Forma não cadastrada ou com erro: "&amp;$ED14,""),IF(AND(IFERROR(INDEX('DADOS_FORMAS'!$AS$2:$AS$21,MATCH(SUBSTITUTE(SUBSTITUTE(SUBSTITUTE($ED14,"~","~~"),"*","~*"),"?","~?"),'DADOS_FORMAS'!$AH$2:$AH$21,0)),"")&lt;&gt;"",OR(IFERROR(VLOOKUP(SUBSTITUTE(SUBSTITUTE(SUBSTITUTE(IFERROR(INDEX('DADOS_FORMAS'!$AS$2:$AS$21,MATCH(SUBSTITUTE(SUBSTITUTE(SUBSTITUTE($ED14,"~","~~"),"*","~*"),"?","~?"),'DADOS_FORMAS'!$AH$2:$AH$21,0)),""),"~","~~"),"*","~*"),"?","~?"),'DADOS_RESTRICOES'!$M$2:$Q$54,2,FALSE),"")=$FD14,IFERROR(VLOOKUP(SUBSTITUTE(SUBSTITUTE(SUBSTITUTE(IFERROR(INDEX('DADOS_FORMAS'!$AS$2:$AS$21,MATCH(SUBSTITUTE(SUBSTITUTE(SUBSTITUTE($ED14,"~","~~"),"*","~*"),"?","~?"),'DADOS_FORMAS'!$AH$2:$AH$21,0)),""),"~","~~"),"*","~*"),"?","~?"),'DADOS_RESTRICOES'!$M$2:$Q$54,2,FALSE),"")=$FE14)),"Restrição repetida, contando a embutida",""),IF(IF(IFERROR(INDEX('DADOS_FORMAS'!$AS$2:$AS$21,MATCH(SUBSTITUTE(SUBSTITUTE(SUBSTITUTE($ED14,"~","~~"),"*","~*"),"?","~?"),'DADOS_FORMAS'!$AH$2:$AH$21,0)),"")="",0,IFERROR(N(VLOOKUP(SUBSTITUTE(SUBSTITUTE(SUBSTITUTE(IFERROR(INDEX('DADOS_FORMAS'!$AS$2:$AS$21,MATCH(SUBSTITUTE(SUBSTITUTE(SUBSTITUTE($ED14,"~","~~"),"*","~*"),"?","~?"),'DADOS_FORMAS'!$AH$2:$AH$21,0)),""),"~","~~"),"*","~*"),"?","~?"),'DADOS_RESTRICOES'!$M$2:$Q$54,4,FALSE)=1),0))+IF($EI14="",0,IFERROR(N(VLOOKUP(SUBSTITUTE(SUBSTITUTE(SUBSTITUTE($EI14,"~","~~"),"*","~*"),"?","~?"),'DADOS_RESTRICOES'!$M$2:$Q$54,4,FALSE)=1),0))+IF($EJ14="",0,IFERROR(N(VLOOKUP(SUBSTITUTE(SUBSTITUTE(SUBSTITUTE($EJ14,"~","~~"),"*","~*"),"?","~?"),'DADOS_RESTRICOES'!$M$2:$Q$54,4,FALSE)=1),0))&gt;1,"Duas Restrições de frequência, contando a embutida",""),IF(AND(IFERROR(VLOOKUP(SUBSTITUTE(SUBSTITUTE(SUBSTITUTE(IFERROR(INDEX('DADOS_FORMAS'!$AS$2:$AS$21,MATCH(SUBSTITUTE(SUBSTITUTE(SUBSTITUTE($ED14,"~","~~"),"*","~*"),"?","~?"),'DADOS_FORMAS'!$AH$2:$AH$21,0)),""),"~","~~"),"*","~*"),"?","~?"),'DADOS_RESTRICOES'!$M$2:$Q$54,2,FALSE),"")="Tudo ou Nada",$FA14=0),"Tudo ou Nada exige TR",""),IF(AND(IFERROR(VLOOKUP(SUBSTITUTE(SUBSTITUTE(SUBSTITUTE(IFERROR(INDEX('DADOS_FORMAS'!$AS$2:$AS$21,MATCH(SUBSTITUTE(SUBSTITUTE(SUBSTITUTE($ED14,"~","~~"),"*","~*"),"?","~?"),'DADOS_FORMAS'!$AH$2:$AH$21,0)),""),"~","~~"),"*","~*"),"?","~?"),'DADOS_RESTRICOES'!$M$2:$Q$54,2,FALSE),"")="Corpo a Corpo",OR($LB14="Cone",$LB14="Linha")),"Corpo a Corpo não entra em Cone/Linha","")))</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inteira",IF(COUNTIF($LD14:$LF14,"Atrasar")&gt;0,IF(COUNTIF($LD14:$LF14,"Carregar")&gt;0,"Rodada +1 turno","Rodada inteira"),IF(COUNTIF($KW14:$KZ14,"Rápido")&gt;0,"Bônus",IF(COUNTIF($KW14:$KZ14,"Reação")&gt;0,"Reação","Padrão"))&amp;IF(COUNTIF($LD14:$LF14,"Carregar")&gt;0," +1 turno",""))))</f>
        <v/>
      </c>
      <c r="GT14" s="161">
        <f>IF(OR($EK14=0,$EL14=0),"",IF(COUNTIF($KW14:$KZ14,"Inescapável")&gt;0,"Automático",IF(COUNTIF($KW14:$KZ14,"Certeiro")&gt;0,"TR para metade",IF(AND($EX14&gt;0,$FA14=0,INDEX('DADOS_FORMAS'!$FQ$2:$FQ$21,$EL14)="Acerto"),"Acerto + TR",INDEX('DADOS_FORMAS'!$FQ$2:$FQ$21,$EL14)))))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IF($EL14=0,0,CHOOSE(1+INDEX('DADOS_FORMAS'!$FS$2:$FS$21,$EL14),0,$GV14,$GW14,$GV14+$GW14))</f>
        <v/>
      </c>
      <c r="GY14" s="161">
        <f>IF($EL14=0,0,CHOOSE(1+INDEX('DADOS_FORMAS'!$FT$2:$FT$21,$EL14),0,$GV14,$GW14,$GV14+$GW14))</f>
        <v/>
      </c>
      <c r="GZ14" s="161">
        <f>IF(OR($EK14=0,$EL14=0),"",INDEX('DADOS_FORMAS'!$GZ$2:$HE$61,($EL14-1)*3+IF($EB14&gt;=6,3,2),1+MIN(5,$GX14))&amp;INDEX('DADOS_FORMAS'!$HF$2:$HK$61,($EL14-1)*3+IF($EB14&gt;=6,3,2),1+MIN(5,$GY14))&amp;IF(INDEX('DADOS_FORMAS'!$FU$2:$FU$21,$EL14)=1,IF(COUNTIF($KW14:$KZ14,"Mais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IF($KG14=0,"",IF(INDEX($HV$2:$HV$13,$KG14)&lt;&gt;"",INDEX($HV$2:$HV$13,$KG14),IF(IFERROR(VLOOKUP(SUBSTITUTE(SUBSTITUTE(SUBSTITUTE(INDEX($HP$2:$HP$13,$KG14),"~","~~"),"*","~*"),"?","~?"),'DADOS_TALENTOS'!$AQ$2:$AW$34,7,FALSE),"")&lt;&gt;"","Do livro: "&amp;IFERROR(VLOOKUP(SUBSTITUTE(SUBSTITUTE(SUBSTITUTE(INDEX($HP$2:$HP$13,$KG14),"~","~~"),"*","~*"),"?","~?"),'DADOS_TALENTOS'!$AQ$2:$AW$34,7,FALSE),""),"")))</f>
        <v/>
      </c>
      <c r="KL14" s="159" t="inlineStr">
        <is>
          <t>Aptidão 11</t>
        </is>
      </c>
      <c r="KM14" s="161">
        <f>IFERROR(MATCH(11,$IF$2:$IF$13,0),0)</f>
        <v/>
      </c>
      <c r="KN14" s="161">
        <f>IF($KM14=0,"",INDEX($IB$2:$IB$13,$KM14))</f>
        <v/>
      </c>
      <c r="KO14" s="161">
        <f>IF($KM14=0,"",INDEX($HZ$2:$HZ$13,$KM14))</f>
        <v/>
      </c>
      <c r="KP14" s="161">
        <f>IF($KM14=0,"",IF(INDEX($IE$2:$IE$13,$KM14)&lt;&gt;"",INDEX($IE$2:$IE$13,$KM14),IF(IFERROR(VLOOKUP(SUBSTITUTE(SUBSTITUTE(SUBSTITUTE(INDEX($HZ$2:$HZ$13,$KM14),"~","~~"),"*","~*"),"?","~?"),'DADOS_APTIDOES'!$BF$2:$BO$45,10,FALSE),"")&lt;&gt;"","Do livro: "&amp;IFERROR(VLOOKUP(SUBSTITUTE(SUBSTITUTE(SUBSTITUTE(INDEX($HZ$2:$HZ$13,$KM14),"~","~~"),"*","~*"),"?","~?"),'DADOS_APTIDOES'!$BF$2:$BO$45,10,FALSE),""),"")))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c r="LB14">
        <f>IFERROR(INDEX('DADOS_FORMAS'!$BJ$2:$BJ$21,MATCH(SUBSTITUTE(SUBSTITUTE(SUBSTITUTE($ED14,"~","~~"),"*","~*"),"?","~?"),'DADOS_FORMAS'!$AH$2:$AH$21,0)),"")</f>
        <v/>
      </c>
      <c r="LC14">
        <f>IFERROR(VLOOKUP(SUBSTITUTE(SUBSTITUTE(SUBSTITUTE(IFERROR(INDEX('DADOS_FORMAS'!$AS$2:$AS$21,MATCH(SUBSTITUTE(SUBSTITUTE(SUBSTITUTE($ED14,"~","~~"),"*","~*"),"?","~?"),'DADOS_FORMAS'!$AH$2:$AH$21,0)),""),"~","~~"),"*","~*"),"?","~?"),'DADOS_RESTRICOES'!$M$2:$Q$54,2,FALSE),"")</f>
        <v/>
      </c>
      <c r="LD14">
        <f>$FD14</f>
        <v/>
      </c>
      <c r="LE14">
        <f>$FE14</f>
        <v/>
      </c>
      <c r="LF14">
        <f>$LC14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IFERROR(MATCH(SUBSTITUTE(SUBSTITUTE(SUBSTITUTE($ED15,"~","~~"),"*","~*"),"?","~?"),'DADOS_FORMAS'!$FJ$2:$FJ$21,0),0)</f>
        <v/>
      </c>
      <c r="EM15" s="161">
        <f>IF($EL15=0,0,INDEX('DADOS_FORMAS'!$FM$2:$FM$21,$EL15))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IF($EL15=0,0,INDEX('DADOS_FORMAS'!$FN$2:$FN$21,$EL15))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IF($EL15=0,0,INDEX('DADOS_FORMAS'!$FO$2:$FO$21,$EL15))</f>
        <v/>
      </c>
      <c r="EZ15" s="161">
        <f>IF($EL15=0,0,INDEX('DADOS_FORMAS'!$FP$2:$FP$21,$EL15))</f>
        <v/>
      </c>
      <c r="FA15" s="161">
        <f>IF($EL15=0,0,INDEX('DADOS_FORMAS'!$FR$2:$FR$21,$EL15))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IF(IFERROR(INDEX('DADOS_FORMAS'!$AS$2:$AS$21,MATCH(SUBSTITUTE(SUBSTITUTE(SUBSTITUTE($ED15,"~","~~"),"*","~*"),"?","~?"),'DADOS_FORMAS'!$AH$2:$AH$21,0)),"")="",0,IFERROR(N(VLOOKUP(SUBSTITUTE(SUBSTITUTE(SUBSTITUTE(IFERROR(INDEX('DADOS_FORMAS'!$AS$2:$AS$21,MATCH(SUBSTITUTE(SUBSTITUTE(SUBSTITUTE($ED15,"~","~~"),"*","~*"),"?","~?"),'DADOS_FORMAS'!$AH$2:$AH$21,0)),""),"~","~~"),"*","~*"),"?","~?"),'DADOS_RESTRICOES'!$M$2:$Q$54,3,FALSE)=1),0))</f>
        <v/>
      </c>
      <c r="FM15" s="161">
        <f>COUNTIF($FB15:$FC15,2)+IF(IFERROR(INDEX('DADOS_FORMAS'!$AS$2:$AS$21,MATCH(SUBSTITUTE(SUBSTITUTE(SUBSTITUTE($ED15,"~","~~"),"*","~*"),"?","~?"),'DADOS_FORMAS'!$AH$2:$AH$21,0)),"")="",0,IFERROR(N(VLOOKUP(SUBSTITUTE(SUBSTITUTE(SUBSTITUTE(IFERROR(INDEX('DADOS_FORMAS'!$AS$2:$AS$21,MATCH(SUBSTITUTE(SUBSTITUTE(SUBSTITUTE($ED15,"~","~~"),"*","~*"),"?","~?"),'DADOS_FORMAS'!$AH$2:$AH$21,0)),""),"~","~~"),"*","~*"),"?","~?"),'DADOS_RESTRICOES'!$M$2:$Q$54,3,FALSE)=2),0))</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Corpo")&gt;0,$EY15=0,OR($LB15="Cone",$LB15="Linha")),"Corpo a Corpo não entra em "&amp;$ED15,""),IF(AND(COUNTIF($FD15:$FE15,"Corpo a Corpo")&gt;0,$LC15="Corpo a Corpo"),"A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"&amp;$EJ15,""))),IF(AND($ED15&lt;&gt;"",COUNTIF('DADOS_FORMAS'!$AH$2:$AH$21,SUBSTITUTE(SUBSTITUTE(SUBSTITUTE($ED15,"~","~~"),"*","~*"),"?","~?"))=0),"Forma não cadastrada ou com erro: "&amp;$ED15,""),IF(AND(IFERROR(INDEX('DADOS_FORMAS'!$AS$2:$AS$21,MATCH(SUBSTITUTE(SUBSTITUTE(SUBSTITUTE($ED15,"~","~~"),"*","~*"),"?","~?"),'DADOS_FORMAS'!$AH$2:$AH$21,0)),"")&lt;&gt;"",OR(IFERROR(VLOOKUP(SUBSTITUTE(SUBSTITUTE(SUBSTITUTE(IFERROR(INDEX('DADOS_FORMAS'!$AS$2:$AS$21,MATCH(SUBSTITUTE(SUBSTITUTE(SUBSTITUTE($ED15,"~","~~"),"*","~*"),"?","~?"),'DADOS_FORMAS'!$AH$2:$AH$21,0)),""),"~","~~"),"*","~*"),"?","~?"),'DADOS_RESTRICOES'!$M$2:$Q$54,2,FALSE),"")=$FD15,IFERROR(VLOOKUP(SUBSTITUTE(SUBSTITUTE(SUBSTITUTE(IFERROR(INDEX('DADOS_FORMAS'!$AS$2:$AS$21,MATCH(SUBSTITUTE(SUBSTITUTE(SUBSTITUTE($ED15,"~","~~"),"*","~*"),"?","~?"),'DADOS_FORMAS'!$AH$2:$AH$21,0)),""),"~","~~"),"*","~*"),"?","~?"),'DADOS_RESTRICOES'!$M$2:$Q$54,2,FALSE),"")=$FE15)),"Restrição repetida, contando a embutida",""),IF(IF(IFERROR(INDEX('DADOS_FORMAS'!$AS$2:$AS$21,MATCH(SUBSTITUTE(SUBSTITUTE(SUBSTITUTE($ED15,"~","~~"),"*","~*"),"?","~?"),'DADOS_FORMAS'!$AH$2:$AH$21,0)),"")="",0,IFERROR(N(VLOOKUP(SUBSTITUTE(SUBSTITUTE(SUBSTITUTE(IFERROR(INDEX('DADOS_FORMAS'!$AS$2:$AS$21,MATCH(SUBSTITUTE(SUBSTITUTE(SUBSTITUTE($ED15,"~","~~"),"*","~*"),"?","~?"),'DADOS_FORMAS'!$AH$2:$AH$21,0)),""),"~","~~"),"*","~*"),"?","~?"),'DADOS_RESTRICOES'!$M$2:$Q$54,4,FALSE)=1),0))+IF($EI15="",0,IFERROR(N(VLOOKUP(SUBSTITUTE(SUBSTITUTE(SUBSTITUTE($EI15,"~","~~"),"*","~*"),"?","~?"),'DADOS_RESTRICOES'!$M$2:$Q$54,4,FALSE)=1),0))+IF($EJ15="",0,IFERROR(N(VLOOKUP(SUBSTITUTE(SUBSTITUTE(SUBSTITUTE($EJ15,"~","~~"),"*","~*"),"?","~?"),'DADOS_RESTRICOES'!$M$2:$Q$54,4,FALSE)=1),0))&gt;1,"Duas Restrições de frequência, contando a embutida",""),IF(AND(IFERROR(VLOOKUP(SUBSTITUTE(SUBSTITUTE(SUBSTITUTE(IFERROR(INDEX('DADOS_FORMAS'!$AS$2:$AS$21,MATCH(SUBSTITUTE(SUBSTITUTE(SUBSTITUTE($ED15,"~","~~"),"*","~*"),"?","~?"),'DADOS_FORMAS'!$AH$2:$AH$21,0)),""),"~","~~"),"*","~*"),"?","~?"),'DADOS_RESTRICOES'!$M$2:$Q$54,2,FALSE),"")="Tudo ou Nada",$FA15=0),"Tudo ou Nada exige TR",""),IF(AND(IFERROR(VLOOKUP(SUBSTITUTE(SUBSTITUTE(SUBSTITUTE(IFERROR(INDEX('DADOS_FORMAS'!$AS$2:$AS$21,MATCH(SUBSTITUTE(SUBSTITUTE(SUBSTITUTE($ED15,"~","~~"),"*","~*"),"?","~?"),'DADOS_FORMAS'!$AH$2:$AH$21,0)),""),"~","~~"),"*","~*"),"?","~?"),'DADOS_RESTRICOES'!$M$2:$Q$54,2,FALSE),"")="Corpo a Corpo",OR($LB15="Cone",$LB15="Linha")),"Corpo a Corpo não entra em Cone/Linha","")))</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inteira",IF(COUNTIF($LD15:$LF15,"Atrasar")&gt;0,IF(COUNTIF($LD15:$LF15,"Carregar")&gt;0,"Rodada +1 turno","Rodada inteira"),IF(COUNTIF($KW15:$KZ15,"Rápido")&gt;0,"Bônus",IF(COUNTIF($KW15:$KZ15,"Reação")&gt;0,"Reação","Padrão"))&amp;IF(COUNTIF($LD15:$LF15,"Carregar")&gt;0," +1 turno",""))))</f>
        <v/>
      </c>
      <c r="GT15" s="161">
        <f>IF(OR($EK15=0,$EL15=0),"",IF(COUNTIF($KW15:$KZ15,"Inescapável")&gt;0,"Automático",IF(COUNTIF($KW15:$KZ15,"Certeiro")&gt;0,"TR para metade",IF(AND($EX15&gt;0,$FA15=0,INDEX('DADOS_FORMAS'!$FQ$2:$FQ$21,$EL15)="Acerto"),"Acerto + TR",INDEX('DADOS_FORMAS'!$FQ$2:$FQ$21,$EL15)))))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IF($EL15=0,0,CHOOSE(1+INDEX('DADOS_FORMAS'!$FS$2:$FS$21,$EL15),0,$GV15,$GW15,$GV15+$GW15))</f>
        <v/>
      </c>
      <c r="GY15" s="161">
        <f>IF($EL15=0,0,CHOOSE(1+INDEX('DADOS_FORMAS'!$FT$2:$FT$21,$EL15),0,$GV15,$GW15,$GV15+$GW15))</f>
        <v/>
      </c>
      <c r="GZ15" s="161">
        <f>IF(OR($EK15=0,$EL15=0),"",INDEX('DADOS_FORMAS'!$GZ$2:$HE$61,($EL15-1)*3+IF($EB15&gt;=6,3,2),1+MIN(5,$GX15))&amp;INDEX('DADOS_FORMAS'!$HF$2:$HK$61,($EL15-1)*3+IF($EB15&gt;=6,3,2),1+MIN(5,$GY15))&amp;IF(INDEX('DADOS_FORMAS'!$FU$2:$FU$21,$EL15)=1,IF(COUNTIF($KW15:$KZ15,"Mais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IF($KG15=0,"",IF(INDEX($HV$2:$HV$13,$KG15)&lt;&gt;"",INDEX($HV$2:$HV$13,$KG15),IF(IFERROR(VLOOKUP(SUBSTITUTE(SUBSTITUTE(SUBSTITUTE(INDEX($HP$2:$HP$13,$KG15),"~","~~"),"*","~*"),"?","~?"),'DADOS_TALENTOS'!$AQ$2:$AW$34,7,FALSE),"")&lt;&gt;"","Do livro: "&amp;IFERROR(VLOOKUP(SUBSTITUTE(SUBSTITUTE(SUBSTITUTE(INDEX($HP$2:$HP$13,$KG15),"~","~~"),"*","~*"),"?","~?"),'DADOS_TALENTOS'!$AQ$2:$AW$34,7,FALSE),""),"")))</f>
        <v/>
      </c>
      <c r="KL15" s="159" t="inlineStr">
        <is>
          <t>Aptidão 12</t>
        </is>
      </c>
      <c r="KM15" s="161">
        <f>IFERROR(MATCH(12,$IF$2:$IF$13,0),0)</f>
        <v/>
      </c>
      <c r="KN15" s="161">
        <f>IF($KM15=0,"",INDEX($IB$2:$IB$13,$KM15))</f>
        <v/>
      </c>
      <c r="KO15" s="161">
        <f>IF($KM15=0,"",INDEX($HZ$2:$HZ$13,$KM15))</f>
        <v/>
      </c>
      <c r="KP15" s="161">
        <f>IF($KM15=0,"",IF(INDEX($IE$2:$IE$13,$KM15)&lt;&gt;"",INDEX($IE$2:$IE$13,$KM15),IF(IFERROR(VLOOKUP(SUBSTITUTE(SUBSTITUTE(SUBSTITUTE(INDEX($HZ$2:$HZ$13,$KM15),"~","~~"),"*","~*"),"?","~?"),'DADOS_APTIDOES'!$BF$2:$BO$45,10,FALSE),"")&lt;&gt;"","Do livro: "&amp;IFERROR(VLOOKUP(SUBSTITUTE(SUBSTITUTE(SUBSTITUTE(INDEX($HZ$2:$HZ$13,$KM15),"~","~~"),"*","~*"),"?","~?"),'DADOS_APTIDOES'!$BF$2:$BO$45,10,FALSE),""),"")))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c r="LB15">
        <f>IFERROR(INDEX('DADOS_FORMAS'!$BJ$2:$BJ$21,MATCH(SUBSTITUTE(SUBSTITUTE(SUBSTITUTE($ED15,"~","~~"),"*","~*"),"?","~?"),'DADOS_FORMAS'!$AH$2:$AH$21,0)),"")</f>
        <v/>
      </c>
      <c r="LC15">
        <f>IFERROR(VLOOKUP(SUBSTITUTE(SUBSTITUTE(SUBSTITUTE(IFERROR(INDEX('DADOS_FORMAS'!$AS$2:$AS$21,MATCH(SUBSTITUTE(SUBSTITUTE(SUBSTITUTE($ED15,"~","~~"),"*","~*"),"?","~?"),'DADOS_FORMAS'!$AH$2:$AH$21,0)),""),"~","~~"),"*","~*"),"?","~?"),'DADOS_RESTRICOES'!$M$2:$Q$54,2,FALSE),"")</f>
        <v/>
      </c>
      <c r="LD15">
        <f>$FD15</f>
        <v/>
      </c>
      <c r="LE15">
        <f>$FE15</f>
        <v/>
      </c>
      <c r="LF15">
        <f>$LC15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IFERROR(MATCH(SUBSTITUTE(SUBSTITUTE(SUBSTITUTE($ED16,"~","~~"),"*","~*"),"?","~?"),'DADOS_FORMAS'!$FJ$2:$FJ$21,0),0)</f>
        <v/>
      </c>
      <c r="EM16" s="161">
        <f>IF($EL16=0,0,INDEX('DADOS_FORMAS'!$FM$2:$FM$21,$EL16))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IF($EL16=0,0,INDEX('DADOS_FORMAS'!$FN$2:$FN$21,$EL16))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IF($EL16=0,0,INDEX('DADOS_FORMAS'!$FO$2:$FO$21,$EL16))</f>
        <v/>
      </c>
      <c r="EZ16" s="161">
        <f>IF($EL16=0,0,INDEX('DADOS_FORMAS'!$FP$2:$FP$21,$EL16))</f>
        <v/>
      </c>
      <c r="FA16" s="161">
        <f>IF($EL16=0,0,INDEX('DADOS_FORMAS'!$FR$2:$FR$21,$EL16))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IF(IFERROR(INDEX('DADOS_FORMAS'!$AS$2:$AS$21,MATCH(SUBSTITUTE(SUBSTITUTE(SUBSTITUTE($ED16,"~","~~"),"*","~*"),"?","~?"),'DADOS_FORMAS'!$AH$2:$AH$21,0)),"")="",0,IFERROR(N(VLOOKUP(SUBSTITUTE(SUBSTITUTE(SUBSTITUTE(IFERROR(INDEX('DADOS_FORMAS'!$AS$2:$AS$21,MATCH(SUBSTITUTE(SUBSTITUTE(SUBSTITUTE($ED16,"~","~~"),"*","~*"),"?","~?"),'DADOS_FORMAS'!$AH$2:$AH$21,0)),""),"~","~~"),"*","~*"),"?","~?"),'DADOS_RESTRICOES'!$M$2:$Q$54,3,FALSE)=1),0))</f>
        <v/>
      </c>
      <c r="FM16" s="161">
        <f>COUNTIF($FB16:$FC16,2)+IF(IFERROR(INDEX('DADOS_FORMAS'!$AS$2:$AS$21,MATCH(SUBSTITUTE(SUBSTITUTE(SUBSTITUTE($ED16,"~","~~"),"*","~*"),"?","~?"),'DADOS_FORMAS'!$AH$2:$AH$21,0)),"")="",0,IFERROR(N(VLOOKUP(SUBSTITUTE(SUBSTITUTE(SUBSTITUTE(IFERROR(INDEX('DADOS_FORMAS'!$AS$2:$AS$21,MATCH(SUBSTITUTE(SUBSTITUTE(SUBSTITUTE($ED16,"~","~~"),"*","~*"),"?","~?"),'DADOS_FORMAS'!$AH$2:$AH$21,0)),""),"~","~~"),"*","~*"),"?","~?"),'DADOS_RESTRICOES'!$M$2:$Q$54,3,FALSE)=2),0))</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Corpo")&gt;0,$EY16=0,OR($LB16="Cone",$LB16="Linha")),"Corpo a Corpo não entra em "&amp;$ED16,""),IF(AND(COUNTIF($FD16:$FE16,"Corpo a Corpo")&gt;0,$LC16="Corpo a Corpo"),"A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"&amp;$EJ16,""))),IF(AND($ED16&lt;&gt;"",COUNTIF('DADOS_FORMAS'!$AH$2:$AH$21,SUBSTITUTE(SUBSTITUTE(SUBSTITUTE($ED16,"~","~~"),"*","~*"),"?","~?"))=0),"Forma não cadastrada ou com erro: "&amp;$ED16,""),IF(AND(IFERROR(INDEX('DADOS_FORMAS'!$AS$2:$AS$21,MATCH(SUBSTITUTE(SUBSTITUTE(SUBSTITUTE($ED16,"~","~~"),"*","~*"),"?","~?"),'DADOS_FORMAS'!$AH$2:$AH$21,0)),"")&lt;&gt;"",OR(IFERROR(VLOOKUP(SUBSTITUTE(SUBSTITUTE(SUBSTITUTE(IFERROR(INDEX('DADOS_FORMAS'!$AS$2:$AS$21,MATCH(SUBSTITUTE(SUBSTITUTE(SUBSTITUTE($ED16,"~","~~"),"*","~*"),"?","~?"),'DADOS_FORMAS'!$AH$2:$AH$21,0)),""),"~","~~"),"*","~*"),"?","~?"),'DADOS_RESTRICOES'!$M$2:$Q$54,2,FALSE),"")=$FD16,IFERROR(VLOOKUP(SUBSTITUTE(SUBSTITUTE(SUBSTITUTE(IFERROR(INDEX('DADOS_FORMAS'!$AS$2:$AS$21,MATCH(SUBSTITUTE(SUBSTITUTE(SUBSTITUTE($ED16,"~","~~"),"*","~*"),"?","~?"),'DADOS_FORMAS'!$AH$2:$AH$21,0)),""),"~","~~"),"*","~*"),"?","~?"),'DADOS_RESTRICOES'!$M$2:$Q$54,2,FALSE),"")=$FE16)),"Restrição repetida, contando a embutida",""),IF(IF(IFERROR(INDEX('DADOS_FORMAS'!$AS$2:$AS$21,MATCH(SUBSTITUTE(SUBSTITUTE(SUBSTITUTE($ED16,"~","~~"),"*","~*"),"?","~?"),'DADOS_FORMAS'!$AH$2:$AH$21,0)),"")="",0,IFERROR(N(VLOOKUP(SUBSTITUTE(SUBSTITUTE(SUBSTITUTE(IFERROR(INDEX('DADOS_FORMAS'!$AS$2:$AS$21,MATCH(SUBSTITUTE(SUBSTITUTE(SUBSTITUTE($ED16,"~","~~"),"*","~*"),"?","~?"),'DADOS_FORMAS'!$AH$2:$AH$21,0)),""),"~","~~"),"*","~*"),"?","~?"),'DADOS_RESTRICOES'!$M$2:$Q$54,4,FALSE)=1),0))+IF($EI16="",0,IFERROR(N(VLOOKUP(SUBSTITUTE(SUBSTITUTE(SUBSTITUTE($EI16,"~","~~"),"*","~*"),"?","~?"),'DADOS_RESTRICOES'!$M$2:$Q$54,4,FALSE)=1),0))+IF($EJ16="",0,IFERROR(N(VLOOKUP(SUBSTITUTE(SUBSTITUTE(SUBSTITUTE($EJ16,"~","~~"),"*","~*"),"?","~?"),'DADOS_RESTRICOES'!$M$2:$Q$54,4,FALSE)=1),0))&gt;1,"Duas Restrições de frequência, contando a embutida",""),IF(AND(IFERROR(VLOOKUP(SUBSTITUTE(SUBSTITUTE(SUBSTITUTE(IFERROR(INDEX('DADOS_FORMAS'!$AS$2:$AS$21,MATCH(SUBSTITUTE(SUBSTITUTE(SUBSTITUTE($ED16,"~","~~"),"*","~*"),"?","~?"),'DADOS_FORMAS'!$AH$2:$AH$21,0)),""),"~","~~"),"*","~*"),"?","~?"),'DADOS_RESTRICOES'!$M$2:$Q$54,2,FALSE),"")="Tudo ou Nada",$FA16=0),"Tudo ou Nada exige TR",""),IF(AND(IFERROR(VLOOKUP(SUBSTITUTE(SUBSTITUTE(SUBSTITUTE(IFERROR(INDEX('DADOS_FORMAS'!$AS$2:$AS$21,MATCH(SUBSTITUTE(SUBSTITUTE(SUBSTITUTE($ED16,"~","~~"),"*","~*"),"?","~?"),'DADOS_FORMAS'!$AH$2:$AH$21,0)),""),"~","~~"),"*","~*"),"?","~?"),'DADOS_RESTRICOES'!$M$2:$Q$54,2,FALSE),"")="Corpo a Corpo",OR($LB16="Cone",$LB16="Linha")),"Corpo a Corpo não entra em Cone/Linha","")))</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inteira",IF(COUNTIF($LD16:$LF16,"Atrasar")&gt;0,IF(COUNTIF($LD16:$LF16,"Carregar")&gt;0,"Rodada +1 turno","Rodada inteira"),IF(COUNTIF($KW16:$KZ16,"Rápido")&gt;0,"Bônus",IF(COUNTIF($KW16:$KZ16,"Reação")&gt;0,"Reação","Padrão"))&amp;IF(COUNTIF($LD16:$LF16,"Carregar")&gt;0," +1 turno",""))))</f>
        <v/>
      </c>
      <c r="GT16" s="161">
        <f>IF(OR($EK16=0,$EL16=0),"",IF(COUNTIF($KW16:$KZ16,"Inescapável")&gt;0,"Automático",IF(COUNTIF($KW16:$KZ16,"Certeiro")&gt;0,"TR para metade",IF(AND($EX16&gt;0,$FA16=0,INDEX('DADOS_FORMAS'!$FQ$2:$FQ$21,$EL16)="Acerto"),"Acerto + TR",INDEX('DADOS_FORMAS'!$FQ$2:$FQ$21,$EL16)))))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IF($EL16=0,0,CHOOSE(1+INDEX('DADOS_FORMAS'!$FS$2:$FS$21,$EL16),0,$GV16,$GW16,$GV16+$GW16))</f>
        <v/>
      </c>
      <c r="GY16" s="161">
        <f>IF($EL16=0,0,CHOOSE(1+INDEX('DADOS_FORMAS'!$FT$2:$FT$21,$EL16),0,$GV16,$GW16,$GV16+$GW16))</f>
        <v/>
      </c>
      <c r="GZ16" s="161">
        <f>IF(OR($EK16=0,$EL16=0),"",INDEX('DADOS_FORMAS'!$GZ$2:$HE$61,($EL16-1)*3+IF($EB16&gt;=6,3,2),1+MIN(5,$GX16))&amp;INDEX('DADOS_FORMAS'!$HF$2:$HK$61,($EL16-1)*3+IF($EB16&gt;=6,3,2),1+MIN(5,$GY16))&amp;IF(INDEX('DADOS_FORMAS'!$FU$2:$FU$21,$EL16)=1,IF(COUNTIF($KW16:$KZ16,"Mais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c r="LB16">
        <f>IFERROR(INDEX('DADOS_FORMAS'!$BJ$2:$BJ$21,MATCH(SUBSTITUTE(SUBSTITUTE(SUBSTITUTE($ED16,"~","~~"),"*","~*"),"?","~?"),'DADOS_FORMAS'!$AH$2:$AH$21,0)),"")</f>
        <v/>
      </c>
      <c r="LC16">
        <f>IFERROR(VLOOKUP(SUBSTITUTE(SUBSTITUTE(SUBSTITUTE(IFERROR(INDEX('DADOS_FORMAS'!$AS$2:$AS$21,MATCH(SUBSTITUTE(SUBSTITUTE(SUBSTITUTE($ED16,"~","~~"),"*","~*"),"?","~?"),'DADOS_FORMAS'!$AH$2:$AH$21,0)),""),"~","~~"),"*","~*"),"?","~?"),'DADOS_RESTRICOES'!$M$2:$Q$54,2,FALSE),"")</f>
        <v/>
      </c>
      <c r="LD16">
        <f>$FD16</f>
        <v/>
      </c>
      <c r="LE16">
        <f>$FE16</f>
        <v/>
      </c>
      <c r="LF16">
        <f>$LC16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IFERROR(MATCH(SUBSTITUTE(SUBSTITUTE(SUBSTITUTE($ED17,"~","~~"),"*","~*"),"?","~?"),'DADOS_FORMAS'!$FJ$2:$FJ$21,0),0)</f>
        <v/>
      </c>
      <c r="EM17" s="161">
        <f>IF($EL17=0,0,INDEX('DADOS_FORMAS'!$FM$2:$FM$21,$EL17))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IF($EL17=0,0,INDEX('DADOS_FORMAS'!$FN$2:$FN$21,$EL17))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IF($EL17=0,0,INDEX('DADOS_FORMAS'!$FO$2:$FO$21,$EL17))</f>
        <v/>
      </c>
      <c r="EZ17" s="161">
        <f>IF($EL17=0,0,INDEX('DADOS_FORMAS'!$FP$2:$FP$21,$EL17))</f>
        <v/>
      </c>
      <c r="FA17" s="161">
        <f>IF($EL17=0,0,INDEX('DADOS_FORMAS'!$FR$2:$FR$21,$EL17))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IF(IFERROR(INDEX('DADOS_FORMAS'!$AS$2:$AS$21,MATCH(SUBSTITUTE(SUBSTITUTE(SUBSTITUTE($ED17,"~","~~"),"*","~*"),"?","~?"),'DADOS_FORMAS'!$AH$2:$AH$21,0)),"")="",0,IFERROR(N(VLOOKUP(SUBSTITUTE(SUBSTITUTE(SUBSTITUTE(IFERROR(INDEX('DADOS_FORMAS'!$AS$2:$AS$21,MATCH(SUBSTITUTE(SUBSTITUTE(SUBSTITUTE($ED17,"~","~~"),"*","~*"),"?","~?"),'DADOS_FORMAS'!$AH$2:$AH$21,0)),""),"~","~~"),"*","~*"),"?","~?"),'DADOS_RESTRICOES'!$M$2:$Q$54,3,FALSE)=1),0))</f>
        <v/>
      </c>
      <c r="FM17" s="161">
        <f>COUNTIF($FB17:$FC17,2)+IF(IFERROR(INDEX('DADOS_FORMAS'!$AS$2:$AS$21,MATCH(SUBSTITUTE(SUBSTITUTE(SUBSTITUTE($ED17,"~","~~"),"*","~*"),"?","~?"),'DADOS_FORMAS'!$AH$2:$AH$21,0)),"")="",0,IFERROR(N(VLOOKUP(SUBSTITUTE(SUBSTITUTE(SUBSTITUTE(IFERROR(INDEX('DADOS_FORMAS'!$AS$2:$AS$21,MATCH(SUBSTITUTE(SUBSTITUTE(SUBSTITUTE($ED17,"~","~~"),"*","~*"),"?","~?"),'DADOS_FORMAS'!$AH$2:$AH$21,0)),""),"~","~~"),"*","~*"),"?","~?"),'DADOS_RESTRICOES'!$M$2:$Q$54,3,FALSE)=2),0))</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Corpo")&gt;0,$EY17=0,OR($LB17="Cone",$LB17="Linha")),"Corpo a Corpo não entra em "&amp;$ED17,""),IF(AND(COUNTIF($FD17:$FE17,"Corpo a Corpo")&gt;0,$LC17="Corpo a Corpo"),"A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"&amp;$EJ17,""))),IF(AND($ED17&lt;&gt;"",COUNTIF('DADOS_FORMAS'!$AH$2:$AH$21,SUBSTITUTE(SUBSTITUTE(SUBSTITUTE($ED17,"~","~~"),"*","~*"),"?","~?"))=0),"Forma não cadastrada ou com erro: "&amp;$ED17,""),IF(AND(IFERROR(INDEX('DADOS_FORMAS'!$AS$2:$AS$21,MATCH(SUBSTITUTE(SUBSTITUTE(SUBSTITUTE($ED17,"~","~~"),"*","~*"),"?","~?"),'DADOS_FORMAS'!$AH$2:$AH$21,0)),"")&lt;&gt;"",OR(IFERROR(VLOOKUP(SUBSTITUTE(SUBSTITUTE(SUBSTITUTE(IFERROR(INDEX('DADOS_FORMAS'!$AS$2:$AS$21,MATCH(SUBSTITUTE(SUBSTITUTE(SUBSTITUTE($ED17,"~","~~"),"*","~*"),"?","~?"),'DADOS_FORMAS'!$AH$2:$AH$21,0)),""),"~","~~"),"*","~*"),"?","~?"),'DADOS_RESTRICOES'!$M$2:$Q$54,2,FALSE),"")=$FD17,IFERROR(VLOOKUP(SUBSTITUTE(SUBSTITUTE(SUBSTITUTE(IFERROR(INDEX('DADOS_FORMAS'!$AS$2:$AS$21,MATCH(SUBSTITUTE(SUBSTITUTE(SUBSTITUTE($ED17,"~","~~"),"*","~*"),"?","~?"),'DADOS_FORMAS'!$AH$2:$AH$21,0)),""),"~","~~"),"*","~*"),"?","~?"),'DADOS_RESTRICOES'!$M$2:$Q$54,2,FALSE),"")=$FE17)),"Restrição repetida, contando a embutida",""),IF(IF(IFERROR(INDEX('DADOS_FORMAS'!$AS$2:$AS$21,MATCH(SUBSTITUTE(SUBSTITUTE(SUBSTITUTE($ED17,"~","~~"),"*","~*"),"?","~?"),'DADOS_FORMAS'!$AH$2:$AH$21,0)),"")="",0,IFERROR(N(VLOOKUP(SUBSTITUTE(SUBSTITUTE(SUBSTITUTE(IFERROR(INDEX('DADOS_FORMAS'!$AS$2:$AS$21,MATCH(SUBSTITUTE(SUBSTITUTE(SUBSTITUTE($ED17,"~","~~"),"*","~*"),"?","~?"),'DADOS_FORMAS'!$AH$2:$AH$21,0)),""),"~","~~"),"*","~*"),"?","~?"),'DADOS_RESTRICOES'!$M$2:$Q$54,4,FALSE)=1),0))+IF($EI17="",0,IFERROR(N(VLOOKUP(SUBSTITUTE(SUBSTITUTE(SUBSTITUTE($EI17,"~","~~"),"*","~*"),"?","~?"),'DADOS_RESTRICOES'!$M$2:$Q$54,4,FALSE)=1),0))+IF($EJ17="",0,IFERROR(N(VLOOKUP(SUBSTITUTE(SUBSTITUTE(SUBSTITUTE($EJ17,"~","~~"),"*","~*"),"?","~?"),'DADOS_RESTRICOES'!$M$2:$Q$54,4,FALSE)=1),0))&gt;1,"Duas Restrições de frequência, contando a embutida",""),IF(AND(IFERROR(VLOOKUP(SUBSTITUTE(SUBSTITUTE(SUBSTITUTE(IFERROR(INDEX('DADOS_FORMAS'!$AS$2:$AS$21,MATCH(SUBSTITUTE(SUBSTITUTE(SUBSTITUTE($ED17,"~","~~"),"*","~*"),"?","~?"),'DADOS_FORMAS'!$AH$2:$AH$21,0)),""),"~","~~"),"*","~*"),"?","~?"),'DADOS_RESTRICOES'!$M$2:$Q$54,2,FALSE),"")="Tudo ou Nada",$FA17=0),"Tudo ou Nada exige TR",""),IF(AND(IFERROR(VLOOKUP(SUBSTITUTE(SUBSTITUTE(SUBSTITUTE(IFERROR(INDEX('DADOS_FORMAS'!$AS$2:$AS$21,MATCH(SUBSTITUTE(SUBSTITUTE(SUBSTITUTE($ED17,"~","~~"),"*","~*"),"?","~?"),'DADOS_FORMAS'!$AH$2:$AH$21,0)),""),"~","~~"),"*","~*"),"?","~?"),'DADOS_RESTRICOES'!$M$2:$Q$54,2,FALSE),"")="Corpo a Corpo",OR($LB17="Cone",$LB17="Linha")),"Corpo a Corpo não entra em Cone/Linha","")))</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inteira",IF(COUNTIF($LD17:$LF17,"Atrasar")&gt;0,IF(COUNTIF($LD17:$LF17,"Carregar")&gt;0,"Rodada +1 turno","Rodada inteira"),IF(COUNTIF($KW17:$KZ17,"Rápido")&gt;0,"Bônus",IF(COUNTIF($KW17:$KZ17,"Reação")&gt;0,"Reação","Padrão"))&amp;IF(COUNTIF($LD17:$LF17,"Carregar")&gt;0," +1 turno",""))))</f>
        <v/>
      </c>
      <c r="GT17" s="161">
        <f>IF(OR($EK17=0,$EL17=0),"",IF(COUNTIF($KW17:$KZ17,"Inescapável")&gt;0,"Automático",IF(COUNTIF($KW17:$KZ17,"Certeiro")&gt;0,"TR para metade",IF(AND($EX17&gt;0,$FA17=0,INDEX('DADOS_FORMAS'!$FQ$2:$FQ$21,$EL17)="Acerto"),"Acerto + TR",INDEX('DADOS_FORMAS'!$FQ$2:$FQ$21,$EL17)))))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IF($EL17=0,0,CHOOSE(1+INDEX('DADOS_FORMAS'!$FS$2:$FS$21,$EL17),0,$GV17,$GW17,$GV17+$GW17))</f>
        <v/>
      </c>
      <c r="GY17" s="161">
        <f>IF($EL17=0,0,CHOOSE(1+INDEX('DADOS_FORMAS'!$FT$2:$FT$21,$EL17),0,$GV17,$GW17,$GV17+$GW17))</f>
        <v/>
      </c>
      <c r="GZ17" s="161">
        <f>IF(OR($EK17=0,$EL17=0),"",INDEX('DADOS_FORMAS'!$GZ$2:$HE$61,($EL17-1)*3+IF($EB17&gt;=6,3,2),1+MIN(5,$GX17))&amp;INDEX('DADOS_FORMAS'!$HF$2:$HK$61,($EL17-1)*3+IF($EB17&gt;=6,3,2),1+MIN(5,$GY17))&amp;IF(INDEX('DADOS_FORMAS'!$FU$2:$FU$21,$EL17)=1,IF(COUNTIF($KW17:$KZ17,"Mais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IFERROR(VLOOKUP(SUBSTITUTE(SUBSTITUTE(SUBSTITUTE('FICHA AMALDIÇOADA'!$D$379,"~","~~"),"*","~*"),"?","~?"),'DADOS_TALENTOS'!$AQ$2:$AW$34,2,FALSE),0)+IFERROR(VLOOKUP(SUBSTITUTE(SUBSTITUTE(SUBSTITUTE('FICHA AMALDIÇOADA'!$J$379,"~","~~"),"*","~*"),"?","~?"),'DADOS_TALENTOS'!$AQ$2:$AW$34,2,FALSE),0)+IFERROR(VLOOKUP(SUBSTITUTE(SUBSTITUTE(SUBSTITUTE('FICHA AMALDIÇOADA'!$P$379,"~","~~"),"*","~*"),"?","~?"),'DADOS_TALENTOS'!$AQ$2:$AW$34,2,FALSE),0)+IFERROR(VLOOKUP(SUBSTITUTE(SUBSTITUTE(SUBSTITUTE('FICHA AMALDIÇOADA'!$D$387,"~","~~"),"*","~*"),"?","~?"),'DADOS_TALENTOS'!$AQ$2:$AW$34,2,FALSE),0)+IFERROR(VLOOKUP(SUBSTITUTE(SUBSTITUTE(SUBSTITUTE('FICHA AMALDIÇOADA'!$J$387,"~","~~"),"*","~*"),"?","~?"),'DADOS_TALENTOS'!$AQ$2:$AW$34,2,FALSE),0)+$HM$16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c r="LB17">
        <f>IFERROR(INDEX('DADOS_FORMAS'!$BJ$2:$BJ$21,MATCH(SUBSTITUTE(SUBSTITUTE(SUBSTITUTE($ED17,"~","~~"),"*","~*"),"?","~?"),'DADOS_FORMAS'!$AH$2:$AH$21,0)),"")</f>
        <v/>
      </c>
      <c r="LC17">
        <f>IFERROR(VLOOKUP(SUBSTITUTE(SUBSTITUTE(SUBSTITUTE(IFERROR(INDEX('DADOS_FORMAS'!$AS$2:$AS$21,MATCH(SUBSTITUTE(SUBSTITUTE(SUBSTITUTE($ED17,"~","~~"),"*","~*"),"?","~?"),'DADOS_FORMAS'!$AH$2:$AH$21,0)),""),"~","~~"),"*","~*"),"?","~?"),'DADOS_RESTRICOES'!$M$2:$Q$54,2,FALSE),"")</f>
        <v/>
      </c>
      <c r="LD17">
        <f>$FD17</f>
        <v/>
      </c>
      <c r="LE17">
        <f>$FE17</f>
        <v/>
      </c>
      <c r="LF17">
        <f>$LC17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IFERROR(MATCH(SUBSTITUTE(SUBSTITUTE(SUBSTITUTE($ED18,"~","~~"),"*","~*"),"?","~?"),'DADOS_FORMAS'!$FJ$2:$FJ$21,0),0)</f>
        <v/>
      </c>
      <c r="EM18" s="161">
        <f>IF($EL18=0,0,INDEX('DADOS_FORMAS'!$FM$2:$FM$21,$EL18))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IF($EL18=0,0,INDEX('DADOS_FORMAS'!$FN$2:$FN$21,$EL18))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IF($EL18=0,0,INDEX('DADOS_FORMAS'!$FO$2:$FO$21,$EL18))</f>
        <v/>
      </c>
      <c r="EZ18" s="161">
        <f>IF($EL18=0,0,INDEX('DADOS_FORMAS'!$FP$2:$FP$21,$EL18))</f>
        <v/>
      </c>
      <c r="FA18" s="161">
        <f>IF($EL18=0,0,INDEX('DADOS_FORMAS'!$FR$2:$FR$21,$EL18))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IF(IFERROR(INDEX('DADOS_FORMAS'!$AS$2:$AS$21,MATCH(SUBSTITUTE(SUBSTITUTE(SUBSTITUTE($ED18,"~","~~"),"*","~*"),"?","~?"),'DADOS_FORMAS'!$AH$2:$AH$21,0)),"")="",0,IFERROR(N(VLOOKUP(SUBSTITUTE(SUBSTITUTE(SUBSTITUTE(IFERROR(INDEX('DADOS_FORMAS'!$AS$2:$AS$21,MATCH(SUBSTITUTE(SUBSTITUTE(SUBSTITUTE($ED18,"~","~~"),"*","~*"),"?","~?"),'DADOS_FORMAS'!$AH$2:$AH$21,0)),""),"~","~~"),"*","~*"),"?","~?"),'DADOS_RESTRICOES'!$M$2:$Q$54,3,FALSE)=1),0))</f>
        <v/>
      </c>
      <c r="FM18" s="161">
        <f>COUNTIF($FB18:$FC18,2)+IF(IFERROR(INDEX('DADOS_FORMAS'!$AS$2:$AS$21,MATCH(SUBSTITUTE(SUBSTITUTE(SUBSTITUTE($ED18,"~","~~"),"*","~*"),"?","~?"),'DADOS_FORMAS'!$AH$2:$AH$21,0)),"")="",0,IFERROR(N(VLOOKUP(SUBSTITUTE(SUBSTITUTE(SUBSTITUTE(IFERROR(INDEX('DADOS_FORMAS'!$AS$2:$AS$21,MATCH(SUBSTITUTE(SUBSTITUTE(SUBSTITUTE($ED18,"~","~~"),"*","~*"),"?","~?"),'DADOS_FORMAS'!$AH$2:$AH$21,0)),""),"~","~~"),"*","~*"),"?","~?"),'DADOS_RESTRICOES'!$M$2:$Q$54,3,FALSE)=2),0))</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Corpo")&gt;0,$EY18=0,OR($LB18="Cone",$LB18="Linha")),"Corpo a Corpo não entra em "&amp;$ED18,""),IF(AND(COUNTIF($FD18:$FE18,"Corpo a Corpo")&gt;0,$LC18="Corpo a Corpo"),"A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"&amp;$EJ18,""))),IF(AND($ED18&lt;&gt;"",COUNTIF('DADOS_FORMAS'!$AH$2:$AH$21,SUBSTITUTE(SUBSTITUTE(SUBSTITUTE($ED18,"~","~~"),"*","~*"),"?","~?"))=0),"Forma não cadastrada ou com erro: "&amp;$ED18,""),IF(AND(IFERROR(INDEX('DADOS_FORMAS'!$AS$2:$AS$21,MATCH(SUBSTITUTE(SUBSTITUTE(SUBSTITUTE($ED18,"~","~~"),"*","~*"),"?","~?"),'DADOS_FORMAS'!$AH$2:$AH$21,0)),"")&lt;&gt;"",OR(IFERROR(VLOOKUP(SUBSTITUTE(SUBSTITUTE(SUBSTITUTE(IFERROR(INDEX('DADOS_FORMAS'!$AS$2:$AS$21,MATCH(SUBSTITUTE(SUBSTITUTE(SUBSTITUTE($ED18,"~","~~"),"*","~*"),"?","~?"),'DADOS_FORMAS'!$AH$2:$AH$21,0)),""),"~","~~"),"*","~*"),"?","~?"),'DADOS_RESTRICOES'!$M$2:$Q$54,2,FALSE),"")=$FD18,IFERROR(VLOOKUP(SUBSTITUTE(SUBSTITUTE(SUBSTITUTE(IFERROR(INDEX('DADOS_FORMAS'!$AS$2:$AS$21,MATCH(SUBSTITUTE(SUBSTITUTE(SUBSTITUTE($ED18,"~","~~"),"*","~*"),"?","~?"),'DADOS_FORMAS'!$AH$2:$AH$21,0)),""),"~","~~"),"*","~*"),"?","~?"),'DADOS_RESTRICOES'!$M$2:$Q$54,2,FALSE),"")=$FE18)),"Restrição repetida, contando a embutida",""),IF(IF(IFERROR(INDEX('DADOS_FORMAS'!$AS$2:$AS$21,MATCH(SUBSTITUTE(SUBSTITUTE(SUBSTITUTE($ED18,"~","~~"),"*","~*"),"?","~?"),'DADOS_FORMAS'!$AH$2:$AH$21,0)),"")="",0,IFERROR(N(VLOOKUP(SUBSTITUTE(SUBSTITUTE(SUBSTITUTE(IFERROR(INDEX('DADOS_FORMAS'!$AS$2:$AS$21,MATCH(SUBSTITUTE(SUBSTITUTE(SUBSTITUTE($ED18,"~","~~"),"*","~*"),"?","~?"),'DADOS_FORMAS'!$AH$2:$AH$21,0)),""),"~","~~"),"*","~*"),"?","~?"),'DADOS_RESTRICOES'!$M$2:$Q$54,4,FALSE)=1),0))+IF($EI18="",0,IFERROR(N(VLOOKUP(SUBSTITUTE(SUBSTITUTE(SUBSTITUTE($EI18,"~","~~"),"*","~*"),"?","~?"),'DADOS_RESTRICOES'!$M$2:$Q$54,4,FALSE)=1),0))+IF($EJ18="",0,IFERROR(N(VLOOKUP(SUBSTITUTE(SUBSTITUTE(SUBSTITUTE($EJ18,"~","~~"),"*","~*"),"?","~?"),'DADOS_RESTRICOES'!$M$2:$Q$54,4,FALSE)=1),0))&gt;1,"Duas Restrições de frequência, contando a embutida",""),IF(AND(IFERROR(VLOOKUP(SUBSTITUTE(SUBSTITUTE(SUBSTITUTE(IFERROR(INDEX('DADOS_FORMAS'!$AS$2:$AS$21,MATCH(SUBSTITUTE(SUBSTITUTE(SUBSTITUTE($ED18,"~","~~"),"*","~*"),"?","~?"),'DADOS_FORMAS'!$AH$2:$AH$21,0)),""),"~","~~"),"*","~*"),"?","~?"),'DADOS_RESTRICOES'!$M$2:$Q$54,2,FALSE),"")="Tudo ou Nada",$FA18=0),"Tudo ou Nada exige TR",""),IF(AND(IFERROR(VLOOKUP(SUBSTITUTE(SUBSTITUTE(SUBSTITUTE(IFERROR(INDEX('DADOS_FORMAS'!$AS$2:$AS$21,MATCH(SUBSTITUTE(SUBSTITUTE(SUBSTITUTE($ED18,"~","~~"),"*","~*"),"?","~?"),'DADOS_FORMAS'!$AH$2:$AH$21,0)),""),"~","~~"),"*","~*"),"?","~?"),'DADOS_RESTRICOES'!$M$2:$Q$54,2,FALSE),"")="Corpo a Corpo",OR($LB18="Cone",$LB18="Linha")),"Corpo a Corpo não entra em Cone/Linha","")))</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inteira",IF(COUNTIF($LD18:$LF18,"Atrasar")&gt;0,IF(COUNTIF($LD18:$LF18,"Carregar")&gt;0,"Rodada +1 turno","Rodada inteira"),IF(COUNTIF($KW18:$KZ18,"Rápido")&gt;0,"Bônus",IF(COUNTIF($KW18:$KZ18,"Reação")&gt;0,"Reação","Padrão"))&amp;IF(COUNTIF($LD18:$LF18,"Carregar")&gt;0," +1 turno",""))))</f>
        <v/>
      </c>
      <c r="GT18" s="161">
        <f>IF(OR($EK18=0,$EL18=0),"",IF(COUNTIF($KW18:$KZ18,"Inescapável")&gt;0,"Automático",IF(COUNTIF($KW18:$KZ18,"Certeiro")&gt;0,"TR para metade",IF(AND($EX18&gt;0,$FA18=0,INDEX('DADOS_FORMAS'!$FQ$2:$FQ$21,$EL18)="Acerto"),"Acerto + TR",INDEX('DADOS_FORMAS'!$FQ$2:$FQ$21,$EL18)))))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IF($EL18=0,0,CHOOSE(1+INDEX('DADOS_FORMAS'!$FS$2:$FS$21,$EL18),0,$GV18,$GW18,$GV18+$GW18))</f>
        <v/>
      </c>
      <c r="GY18" s="161">
        <f>IF($EL18=0,0,CHOOSE(1+INDEX('DADOS_FORMAS'!$FT$2:$FT$21,$EL18),0,$GV18,$GW18,$GV18+$GW18))</f>
        <v/>
      </c>
      <c r="GZ18" s="161">
        <f>IF(OR($EK18=0,$EL18=0),"",INDEX('DADOS_FORMAS'!$GZ$2:$HE$61,($EL18-1)*3+IF($EB18&gt;=6,3,2),1+MIN(5,$GX18))&amp;INDEX('DADOS_FORMAS'!$HF$2:$HK$61,($EL18-1)*3+IF($EB18&gt;=6,3,2),1+MIN(5,$GY18))&amp;IF(INDEX('DADOS_FORMAS'!$FU$2:$FU$21,$EL18)=1,IF(COUNTIF($KW18:$KZ18,"Mais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IF(OR(DADOS_AM!$HM$31&lt;&gt;'CONFIGURAÇÃO'!$G$157,DADOS_AM!$HM$32&lt;&gt;'CONFIGURAÇÃO'!$G$158,'CONFIGURAÇÃO'!$G$159&lt;0),"⚠ ","")&amp;DADOS_AM!$HM$31&amp;" de "&amp;'CONFIGURAÇÃO'!$G$157&amp;" · "&amp;DADOS_AM!$HM$32&amp;" de "&amp;'CONFIGURAÇÃO'!$G$158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c r="LB18">
        <f>IFERROR(INDEX('DADOS_FORMAS'!$BJ$2:$BJ$21,MATCH(SUBSTITUTE(SUBSTITUTE(SUBSTITUTE($ED18,"~","~~"),"*","~*"),"?","~?"),'DADOS_FORMAS'!$AH$2:$AH$21,0)),"")</f>
        <v/>
      </c>
      <c r="LC18">
        <f>IFERROR(VLOOKUP(SUBSTITUTE(SUBSTITUTE(SUBSTITUTE(IFERROR(INDEX('DADOS_FORMAS'!$AS$2:$AS$21,MATCH(SUBSTITUTE(SUBSTITUTE(SUBSTITUTE($ED18,"~","~~"),"*","~*"),"?","~?"),'DADOS_FORMAS'!$AH$2:$AH$21,0)),""),"~","~~"),"*","~*"),"?","~?"),'DADOS_RESTRICOES'!$M$2:$Q$54,2,FALSE),"")</f>
        <v/>
      </c>
      <c r="LD18">
        <f>$FD18</f>
        <v/>
      </c>
      <c r="LE18">
        <f>$FE18</f>
        <v/>
      </c>
      <c r="LF18">
        <f>$LC18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IFERROR(MATCH(SUBSTITUTE(SUBSTITUTE(SUBSTITUTE($ED19,"~","~~"),"*","~*"),"?","~?"),'DADOS_FORMAS'!$FJ$2:$FJ$21,0),0)</f>
        <v/>
      </c>
      <c r="EM19" s="161">
        <f>IF($EL19=0,0,INDEX('DADOS_FORMAS'!$FM$2:$FM$21,$EL19))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IF($EL19=0,0,INDEX('DADOS_FORMAS'!$FN$2:$FN$21,$EL19))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IF($EL19=0,0,INDEX('DADOS_FORMAS'!$FO$2:$FO$21,$EL19))</f>
        <v/>
      </c>
      <c r="EZ19" s="161">
        <f>IF($EL19=0,0,INDEX('DADOS_FORMAS'!$FP$2:$FP$21,$EL19))</f>
        <v/>
      </c>
      <c r="FA19" s="161">
        <f>IF($EL19=0,0,INDEX('DADOS_FORMAS'!$FR$2:$FR$21,$EL19))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IF(IFERROR(INDEX('DADOS_FORMAS'!$AS$2:$AS$21,MATCH(SUBSTITUTE(SUBSTITUTE(SUBSTITUTE($ED19,"~","~~"),"*","~*"),"?","~?"),'DADOS_FORMAS'!$AH$2:$AH$21,0)),"")="",0,IFERROR(N(VLOOKUP(SUBSTITUTE(SUBSTITUTE(SUBSTITUTE(IFERROR(INDEX('DADOS_FORMAS'!$AS$2:$AS$21,MATCH(SUBSTITUTE(SUBSTITUTE(SUBSTITUTE($ED19,"~","~~"),"*","~*"),"?","~?"),'DADOS_FORMAS'!$AH$2:$AH$21,0)),""),"~","~~"),"*","~*"),"?","~?"),'DADOS_RESTRICOES'!$M$2:$Q$54,3,FALSE)=1),0))</f>
        <v/>
      </c>
      <c r="FM19" s="161">
        <f>COUNTIF($FB19:$FC19,2)+IF(IFERROR(INDEX('DADOS_FORMAS'!$AS$2:$AS$21,MATCH(SUBSTITUTE(SUBSTITUTE(SUBSTITUTE($ED19,"~","~~"),"*","~*"),"?","~?"),'DADOS_FORMAS'!$AH$2:$AH$21,0)),"")="",0,IFERROR(N(VLOOKUP(SUBSTITUTE(SUBSTITUTE(SUBSTITUTE(IFERROR(INDEX('DADOS_FORMAS'!$AS$2:$AS$21,MATCH(SUBSTITUTE(SUBSTITUTE(SUBSTITUTE($ED19,"~","~~"),"*","~*"),"?","~?"),'DADOS_FORMAS'!$AH$2:$AH$21,0)),""),"~","~~"),"*","~*"),"?","~?"),'DADOS_RESTRICOES'!$M$2:$Q$54,3,FALSE)=2),0))</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Corpo")&gt;0,$EY19=0,OR($LB19="Cone",$LB19="Linha")),"Corpo a Corpo não entra em "&amp;$ED19,""),IF(AND(COUNTIF($FD19:$FE19,"Corpo a Corpo")&gt;0,$LC19="Corpo a Corpo"),"A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"&amp;$EJ19,""))),IF(AND($ED19&lt;&gt;"",COUNTIF('DADOS_FORMAS'!$AH$2:$AH$21,SUBSTITUTE(SUBSTITUTE(SUBSTITUTE($ED19,"~","~~"),"*","~*"),"?","~?"))=0),"Forma não cadastrada ou com erro: "&amp;$ED19,""),IF(AND(IFERROR(INDEX('DADOS_FORMAS'!$AS$2:$AS$21,MATCH(SUBSTITUTE(SUBSTITUTE(SUBSTITUTE($ED19,"~","~~"),"*","~*"),"?","~?"),'DADOS_FORMAS'!$AH$2:$AH$21,0)),"")&lt;&gt;"",OR(IFERROR(VLOOKUP(SUBSTITUTE(SUBSTITUTE(SUBSTITUTE(IFERROR(INDEX('DADOS_FORMAS'!$AS$2:$AS$21,MATCH(SUBSTITUTE(SUBSTITUTE(SUBSTITUTE($ED19,"~","~~"),"*","~*"),"?","~?"),'DADOS_FORMAS'!$AH$2:$AH$21,0)),""),"~","~~"),"*","~*"),"?","~?"),'DADOS_RESTRICOES'!$M$2:$Q$54,2,FALSE),"")=$FD19,IFERROR(VLOOKUP(SUBSTITUTE(SUBSTITUTE(SUBSTITUTE(IFERROR(INDEX('DADOS_FORMAS'!$AS$2:$AS$21,MATCH(SUBSTITUTE(SUBSTITUTE(SUBSTITUTE($ED19,"~","~~"),"*","~*"),"?","~?"),'DADOS_FORMAS'!$AH$2:$AH$21,0)),""),"~","~~"),"*","~*"),"?","~?"),'DADOS_RESTRICOES'!$M$2:$Q$54,2,FALSE),"")=$FE19)),"Restrição repetida, contando a embutida",""),IF(IF(IFERROR(INDEX('DADOS_FORMAS'!$AS$2:$AS$21,MATCH(SUBSTITUTE(SUBSTITUTE(SUBSTITUTE($ED19,"~","~~"),"*","~*"),"?","~?"),'DADOS_FORMAS'!$AH$2:$AH$21,0)),"")="",0,IFERROR(N(VLOOKUP(SUBSTITUTE(SUBSTITUTE(SUBSTITUTE(IFERROR(INDEX('DADOS_FORMAS'!$AS$2:$AS$21,MATCH(SUBSTITUTE(SUBSTITUTE(SUBSTITUTE($ED19,"~","~~"),"*","~*"),"?","~?"),'DADOS_FORMAS'!$AH$2:$AH$21,0)),""),"~","~~"),"*","~*"),"?","~?"),'DADOS_RESTRICOES'!$M$2:$Q$54,4,FALSE)=1),0))+IF($EI19="",0,IFERROR(N(VLOOKUP(SUBSTITUTE(SUBSTITUTE(SUBSTITUTE($EI19,"~","~~"),"*","~*"),"?","~?"),'DADOS_RESTRICOES'!$M$2:$Q$54,4,FALSE)=1),0))+IF($EJ19="",0,IFERROR(N(VLOOKUP(SUBSTITUTE(SUBSTITUTE(SUBSTITUTE($EJ19,"~","~~"),"*","~*"),"?","~?"),'DADOS_RESTRICOES'!$M$2:$Q$54,4,FALSE)=1),0))&gt;1,"Duas Restrições de frequência, contando a embutida",""),IF(AND(IFERROR(VLOOKUP(SUBSTITUTE(SUBSTITUTE(SUBSTITUTE(IFERROR(INDEX('DADOS_FORMAS'!$AS$2:$AS$21,MATCH(SUBSTITUTE(SUBSTITUTE(SUBSTITUTE($ED19,"~","~~"),"*","~*"),"?","~?"),'DADOS_FORMAS'!$AH$2:$AH$21,0)),""),"~","~~"),"*","~*"),"?","~?"),'DADOS_RESTRICOES'!$M$2:$Q$54,2,FALSE),"")="Tudo ou Nada",$FA19=0),"Tudo ou Nada exige TR",""),IF(AND(IFERROR(VLOOKUP(SUBSTITUTE(SUBSTITUTE(SUBSTITUTE(IFERROR(INDEX('DADOS_FORMAS'!$AS$2:$AS$21,MATCH(SUBSTITUTE(SUBSTITUTE(SUBSTITUTE($ED19,"~","~~"),"*","~*"),"?","~?"),'DADOS_FORMAS'!$AH$2:$AH$21,0)),""),"~","~~"),"*","~*"),"?","~?"),'DADOS_RESTRICOES'!$M$2:$Q$54,2,FALSE),"")="Corpo a Corpo",OR($LB19="Cone",$LB19="Linha")),"Corpo a Corpo não entra em Cone/Linha","")))</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inteira",IF(COUNTIF($LD19:$LF19,"Atrasar")&gt;0,IF(COUNTIF($LD19:$LF19,"Carregar")&gt;0,"Rodada +1 turno","Rodada inteira"),IF(COUNTIF($KW19:$KZ19,"Rápido")&gt;0,"Bônus",IF(COUNTIF($KW19:$KZ19,"Reação")&gt;0,"Reação","Padrão"))&amp;IF(COUNTIF($LD19:$LF19,"Carregar")&gt;0," +1 turno",""))))</f>
        <v/>
      </c>
      <c r="GT19" s="161">
        <f>IF(OR($EK19=0,$EL19=0),"",IF(COUNTIF($KW19:$KZ19,"Inescapável")&gt;0,"Automático",IF(COUNTIF($KW19:$KZ19,"Certeiro")&gt;0,"TR para metade",IF(AND($EX19&gt;0,$FA19=0,INDEX('DADOS_FORMAS'!$FQ$2:$FQ$21,$EL19)="Acerto"),"Acerto + TR",INDEX('DADOS_FORMAS'!$FQ$2:$FQ$21,$EL19)))))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IF($EL19=0,0,CHOOSE(1+INDEX('DADOS_FORMAS'!$FS$2:$FS$21,$EL19),0,$GV19,$GW19,$GV19+$GW19))</f>
        <v/>
      </c>
      <c r="GY19" s="161">
        <f>IF($EL19=0,0,CHOOSE(1+INDEX('DADOS_FORMAS'!$FT$2:$FT$21,$EL19),0,$GV19,$GW19,$GV19+$GW19))</f>
        <v/>
      </c>
      <c r="GZ19" s="161">
        <f>IF(OR($EK19=0,$EL19=0),"",INDEX('DADOS_FORMAS'!$GZ$2:$HE$61,($EL19-1)*3+IF($EB19&gt;=6,3,2),1+MIN(5,$GX19))&amp;INDEX('DADOS_FORMAS'!$HF$2:$HK$61,($EL19-1)*3+IF($EB19&gt;=6,3,2),1+MIN(5,$GY19))&amp;IF(INDEX('DADOS_FORMAS'!$FU$2:$FU$21,$EL19)=1,IF(COUNTIF($KW19:$KZ19,"Mais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c r="LB19">
        <f>IFERROR(INDEX('DADOS_FORMAS'!$BJ$2:$BJ$21,MATCH(SUBSTITUTE(SUBSTITUTE(SUBSTITUTE($ED19,"~","~~"),"*","~*"),"?","~?"),'DADOS_FORMAS'!$AH$2:$AH$21,0)),"")</f>
        <v/>
      </c>
      <c r="LC19">
        <f>IFERROR(VLOOKUP(SUBSTITUTE(SUBSTITUTE(SUBSTITUTE(IFERROR(INDEX('DADOS_FORMAS'!$AS$2:$AS$21,MATCH(SUBSTITUTE(SUBSTITUTE(SUBSTITUTE($ED19,"~","~~"),"*","~*"),"?","~?"),'DADOS_FORMAS'!$AH$2:$AH$21,0)),""),"~","~~"),"*","~*"),"?","~?"),'DADOS_RESTRICOES'!$M$2:$Q$54,2,FALSE),"")</f>
        <v/>
      </c>
      <c r="LD19">
        <f>$FD19</f>
        <v/>
      </c>
      <c r="LE19">
        <f>$FE19</f>
        <v/>
      </c>
      <c r="LF19">
        <f>$LC19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IFERROR(MATCH(SUBSTITUTE(SUBSTITUTE(SUBSTITUTE($ED20,"~","~~"),"*","~*"),"?","~?"),'DADOS_FORMAS'!$FJ$2:$FJ$21,0),0)</f>
        <v/>
      </c>
      <c r="EM20" s="161">
        <f>IF($EL20=0,0,INDEX('DADOS_FORMAS'!$FM$2:$FM$21,$EL20))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IF($EL20=0,0,INDEX('DADOS_FORMAS'!$FN$2:$FN$21,$EL20))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IF($EL20=0,0,INDEX('DADOS_FORMAS'!$FO$2:$FO$21,$EL20))</f>
        <v/>
      </c>
      <c r="EZ20" s="161">
        <f>IF($EL20=0,0,INDEX('DADOS_FORMAS'!$FP$2:$FP$21,$EL20))</f>
        <v/>
      </c>
      <c r="FA20" s="161">
        <f>IF($EL20=0,0,INDEX('DADOS_FORMAS'!$FR$2:$FR$21,$EL20))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IF(IFERROR(INDEX('DADOS_FORMAS'!$AS$2:$AS$21,MATCH(SUBSTITUTE(SUBSTITUTE(SUBSTITUTE($ED20,"~","~~"),"*","~*"),"?","~?"),'DADOS_FORMAS'!$AH$2:$AH$21,0)),"")="",0,IFERROR(N(VLOOKUP(SUBSTITUTE(SUBSTITUTE(SUBSTITUTE(IFERROR(INDEX('DADOS_FORMAS'!$AS$2:$AS$21,MATCH(SUBSTITUTE(SUBSTITUTE(SUBSTITUTE($ED20,"~","~~"),"*","~*"),"?","~?"),'DADOS_FORMAS'!$AH$2:$AH$21,0)),""),"~","~~"),"*","~*"),"?","~?"),'DADOS_RESTRICOES'!$M$2:$Q$54,3,FALSE)=1),0))</f>
        <v/>
      </c>
      <c r="FM20" s="161">
        <f>COUNTIF($FB20:$FC20,2)+IF(IFERROR(INDEX('DADOS_FORMAS'!$AS$2:$AS$21,MATCH(SUBSTITUTE(SUBSTITUTE(SUBSTITUTE($ED20,"~","~~"),"*","~*"),"?","~?"),'DADOS_FORMAS'!$AH$2:$AH$21,0)),"")="",0,IFERROR(N(VLOOKUP(SUBSTITUTE(SUBSTITUTE(SUBSTITUTE(IFERROR(INDEX('DADOS_FORMAS'!$AS$2:$AS$21,MATCH(SUBSTITUTE(SUBSTITUTE(SUBSTITUTE($ED20,"~","~~"),"*","~*"),"?","~?"),'DADOS_FORMAS'!$AH$2:$AH$21,0)),""),"~","~~"),"*","~*"),"?","~?"),'DADOS_RESTRICOES'!$M$2:$Q$54,3,FALSE)=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Corpo")&gt;0,$EY20=0,OR($LB20="Cone",$LB20="Linha")),"Corpo a Corpo não entra em "&amp;$ED20,""),IF(AND(COUNTIF($FD20:$FE20,"Corpo a Corpo")&gt;0,$LC20="Corpo a Corpo"),"A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"&amp;$EJ20,""))),IF(AND($ED20&lt;&gt;"",COUNTIF('DADOS_FORMAS'!$AH$2:$AH$21,SUBSTITUTE(SUBSTITUTE(SUBSTITUTE($ED20,"~","~~"),"*","~*"),"?","~?"))=0),"Forma não cadastrada ou com erro: "&amp;$ED20,""),IF(AND(IFERROR(INDEX('DADOS_FORMAS'!$AS$2:$AS$21,MATCH(SUBSTITUTE(SUBSTITUTE(SUBSTITUTE($ED20,"~","~~"),"*","~*"),"?","~?"),'DADOS_FORMAS'!$AH$2:$AH$21,0)),"")&lt;&gt;"",OR(IFERROR(VLOOKUP(SUBSTITUTE(SUBSTITUTE(SUBSTITUTE(IFERROR(INDEX('DADOS_FORMAS'!$AS$2:$AS$21,MATCH(SUBSTITUTE(SUBSTITUTE(SUBSTITUTE($ED20,"~","~~"),"*","~*"),"?","~?"),'DADOS_FORMAS'!$AH$2:$AH$21,0)),""),"~","~~"),"*","~*"),"?","~?"),'DADOS_RESTRICOES'!$M$2:$Q$54,2,FALSE),"")=$FD20,IFERROR(VLOOKUP(SUBSTITUTE(SUBSTITUTE(SUBSTITUTE(IFERROR(INDEX('DADOS_FORMAS'!$AS$2:$AS$21,MATCH(SUBSTITUTE(SUBSTITUTE(SUBSTITUTE($ED20,"~","~~"),"*","~*"),"?","~?"),'DADOS_FORMAS'!$AH$2:$AH$21,0)),""),"~","~~"),"*","~*"),"?","~?"),'DADOS_RESTRICOES'!$M$2:$Q$54,2,FALSE),"")=$FE20)),"Restrição repetida, contando a embutida",""),IF(IF(IFERROR(INDEX('DADOS_FORMAS'!$AS$2:$AS$21,MATCH(SUBSTITUTE(SUBSTITUTE(SUBSTITUTE($ED20,"~","~~"),"*","~*"),"?","~?"),'DADOS_FORMAS'!$AH$2:$AH$21,0)),"")="",0,IFERROR(N(VLOOKUP(SUBSTITUTE(SUBSTITUTE(SUBSTITUTE(IFERROR(INDEX('DADOS_FORMAS'!$AS$2:$AS$21,MATCH(SUBSTITUTE(SUBSTITUTE(SUBSTITUTE($ED20,"~","~~"),"*","~*"),"?","~?"),'DADOS_FORMAS'!$AH$2:$AH$21,0)),""),"~","~~"),"*","~*"),"?","~?"),'DADOS_RESTRICOES'!$M$2:$Q$54,4,FALSE)=1),0))+IF($EI20="",0,IFERROR(N(VLOOKUP(SUBSTITUTE(SUBSTITUTE(SUBSTITUTE($EI20,"~","~~"),"*","~*"),"?","~?"),'DADOS_RESTRICOES'!$M$2:$Q$54,4,FALSE)=1),0))+IF($EJ20="",0,IFERROR(N(VLOOKUP(SUBSTITUTE(SUBSTITUTE(SUBSTITUTE($EJ20,"~","~~"),"*","~*"),"?","~?"),'DADOS_RESTRICOES'!$M$2:$Q$54,4,FALSE)=1),0))&gt;1,"Duas Restrições de frequência, contando a embutida",""),IF(AND(IFERROR(VLOOKUP(SUBSTITUTE(SUBSTITUTE(SUBSTITUTE(IFERROR(INDEX('DADOS_FORMAS'!$AS$2:$AS$21,MATCH(SUBSTITUTE(SUBSTITUTE(SUBSTITUTE($ED20,"~","~~"),"*","~*"),"?","~?"),'DADOS_FORMAS'!$AH$2:$AH$21,0)),""),"~","~~"),"*","~*"),"?","~?"),'DADOS_RESTRICOES'!$M$2:$Q$54,2,FALSE),"")="Tudo ou Nada",$FA20=0),"Tudo ou Nada exige TR",""),IF(AND(IFERROR(VLOOKUP(SUBSTITUTE(SUBSTITUTE(SUBSTITUTE(IFERROR(INDEX('DADOS_FORMAS'!$AS$2:$AS$21,MATCH(SUBSTITUTE(SUBSTITUTE(SUBSTITUTE($ED20,"~","~~"),"*","~*"),"?","~?"),'DADOS_FORMAS'!$AH$2:$AH$21,0)),""),"~","~~"),"*","~*"),"?","~?"),'DADOS_RESTRICOES'!$M$2:$Q$54,2,FALSE),"")="Corpo a Corpo",OR($LB20="Cone",$LB20="Linha")),"Corpo a Corpo não entra em Cone/Linha","")))</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inteira",IF(COUNTIF($LD20:$LF20,"Atrasar")&gt;0,IF(COUNTIF($LD20:$LF20,"Carregar")&gt;0,"Rodada +1 turno","Rodada inteira"),IF(COUNTIF($KW20:$KZ20,"Rápido")&gt;0,"Bônus",IF(COUNTIF($KW20:$KZ20,"Reação")&gt;0,"Reação","Padrão"))&amp;IF(COUNTIF($LD20:$LF20,"Carregar")&gt;0," +1 turno",""))))</f>
        <v/>
      </c>
      <c r="GT20" s="161">
        <f>IF(OR($EK20=0,$EL20=0),"",IF(COUNTIF($KW20:$KZ20,"Inescapável")&gt;0,"Automático",IF(COUNTIF($KW20:$KZ20,"Certeiro")&gt;0,"TR para metade",IF(AND($EX20&gt;0,$FA20=0,INDEX('DADOS_FORMAS'!$FQ$2:$FQ$21,$EL20)="Acerto"),"Acerto + TR",INDEX('DADOS_FORMAS'!$FQ$2:$FQ$21,$EL20)))))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IF($EL20=0,0,CHOOSE(1+INDEX('DADOS_FORMAS'!$FS$2:$FS$21,$EL20),0,$GV20,$GW20,$GV20+$GW20))</f>
        <v/>
      </c>
      <c r="GY20" s="161">
        <f>IF($EL20=0,0,CHOOSE(1+INDEX('DADOS_FORMAS'!$FT$2:$FT$21,$EL20),0,$GV20,$GW20,$GV20+$GW20))</f>
        <v/>
      </c>
      <c r="GZ20" s="161">
        <f>IF(OR($EK20=0,$EL20=0),"",INDEX('DADOS_FORMAS'!$GZ$2:$HE$61,($EL20-1)*3+IF($EB20&gt;=6,3,2),1+MIN(5,$GX20))&amp;INDEX('DADOS_FORMAS'!$HF$2:$HK$61,($EL20-1)*3+IF($EB20&gt;=6,3,2),1+MIN(5,$GY20))&amp;IF(INDEX('DADOS_FORMAS'!$FU$2:$FU$21,$EL20)=1,IF(COUNTIF($KW20:$KZ20,"Mais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c r="LB20">
        <f>IFERROR(INDEX('DADOS_FORMAS'!$BJ$2:$BJ$21,MATCH(SUBSTITUTE(SUBSTITUTE(SUBSTITUTE($ED20,"~","~~"),"*","~*"),"?","~?"),'DADOS_FORMAS'!$AH$2:$AH$21,0)),"")</f>
        <v/>
      </c>
      <c r="LC20">
        <f>IFERROR(VLOOKUP(SUBSTITUTE(SUBSTITUTE(SUBSTITUTE(IFERROR(INDEX('DADOS_FORMAS'!$AS$2:$AS$21,MATCH(SUBSTITUTE(SUBSTITUTE(SUBSTITUTE($ED20,"~","~~"),"*","~*"),"?","~?"),'DADOS_FORMAS'!$AH$2:$AH$21,0)),""),"~","~~"),"*","~*"),"?","~?"),'DADOS_RESTRICOES'!$M$2:$Q$54,2,FALSE),"")</f>
        <v/>
      </c>
      <c r="LD20">
        <f>$FD20</f>
        <v/>
      </c>
      <c r="LE20">
        <f>$FE20</f>
        <v/>
      </c>
      <c r="LF20">
        <f>$LC20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IFERROR(MATCH(SUBSTITUTE(SUBSTITUTE(SUBSTITUTE($ED21,"~","~~"),"*","~*"),"?","~?"),'DADOS_FORMAS'!$FJ$2:$FJ$21,0),0)</f>
        <v/>
      </c>
      <c r="EM21" s="161">
        <f>IF($EL21=0,0,INDEX('DADOS_FORMAS'!$FM$2:$FM$21,$EL21))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IF($EL21=0,0,INDEX('DADOS_FORMAS'!$FN$2:$FN$21,$EL21))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IF($EL21=0,0,INDEX('DADOS_FORMAS'!$FO$2:$FO$21,$EL21))</f>
        <v/>
      </c>
      <c r="EZ21" s="161">
        <f>IF($EL21=0,0,INDEX('DADOS_FORMAS'!$FP$2:$FP$21,$EL21))</f>
        <v/>
      </c>
      <c r="FA21" s="161">
        <f>IF($EL21=0,0,INDEX('DADOS_FORMAS'!$FR$2:$FR$21,$EL21))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IF(IFERROR(INDEX('DADOS_FORMAS'!$AS$2:$AS$21,MATCH(SUBSTITUTE(SUBSTITUTE(SUBSTITUTE($ED21,"~","~~"),"*","~*"),"?","~?"),'DADOS_FORMAS'!$AH$2:$AH$21,0)),"")="",0,IFERROR(N(VLOOKUP(SUBSTITUTE(SUBSTITUTE(SUBSTITUTE(IFERROR(INDEX('DADOS_FORMAS'!$AS$2:$AS$21,MATCH(SUBSTITUTE(SUBSTITUTE(SUBSTITUTE($ED21,"~","~~"),"*","~*"),"?","~?"),'DADOS_FORMAS'!$AH$2:$AH$21,0)),""),"~","~~"),"*","~*"),"?","~?"),'DADOS_RESTRICOES'!$M$2:$Q$54,3,FALSE)=1),0))</f>
        <v/>
      </c>
      <c r="FM21" s="161">
        <f>COUNTIF($FB21:$FC21,2)+IF(IFERROR(INDEX('DADOS_FORMAS'!$AS$2:$AS$21,MATCH(SUBSTITUTE(SUBSTITUTE(SUBSTITUTE($ED21,"~","~~"),"*","~*"),"?","~?"),'DADOS_FORMAS'!$AH$2:$AH$21,0)),"")="",0,IFERROR(N(VLOOKUP(SUBSTITUTE(SUBSTITUTE(SUBSTITUTE(IFERROR(INDEX('DADOS_FORMAS'!$AS$2:$AS$21,MATCH(SUBSTITUTE(SUBSTITUTE(SUBSTITUTE($ED21,"~","~~"),"*","~*"),"?","~?"),'DADOS_FORMAS'!$AH$2:$AH$21,0)),""),"~","~~"),"*","~*"),"?","~?"),'DADOS_RESTRICOES'!$M$2:$Q$54,3,FALSE)=2),0))</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Corpo")&gt;0,$EY21=0,OR($LB21="Cone",$LB21="Linha")),"Corpo a Corpo não entra em "&amp;$ED21,""),IF(AND(COUNTIF($FD21:$FE21,"Corpo a Corpo")&gt;0,$LC21="Corpo a Corpo"),"A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"&amp;$EJ21,""))),IF(AND($ED21&lt;&gt;"",COUNTIF('DADOS_FORMAS'!$AH$2:$AH$21,SUBSTITUTE(SUBSTITUTE(SUBSTITUTE($ED21,"~","~~"),"*","~*"),"?","~?"))=0),"Forma não cadastrada ou com erro: "&amp;$ED21,""),IF(AND(IFERROR(INDEX('DADOS_FORMAS'!$AS$2:$AS$21,MATCH(SUBSTITUTE(SUBSTITUTE(SUBSTITUTE($ED21,"~","~~"),"*","~*"),"?","~?"),'DADOS_FORMAS'!$AH$2:$AH$21,0)),"")&lt;&gt;"",OR(IFERROR(VLOOKUP(SUBSTITUTE(SUBSTITUTE(SUBSTITUTE(IFERROR(INDEX('DADOS_FORMAS'!$AS$2:$AS$21,MATCH(SUBSTITUTE(SUBSTITUTE(SUBSTITUTE($ED21,"~","~~"),"*","~*"),"?","~?"),'DADOS_FORMAS'!$AH$2:$AH$21,0)),""),"~","~~"),"*","~*"),"?","~?"),'DADOS_RESTRICOES'!$M$2:$Q$54,2,FALSE),"")=$FD21,IFERROR(VLOOKUP(SUBSTITUTE(SUBSTITUTE(SUBSTITUTE(IFERROR(INDEX('DADOS_FORMAS'!$AS$2:$AS$21,MATCH(SUBSTITUTE(SUBSTITUTE(SUBSTITUTE($ED21,"~","~~"),"*","~*"),"?","~?"),'DADOS_FORMAS'!$AH$2:$AH$21,0)),""),"~","~~"),"*","~*"),"?","~?"),'DADOS_RESTRICOES'!$M$2:$Q$54,2,FALSE),"")=$FE21)),"Restrição repetida, contando a embutida",""),IF(IF(IFERROR(INDEX('DADOS_FORMAS'!$AS$2:$AS$21,MATCH(SUBSTITUTE(SUBSTITUTE(SUBSTITUTE($ED21,"~","~~"),"*","~*"),"?","~?"),'DADOS_FORMAS'!$AH$2:$AH$21,0)),"")="",0,IFERROR(N(VLOOKUP(SUBSTITUTE(SUBSTITUTE(SUBSTITUTE(IFERROR(INDEX('DADOS_FORMAS'!$AS$2:$AS$21,MATCH(SUBSTITUTE(SUBSTITUTE(SUBSTITUTE($ED21,"~","~~"),"*","~*"),"?","~?"),'DADOS_FORMAS'!$AH$2:$AH$21,0)),""),"~","~~"),"*","~*"),"?","~?"),'DADOS_RESTRICOES'!$M$2:$Q$54,4,FALSE)=1),0))+IF($EI21="",0,IFERROR(N(VLOOKUP(SUBSTITUTE(SUBSTITUTE(SUBSTITUTE($EI21,"~","~~"),"*","~*"),"?","~?"),'DADOS_RESTRICOES'!$M$2:$Q$54,4,FALSE)=1),0))+IF($EJ21="",0,IFERROR(N(VLOOKUP(SUBSTITUTE(SUBSTITUTE(SUBSTITUTE($EJ21,"~","~~"),"*","~*"),"?","~?"),'DADOS_RESTRICOES'!$M$2:$Q$54,4,FALSE)=1),0))&gt;1,"Duas Restrições de frequência, contando a embutida",""),IF(AND(IFERROR(VLOOKUP(SUBSTITUTE(SUBSTITUTE(SUBSTITUTE(IFERROR(INDEX('DADOS_FORMAS'!$AS$2:$AS$21,MATCH(SUBSTITUTE(SUBSTITUTE(SUBSTITUTE($ED21,"~","~~"),"*","~*"),"?","~?"),'DADOS_FORMAS'!$AH$2:$AH$21,0)),""),"~","~~"),"*","~*"),"?","~?"),'DADOS_RESTRICOES'!$M$2:$Q$54,2,FALSE),"")="Tudo ou Nada",$FA21=0),"Tudo ou Nada exige TR",""),IF(AND(IFERROR(VLOOKUP(SUBSTITUTE(SUBSTITUTE(SUBSTITUTE(IFERROR(INDEX('DADOS_FORMAS'!$AS$2:$AS$21,MATCH(SUBSTITUTE(SUBSTITUTE(SUBSTITUTE($ED21,"~","~~"),"*","~*"),"?","~?"),'DADOS_FORMAS'!$AH$2:$AH$21,0)),""),"~","~~"),"*","~*"),"?","~?"),'DADOS_RESTRICOES'!$M$2:$Q$54,2,FALSE),"")="Corpo a Corpo",OR($LB21="Cone",$LB21="Linha")),"Corpo a Corpo não entra em Cone/Linha","")))</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inteira",IF(COUNTIF($LD21:$LF21,"Atrasar")&gt;0,IF(COUNTIF($LD21:$LF21,"Carregar")&gt;0,"Rodada +1 turno","Rodada inteira"),IF(COUNTIF($KW21:$KZ21,"Rápido")&gt;0,"Bônus",IF(COUNTIF($KW21:$KZ21,"Reação")&gt;0,"Reação","Padrão"))&amp;IF(COUNTIF($LD21:$LF21,"Carregar")&gt;0," +1 turno",""))))</f>
        <v/>
      </c>
      <c r="GT21" s="161">
        <f>IF(OR($EK21=0,$EL21=0),"",IF(COUNTIF($KW21:$KZ21,"Inescapável")&gt;0,"Automático",IF(COUNTIF($KW21:$KZ21,"Certeiro")&gt;0,"TR para metade",IF(AND($EX21&gt;0,$FA21=0,INDEX('DADOS_FORMAS'!$FQ$2:$FQ$21,$EL21)="Acerto"),"Acerto + TR",INDEX('DADOS_FORMAS'!$FQ$2:$FQ$21,$EL21)))))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IF($EL21=0,0,CHOOSE(1+INDEX('DADOS_FORMAS'!$FS$2:$FS$21,$EL21),0,$GV21,$GW21,$GV21+$GW21))</f>
        <v/>
      </c>
      <c r="GY21" s="161">
        <f>IF($EL21=0,0,CHOOSE(1+INDEX('DADOS_FORMAS'!$FT$2:$FT$21,$EL21),0,$GV21,$GW21,$GV21+$GW21))</f>
        <v/>
      </c>
      <c r="GZ21" s="161">
        <f>IF(OR($EK21=0,$EL21=0),"",INDEX('DADOS_FORMAS'!$GZ$2:$HE$61,($EL21-1)*3+IF($EB21&gt;=6,3,2),1+MIN(5,$GX21))&amp;INDEX('DADOS_FORMAS'!$HF$2:$HK$61,($EL21-1)*3+IF($EB21&gt;=6,3,2),1+MIN(5,$GY21))&amp;IF(INDEX('DADOS_FORMAS'!$FU$2:$FU$21,$EL21)=1,IF(COUNTIF($KW21:$KZ21,"Mais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c r="LB21">
        <f>IFERROR(INDEX('DADOS_FORMAS'!$BJ$2:$BJ$21,MATCH(SUBSTITUTE(SUBSTITUTE(SUBSTITUTE($ED21,"~","~~"),"*","~*"),"?","~?"),'DADOS_FORMAS'!$AH$2:$AH$21,0)),"")</f>
        <v/>
      </c>
      <c r="LC21">
        <f>IFERROR(VLOOKUP(SUBSTITUTE(SUBSTITUTE(SUBSTITUTE(IFERROR(INDEX('DADOS_FORMAS'!$AS$2:$AS$21,MATCH(SUBSTITUTE(SUBSTITUTE(SUBSTITUTE($ED21,"~","~~"),"*","~*"),"?","~?"),'DADOS_FORMAS'!$AH$2:$AH$21,0)),""),"~","~~"),"*","~*"),"?","~?"),'DADOS_RESTRICOES'!$M$2:$Q$54,2,FALSE),"")</f>
        <v/>
      </c>
      <c r="LD21">
        <f>$FD21</f>
        <v/>
      </c>
      <c r="LE21">
        <f>$FE21</f>
        <v/>
      </c>
      <c r="LF21">
        <f>$LC21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IFERROR(MATCH(SUBSTITUTE(SUBSTITUTE(SUBSTITUTE($ED22,"~","~~"),"*","~*"),"?","~?"),'DADOS_FORMAS'!$FJ$2:$FJ$21,0),0)</f>
        <v/>
      </c>
      <c r="EM22" s="161">
        <f>IF($EL22=0,0,INDEX('DADOS_FORMAS'!$FM$2:$FM$21,$EL22))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IF($EL22=0,0,INDEX('DADOS_FORMAS'!$FN$2:$FN$21,$EL22))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IF($EL22=0,0,INDEX('DADOS_FORMAS'!$FO$2:$FO$21,$EL22))</f>
        <v/>
      </c>
      <c r="EZ22" s="161">
        <f>IF($EL22=0,0,INDEX('DADOS_FORMAS'!$FP$2:$FP$21,$EL22))</f>
        <v/>
      </c>
      <c r="FA22" s="161">
        <f>IF($EL22=0,0,INDEX('DADOS_FORMAS'!$FR$2:$FR$21,$EL22))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IF(IFERROR(INDEX('DADOS_FORMAS'!$AS$2:$AS$21,MATCH(SUBSTITUTE(SUBSTITUTE(SUBSTITUTE($ED22,"~","~~"),"*","~*"),"?","~?"),'DADOS_FORMAS'!$AH$2:$AH$21,0)),"")="",0,IFERROR(N(VLOOKUP(SUBSTITUTE(SUBSTITUTE(SUBSTITUTE(IFERROR(INDEX('DADOS_FORMAS'!$AS$2:$AS$21,MATCH(SUBSTITUTE(SUBSTITUTE(SUBSTITUTE($ED22,"~","~~"),"*","~*"),"?","~?"),'DADOS_FORMAS'!$AH$2:$AH$21,0)),""),"~","~~"),"*","~*"),"?","~?"),'DADOS_RESTRICOES'!$M$2:$Q$54,3,FALSE)=1),0))</f>
        <v/>
      </c>
      <c r="FM22" s="161">
        <f>COUNTIF($FB22:$FC22,2)+IF(IFERROR(INDEX('DADOS_FORMAS'!$AS$2:$AS$21,MATCH(SUBSTITUTE(SUBSTITUTE(SUBSTITUTE($ED22,"~","~~"),"*","~*"),"?","~?"),'DADOS_FORMAS'!$AH$2:$AH$21,0)),"")="",0,IFERROR(N(VLOOKUP(SUBSTITUTE(SUBSTITUTE(SUBSTITUTE(IFERROR(INDEX('DADOS_FORMAS'!$AS$2:$AS$21,MATCH(SUBSTITUTE(SUBSTITUTE(SUBSTITUTE($ED22,"~","~~"),"*","~*"),"?","~?"),'DADOS_FORMAS'!$AH$2:$AH$21,0)),""),"~","~~"),"*","~*"),"?","~?"),'DADOS_RESTRICOES'!$M$2:$Q$54,3,FALSE)=2),0))</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Corpo")&gt;0,$EY22=0,OR($LB22="Cone",$LB22="Linha")),"Corpo a Corpo não entra em "&amp;$ED22,""),IF(AND(COUNTIF($FD22:$FE22,"Corpo a Corpo")&gt;0,$LC22="Corpo a Corpo"),"A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"&amp;$EJ22,""))),IF(AND($ED22&lt;&gt;"",COUNTIF('DADOS_FORMAS'!$AH$2:$AH$21,SUBSTITUTE(SUBSTITUTE(SUBSTITUTE($ED22,"~","~~"),"*","~*"),"?","~?"))=0),"Forma não cadastrada ou com erro: "&amp;$ED22,""),IF(AND(IFERROR(INDEX('DADOS_FORMAS'!$AS$2:$AS$21,MATCH(SUBSTITUTE(SUBSTITUTE(SUBSTITUTE($ED22,"~","~~"),"*","~*"),"?","~?"),'DADOS_FORMAS'!$AH$2:$AH$21,0)),"")&lt;&gt;"",OR(IFERROR(VLOOKUP(SUBSTITUTE(SUBSTITUTE(SUBSTITUTE(IFERROR(INDEX('DADOS_FORMAS'!$AS$2:$AS$21,MATCH(SUBSTITUTE(SUBSTITUTE(SUBSTITUTE($ED22,"~","~~"),"*","~*"),"?","~?"),'DADOS_FORMAS'!$AH$2:$AH$21,0)),""),"~","~~"),"*","~*"),"?","~?"),'DADOS_RESTRICOES'!$M$2:$Q$54,2,FALSE),"")=$FD22,IFERROR(VLOOKUP(SUBSTITUTE(SUBSTITUTE(SUBSTITUTE(IFERROR(INDEX('DADOS_FORMAS'!$AS$2:$AS$21,MATCH(SUBSTITUTE(SUBSTITUTE(SUBSTITUTE($ED22,"~","~~"),"*","~*"),"?","~?"),'DADOS_FORMAS'!$AH$2:$AH$21,0)),""),"~","~~"),"*","~*"),"?","~?"),'DADOS_RESTRICOES'!$M$2:$Q$54,2,FALSE),"")=$FE22)),"Restrição repetida, contando a embutida",""),IF(IF(IFERROR(INDEX('DADOS_FORMAS'!$AS$2:$AS$21,MATCH(SUBSTITUTE(SUBSTITUTE(SUBSTITUTE($ED22,"~","~~"),"*","~*"),"?","~?"),'DADOS_FORMAS'!$AH$2:$AH$21,0)),"")="",0,IFERROR(N(VLOOKUP(SUBSTITUTE(SUBSTITUTE(SUBSTITUTE(IFERROR(INDEX('DADOS_FORMAS'!$AS$2:$AS$21,MATCH(SUBSTITUTE(SUBSTITUTE(SUBSTITUTE($ED22,"~","~~"),"*","~*"),"?","~?"),'DADOS_FORMAS'!$AH$2:$AH$21,0)),""),"~","~~"),"*","~*"),"?","~?"),'DADOS_RESTRICOES'!$M$2:$Q$54,4,FALSE)=1),0))+IF($EI22="",0,IFERROR(N(VLOOKUP(SUBSTITUTE(SUBSTITUTE(SUBSTITUTE($EI22,"~","~~"),"*","~*"),"?","~?"),'DADOS_RESTRICOES'!$M$2:$Q$54,4,FALSE)=1),0))+IF($EJ22="",0,IFERROR(N(VLOOKUP(SUBSTITUTE(SUBSTITUTE(SUBSTITUTE($EJ22,"~","~~"),"*","~*"),"?","~?"),'DADOS_RESTRICOES'!$M$2:$Q$54,4,FALSE)=1),0))&gt;1,"Duas Restrições de frequência, contando a embutida",""),IF(AND(IFERROR(VLOOKUP(SUBSTITUTE(SUBSTITUTE(SUBSTITUTE(IFERROR(INDEX('DADOS_FORMAS'!$AS$2:$AS$21,MATCH(SUBSTITUTE(SUBSTITUTE(SUBSTITUTE($ED22,"~","~~"),"*","~*"),"?","~?"),'DADOS_FORMAS'!$AH$2:$AH$21,0)),""),"~","~~"),"*","~*"),"?","~?"),'DADOS_RESTRICOES'!$M$2:$Q$54,2,FALSE),"")="Tudo ou Nada",$FA22=0),"Tudo ou Nada exige TR",""),IF(AND(IFERROR(VLOOKUP(SUBSTITUTE(SUBSTITUTE(SUBSTITUTE(IFERROR(INDEX('DADOS_FORMAS'!$AS$2:$AS$21,MATCH(SUBSTITUTE(SUBSTITUTE(SUBSTITUTE($ED22,"~","~~"),"*","~*"),"?","~?"),'DADOS_FORMAS'!$AH$2:$AH$21,0)),""),"~","~~"),"*","~*"),"?","~?"),'DADOS_RESTRICOES'!$M$2:$Q$54,2,FALSE),"")="Corpo a Corpo",OR($LB22="Cone",$LB22="Linha")),"Corpo a Corpo não entra em Cone/Linha","")))</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inteira",IF(COUNTIF($LD22:$LF22,"Atrasar")&gt;0,IF(COUNTIF($LD22:$LF22,"Carregar")&gt;0,"Rodada +1 turno","Rodada inteira"),IF(COUNTIF($KW22:$KZ22,"Rápido")&gt;0,"Bônus",IF(COUNTIF($KW22:$KZ22,"Reação")&gt;0,"Reação","Padrão"))&amp;IF(COUNTIF($LD22:$LF22,"Carregar")&gt;0," +1 turno",""))))</f>
        <v/>
      </c>
      <c r="GT22" s="161">
        <f>IF(OR($EK22=0,$EL22=0),"",IF(COUNTIF($KW22:$KZ22,"Inescapável")&gt;0,"Automático",IF(COUNTIF($KW22:$KZ22,"Certeiro")&gt;0,"TR para metade",IF(AND($EX22&gt;0,$FA22=0,INDEX('DADOS_FORMAS'!$FQ$2:$FQ$21,$EL22)="Acerto"),"Acerto + TR",INDEX('DADOS_FORMAS'!$FQ$2:$FQ$21,$EL22)))))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IF($EL22=0,0,CHOOSE(1+INDEX('DADOS_FORMAS'!$FS$2:$FS$21,$EL22),0,$GV22,$GW22,$GV22+$GW22))</f>
        <v/>
      </c>
      <c r="GY22" s="161">
        <f>IF($EL22=0,0,CHOOSE(1+INDEX('DADOS_FORMAS'!$FT$2:$FT$21,$EL22),0,$GV22,$GW22,$GV22+$GW22))</f>
        <v/>
      </c>
      <c r="GZ22" s="161">
        <f>IF(OR($EK22=0,$EL22=0),"",INDEX('DADOS_FORMAS'!$GZ$2:$HE$61,($EL22-1)*3+IF($EB22&gt;=6,3,2),1+MIN(5,$GX22))&amp;INDEX('DADOS_FORMAS'!$HF$2:$HK$61,($EL22-1)*3+IF($EB22&gt;=6,3,2),1+MIN(5,$GY22))&amp;IF(INDEX('DADOS_FORMAS'!$FU$2:$FU$21,$EL22)=1,IF(COUNTIF($KW22:$KZ22,"Mais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c r="LB22">
        <f>IFERROR(INDEX('DADOS_FORMAS'!$BJ$2:$BJ$21,MATCH(SUBSTITUTE(SUBSTITUTE(SUBSTITUTE($ED22,"~","~~"),"*","~*"),"?","~?"),'DADOS_FORMAS'!$AH$2:$AH$21,0)),"")</f>
        <v/>
      </c>
      <c r="LC22">
        <f>IFERROR(VLOOKUP(SUBSTITUTE(SUBSTITUTE(SUBSTITUTE(IFERROR(INDEX('DADOS_FORMAS'!$AS$2:$AS$21,MATCH(SUBSTITUTE(SUBSTITUTE(SUBSTITUTE($ED22,"~","~~"),"*","~*"),"?","~?"),'DADOS_FORMAS'!$AH$2:$AH$21,0)),""),"~","~~"),"*","~*"),"?","~?"),'DADOS_RESTRICOES'!$M$2:$Q$54,2,FALSE),"")</f>
        <v/>
      </c>
      <c r="LD22">
        <f>$FD22</f>
        <v/>
      </c>
      <c r="LE22">
        <f>$FE22</f>
        <v/>
      </c>
      <c r="LF22">
        <f>$LC22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IFERROR(MATCH(SUBSTITUTE(SUBSTITUTE(SUBSTITUTE($ED23,"~","~~"),"*","~*"),"?","~?"),'DADOS_FORMAS'!$FJ$2:$FJ$21,0),0)</f>
        <v/>
      </c>
      <c r="EM23" s="161">
        <f>IF($EL23=0,0,INDEX('DADOS_FORMAS'!$FM$2:$FM$21,$EL23))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IF($EL23=0,0,INDEX('DADOS_FORMAS'!$FN$2:$FN$21,$EL23))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IF($EL23=0,0,INDEX('DADOS_FORMAS'!$FO$2:$FO$21,$EL23))</f>
        <v/>
      </c>
      <c r="EZ23" s="161">
        <f>IF($EL23=0,0,INDEX('DADOS_FORMAS'!$FP$2:$FP$21,$EL23))</f>
        <v/>
      </c>
      <c r="FA23" s="161">
        <f>IF($EL23=0,0,INDEX('DADOS_FORMAS'!$FR$2:$FR$21,$EL23))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IF(IFERROR(INDEX('DADOS_FORMAS'!$AS$2:$AS$21,MATCH(SUBSTITUTE(SUBSTITUTE(SUBSTITUTE($ED23,"~","~~"),"*","~*"),"?","~?"),'DADOS_FORMAS'!$AH$2:$AH$21,0)),"")="",0,IFERROR(N(VLOOKUP(SUBSTITUTE(SUBSTITUTE(SUBSTITUTE(IFERROR(INDEX('DADOS_FORMAS'!$AS$2:$AS$21,MATCH(SUBSTITUTE(SUBSTITUTE(SUBSTITUTE($ED23,"~","~~"),"*","~*"),"?","~?"),'DADOS_FORMAS'!$AH$2:$AH$21,0)),""),"~","~~"),"*","~*"),"?","~?"),'DADOS_RESTRICOES'!$M$2:$Q$54,3,FALSE)=1),0))</f>
        <v/>
      </c>
      <c r="FM23" s="161">
        <f>COUNTIF($FB23:$FC23,2)+IF(IFERROR(INDEX('DADOS_FORMAS'!$AS$2:$AS$21,MATCH(SUBSTITUTE(SUBSTITUTE(SUBSTITUTE($ED23,"~","~~"),"*","~*"),"?","~?"),'DADOS_FORMAS'!$AH$2:$AH$21,0)),"")="",0,IFERROR(N(VLOOKUP(SUBSTITUTE(SUBSTITUTE(SUBSTITUTE(IFERROR(INDEX('DADOS_FORMAS'!$AS$2:$AS$21,MATCH(SUBSTITUTE(SUBSTITUTE(SUBSTITUTE($ED23,"~","~~"),"*","~*"),"?","~?"),'DADOS_FORMAS'!$AH$2:$AH$21,0)),""),"~","~~"),"*","~*"),"?","~?"),'DADOS_RESTRICOES'!$M$2:$Q$54,3,FALSE)=2),0))</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Corpo")&gt;0,$EY23=0,OR($LB23="Cone",$LB23="Linha")),"Corpo a Corpo não entra em "&amp;$ED23,""),IF(AND(COUNTIF($FD23:$FE23,"Corpo a Corpo")&gt;0,$LC23="Corpo a Corpo"),"A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"&amp;$EJ23,""))),IF(AND($ED23&lt;&gt;"",COUNTIF('DADOS_FORMAS'!$AH$2:$AH$21,SUBSTITUTE(SUBSTITUTE(SUBSTITUTE($ED23,"~","~~"),"*","~*"),"?","~?"))=0),"Forma não cadastrada ou com erro: "&amp;$ED23,""),IF(AND(IFERROR(INDEX('DADOS_FORMAS'!$AS$2:$AS$21,MATCH(SUBSTITUTE(SUBSTITUTE(SUBSTITUTE($ED23,"~","~~"),"*","~*"),"?","~?"),'DADOS_FORMAS'!$AH$2:$AH$21,0)),"")&lt;&gt;"",OR(IFERROR(VLOOKUP(SUBSTITUTE(SUBSTITUTE(SUBSTITUTE(IFERROR(INDEX('DADOS_FORMAS'!$AS$2:$AS$21,MATCH(SUBSTITUTE(SUBSTITUTE(SUBSTITUTE($ED23,"~","~~"),"*","~*"),"?","~?"),'DADOS_FORMAS'!$AH$2:$AH$21,0)),""),"~","~~"),"*","~*"),"?","~?"),'DADOS_RESTRICOES'!$M$2:$Q$54,2,FALSE),"")=$FD23,IFERROR(VLOOKUP(SUBSTITUTE(SUBSTITUTE(SUBSTITUTE(IFERROR(INDEX('DADOS_FORMAS'!$AS$2:$AS$21,MATCH(SUBSTITUTE(SUBSTITUTE(SUBSTITUTE($ED23,"~","~~"),"*","~*"),"?","~?"),'DADOS_FORMAS'!$AH$2:$AH$21,0)),""),"~","~~"),"*","~*"),"?","~?"),'DADOS_RESTRICOES'!$M$2:$Q$54,2,FALSE),"")=$FE23)),"Restrição repetida, contando a embutida",""),IF(IF(IFERROR(INDEX('DADOS_FORMAS'!$AS$2:$AS$21,MATCH(SUBSTITUTE(SUBSTITUTE(SUBSTITUTE($ED23,"~","~~"),"*","~*"),"?","~?"),'DADOS_FORMAS'!$AH$2:$AH$21,0)),"")="",0,IFERROR(N(VLOOKUP(SUBSTITUTE(SUBSTITUTE(SUBSTITUTE(IFERROR(INDEX('DADOS_FORMAS'!$AS$2:$AS$21,MATCH(SUBSTITUTE(SUBSTITUTE(SUBSTITUTE($ED23,"~","~~"),"*","~*"),"?","~?"),'DADOS_FORMAS'!$AH$2:$AH$21,0)),""),"~","~~"),"*","~*"),"?","~?"),'DADOS_RESTRICOES'!$M$2:$Q$54,4,FALSE)=1),0))+IF($EI23="",0,IFERROR(N(VLOOKUP(SUBSTITUTE(SUBSTITUTE(SUBSTITUTE($EI23,"~","~~"),"*","~*"),"?","~?"),'DADOS_RESTRICOES'!$M$2:$Q$54,4,FALSE)=1),0))+IF($EJ23="",0,IFERROR(N(VLOOKUP(SUBSTITUTE(SUBSTITUTE(SUBSTITUTE($EJ23,"~","~~"),"*","~*"),"?","~?"),'DADOS_RESTRICOES'!$M$2:$Q$54,4,FALSE)=1),0))&gt;1,"Duas Restrições de frequência, contando a embutida",""),IF(AND(IFERROR(VLOOKUP(SUBSTITUTE(SUBSTITUTE(SUBSTITUTE(IFERROR(INDEX('DADOS_FORMAS'!$AS$2:$AS$21,MATCH(SUBSTITUTE(SUBSTITUTE(SUBSTITUTE($ED23,"~","~~"),"*","~*"),"?","~?"),'DADOS_FORMAS'!$AH$2:$AH$21,0)),""),"~","~~"),"*","~*"),"?","~?"),'DADOS_RESTRICOES'!$M$2:$Q$54,2,FALSE),"")="Tudo ou Nada",$FA23=0),"Tudo ou Nada exige TR",""),IF(AND(IFERROR(VLOOKUP(SUBSTITUTE(SUBSTITUTE(SUBSTITUTE(IFERROR(INDEX('DADOS_FORMAS'!$AS$2:$AS$21,MATCH(SUBSTITUTE(SUBSTITUTE(SUBSTITUTE($ED23,"~","~~"),"*","~*"),"?","~?"),'DADOS_FORMAS'!$AH$2:$AH$21,0)),""),"~","~~"),"*","~*"),"?","~?"),'DADOS_RESTRICOES'!$M$2:$Q$54,2,FALSE),"")="Corpo a Corpo",OR($LB23="Cone",$LB23="Linha")),"Corpo a Corpo não entra em Cone/Linha","")))</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inteira",IF(COUNTIF($LD23:$LF23,"Atrasar")&gt;0,IF(COUNTIF($LD23:$LF23,"Carregar")&gt;0,"Rodada +1 turno","Rodada inteira"),IF(COUNTIF($KW23:$KZ23,"Rápido")&gt;0,"Bônus",IF(COUNTIF($KW23:$KZ23,"Reação")&gt;0,"Reação","Padrão"))&amp;IF(COUNTIF($LD23:$LF23,"Carregar")&gt;0," +1 turno",""))))</f>
        <v/>
      </c>
      <c r="GT23" s="161">
        <f>IF(OR($EK23=0,$EL23=0),"",IF(COUNTIF($KW23:$KZ23,"Inescapável")&gt;0,"Automático",IF(COUNTIF($KW23:$KZ23,"Certeiro")&gt;0,"TR para metade",IF(AND($EX23&gt;0,$FA23=0,INDEX('DADOS_FORMAS'!$FQ$2:$FQ$21,$EL23)="Acerto"),"Acerto + TR",INDEX('DADOS_FORMAS'!$FQ$2:$FQ$21,$EL23)))))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IF($EL23=0,0,CHOOSE(1+INDEX('DADOS_FORMAS'!$FS$2:$FS$21,$EL23),0,$GV23,$GW23,$GV23+$GW23))</f>
        <v/>
      </c>
      <c r="GY23" s="161">
        <f>IF($EL23=0,0,CHOOSE(1+INDEX('DADOS_FORMAS'!$FT$2:$FT$21,$EL23),0,$GV23,$GW23,$GV23+$GW23))</f>
        <v/>
      </c>
      <c r="GZ23" s="161">
        <f>IF(OR($EK23=0,$EL23=0),"",INDEX('DADOS_FORMAS'!$GZ$2:$HE$61,($EL23-1)*3+IF($EB23&gt;=6,3,2),1+MIN(5,$GX23))&amp;INDEX('DADOS_FORMAS'!$HF$2:$HK$61,($EL23-1)*3+IF($EB23&gt;=6,3,2),1+MIN(5,$GY23))&amp;IF(INDEX('DADOS_FORMAS'!$FU$2:$FU$21,$EL23)=1,IF(COUNTIF($KW23:$KZ23,"Mais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c r="LB23">
        <f>IFERROR(INDEX('DADOS_FORMAS'!$BJ$2:$BJ$21,MATCH(SUBSTITUTE(SUBSTITUTE(SUBSTITUTE($ED23,"~","~~"),"*","~*"),"?","~?"),'DADOS_FORMAS'!$AH$2:$AH$21,0)),"")</f>
        <v/>
      </c>
      <c r="LC23">
        <f>IFERROR(VLOOKUP(SUBSTITUTE(SUBSTITUTE(SUBSTITUTE(IFERROR(INDEX('DADOS_FORMAS'!$AS$2:$AS$21,MATCH(SUBSTITUTE(SUBSTITUTE(SUBSTITUTE($ED23,"~","~~"),"*","~*"),"?","~?"),'DADOS_FORMAS'!$AH$2:$AH$21,0)),""),"~","~~"),"*","~*"),"?","~?"),'DADOS_RESTRICOES'!$M$2:$Q$54,2,FALSE),"")</f>
        <v/>
      </c>
      <c r="LD23">
        <f>$FD23</f>
        <v/>
      </c>
      <c r="LE23">
        <f>$FE23</f>
        <v/>
      </c>
      <c r="LF23">
        <f>$LC23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IFERROR(MATCH(SUBSTITUTE(SUBSTITUTE(SUBSTITUTE($ED24,"~","~~"),"*","~*"),"?","~?"),'DADOS_FORMAS'!$FJ$2:$FJ$21,0),0)</f>
        <v/>
      </c>
      <c r="EM24" s="161">
        <f>IF($EL24=0,0,INDEX('DADOS_FORMAS'!$FM$2:$FM$21,$EL24))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IF($EL24=0,0,INDEX('DADOS_FORMAS'!$FN$2:$FN$21,$EL24))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IF($EL24=0,0,INDEX('DADOS_FORMAS'!$FO$2:$FO$21,$EL24))</f>
        <v/>
      </c>
      <c r="EZ24" s="161">
        <f>IF($EL24=0,0,INDEX('DADOS_FORMAS'!$FP$2:$FP$21,$EL24))</f>
        <v/>
      </c>
      <c r="FA24" s="161">
        <f>IF($EL24=0,0,INDEX('DADOS_FORMAS'!$FR$2:$FR$21,$EL24))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IF(IFERROR(INDEX('DADOS_FORMAS'!$AS$2:$AS$21,MATCH(SUBSTITUTE(SUBSTITUTE(SUBSTITUTE($ED24,"~","~~"),"*","~*"),"?","~?"),'DADOS_FORMAS'!$AH$2:$AH$21,0)),"")="",0,IFERROR(N(VLOOKUP(SUBSTITUTE(SUBSTITUTE(SUBSTITUTE(IFERROR(INDEX('DADOS_FORMAS'!$AS$2:$AS$21,MATCH(SUBSTITUTE(SUBSTITUTE(SUBSTITUTE($ED24,"~","~~"),"*","~*"),"?","~?"),'DADOS_FORMAS'!$AH$2:$AH$21,0)),""),"~","~~"),"*","~*"),"?","~?"),'DADOS_RESTRICOES'!$M$2:$Q$54,3,FALSE)=1),0))</f>
        <v/>
      </c>
      <c r="FM24" s="161">
        <f>COUNTIF($FB24:$FC24,2)+IF(IFERROR(INDEX('DADOS_FORMAS'!$AS$2:$AS$21,MATCH(SUBSTITUTE(SUBSTITUTE(SUBSTITUTE($ED24,"~","~~"),"*","~*"),"?","~?"),'DADOS_FORMAS'!$AH$2:$AH$21,0)),"")="",0,IFERROR(N(VLOOKUP(SUBSTITUTE(SUBSTITUTE(SUBSTITUTE(IFERROR(INDEX('DADOS_FORMAS'!$AS$2:$AS$21,MATCH(SUBSTITUTE(SUBSTITUTE(SUBSTITUTE($ED24,"~","~~"),"*","~*"),"?","~?"),'DADOS_FORMAS'!$AH$2:$AH$21,0)),""),"~","~~"),"*","~*"),"?","~?"),'DADOS_RESTRICOES'!$M$2:$Q$54,3,FALSE)=2),0))</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Corpo")&gt;0,$EY24=0,OR($LB24="Cone",$LB24="Linha")),"Corpo a Corpo não entra em "&amp;$ED24,""),IF(AND(COUNTIF($FD24:$FE24,"Corpo a Corpo")&gt;0,$LC24="Corpo a Corpo"),"A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"&amp;$EJ24,""))),IF(AND($ED24&lt;&gt;"",COUNTIF('DADOS_FORMAS'!$AH$2:$AH$21,SUBSTITUTE(SUBSTITUTE(SUBSTITUTE($ED24,"~","~~"),"*","~*"),"?","~?"))=0),"Forma não cadastrada ou com erro: "&amp;$ED24,""),IF(AND(IFERROR(INDEX('DADOS_FORMAS'!$AS$2:$AS$21,MATCH(SUBSTITUTE(SUBSTITUTE(SUBSTITUTE($ED24,"~","~~"),"*","~*"),"?","~?"),'DADOS_FORMAS'!$AH$2:$AH$21,0)),"")&lt;&gt;"",OR(IFERROR(VLOOKUP(SUBSTITUTE(SUBSTITUTE(SUBSTITUTE(IFERROR(INDEX('DADOS_FORMAS'!$AS$2:$AS$21,MATCH(SUBSTITUTE(SUBSTITUTE(SUBSTITUTE($ED24,"~","~~"),"*","~*"),"?","~?"),'DADOS_FORMAS'!$AH$2:$AH$21,0)),""),"~","~~"),"*","~*"),"?","~?"),'DADOS_RESTRICOES'!$M$2:$Q$54,2,FALSE),"")=$FD24,IFERROR(VLOOKUP(SUBSTITUTE(SUBSTITUTE(SUBSTITUTE(IFERROR(INDEX('DADOS_FORMAS'!$AS$2:$AS$21,MATCH(SUBSTITUTE(SUBSTITUTE(SUBSTITUTE($ED24,"~","~~"),"*","~*"),"?","~?"),'DADOS_FORMAS'!$AH$2:$AH$21,0)),""),"~","~~"),"*","~*"),"?","~?"),'DADOS_RESTRICOES'!$M$2:$Q$54,2,FALSE),"")=$FE24)),"Restrição repetida, contando a embutida",""),IF(IF(IFERROR(INDEX('DADOS_FORMAS'!$AS$2:$AS$21,MATCH(SUBSTITUTE(SUBSTITUTE(SUBSTITUTE($ED24,"~","~~"),"*","~*"),"?","~?"),'DADOS_FORMAS'!$AH$2:$AH$21,0)),"")="",0,IFERROR(N(VLOOKUP(SUBSTITUTE(SUBSTITUTE(SUBSTITUTE(IFERROR(INDEX('DADOS_FORMAS'!$AS$2:$AS$21,MATCH(SUBSTITUTE(SUBSTITUTE(SUBSTITUTE($ED24,"~","~~"),"*","~*"),"?","~?"),'DADOS_FORMAS'!$AH$2:$AH$21,0)),""),"~","~~"),"*","~*"),"?","~?"),'DADOS_RESTRICOES'!$M$2:$Q$54,4,FALSE)=1),0))+IF($EI24="",0,IFERROR(N(VLOOKUP(SUBSTITUTE(SUBSTITUTE(SUBSTITUTE($EI24,"~","~~"),"*","~*"),"?","~?"),'DADOS_RESTRICOES'!$M$2:$Q$54,4,FALSE)=1),0))+IF($EJ24="",0,IFERROR(N(VLOOKUP(SUBSTITUTE(SUBSTITUTE(SUBSTITUTE($EJ24,"~","~~"),"*","~*"),"?","~?"),'DADOS_RESTRICOES'!$M$2:$Q$54,4,FALSE)=1),0))&gt;1,"Duas Restrições de frequência, contando a embutida",""),IF(AND(IFERROR(VLOOKUP(SUBSTITUTE(SUBSTITUTE(SUBSTITUTE(IFERROR(INDEX('DADOS_FORMAS'!$AS$2:$AS$21,MATCH(SUBSTITUTE(SUBSTITUTE(SUBSTITUTE($ED24,"~","~~"),"*","~*"),"?","~?"),'DADOS_FORMAS'!$AH$2:$AH$21,0)),""),"~","~~"),"*","~*"),"?","~?"),'DADOS_RESTRICOES'!$M$2:$Q$54,2,FALSE),"")="Tudo ou Nada",$FA24=0),"Tudo ou Nada exige TR",""),IF(AND(IFERROR(VLOOKUP(SUBSTITUTE(SUBSTITUTE(SUBSTITUTE(IFERROR(INDEX('DADOS_FORMAS'!$AS$2:$AS$21,MATCH(SUBSTITUTE(SUBSTITUTE(SUBSTITUTE($ED24,"~","~~"),"*","~*"),"?","~?"),'DADOS_FORMAS'!$AH$2:$AH$21,0)),""),"~","~~"),"*","~*"),"?","~?"),'DADOS_RESTRICOES'!$M$2:$Q$54,2,FALSE),"")="Corpo a Corpo",OR($LB24="Cone",$LB24="Linha")),"Corpo a Corpo não entra em Cone/Linha","")))</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inteira",IF(COUNTIF($LD24:$LF24,"Atrasar")&gt;0,IF(COUNTIF($LD24:$LF24,"Carregar")&gt;0,"Rodada +1 turno","Rodada inteira"),IF(COUNTIF($KW24:$KZ24,"Rápido")&gt;0,"Bônus",IF(COUNTIF($KW24:$KZ24,"Reação")&gt;0,"Reação","Padrão"))&amp;IF(COUNTIF($LD24:$LF24,"Carregar")&gt;0," +1 turno",""))))</f>
        <v/>
      </c>
      <c r="GT24" s="161">
        <f>IF(OR($EK24=0,$EL24=0),"",IF(COUNTIF($KW24:$KZ24,"Inescapável")&gt;0,"Automático",IF(COUNTIF($KW24:$KZ24,"Certeiro")&gt;0,"TR para metade",IF(AND($EX24&gt;0,$FA24=0,INDEX('DADOS_FORMAS'!$FQ$2:$FQ$21,$EL24)="Acerto"),"Acerto + TR",INDEX('DADOS_FORMAS'!$FQ$2:$FQ$21,$EL24)))))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IF($EL24=0,0,CHOOSE(1+INDEX('DADOS_FORMAS'!$FS$2:$FS$21,$EL24),0,$GV24,$GW24,$GV24+$GW24))</f>
        <v/>
      </c>
      <c r="GY24" s="161">
        <f>IF($EL24=0,0,CHOOSE(1+INDEX('DADOS_FORMAS'!$FT$2:$FT$21,$EL24),0,$GV24,$GW24,$GV24+$GW24))</f>
        <v/>
      </c>
      <c r="GZ24" s="161">
        <f>IF(OR($EK24=0,$EL24=0),"",INDEX('DADOS_FORMAS'!$GZ$2:$HE$61,($EL24-1)*3+IF($EB24&gt;=6,3,2),1+MIN(5,$GX24))&amp;INDEX('DADOS_FORMAS'!$HF$2:$HK$61,($EL24-1)*3+IF($EB24&gt;=6,3,2),1+MIN(5,$GY24))&amp;IF(INDEX('DADOS_FORMAS'!$FU$2:$FU$21,$EL24)=1,IF(COUNTIF($KW24:$KZ24,"Mais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c r="LB24">
        <f>IFERROR(INDEX('DADOS_FORMAS'!$BJ$2:$BJ$21,MATCH(SUBSTITUTE(SUBSTITUTE(SUBSTITUTE($ED24,"~","~~"),"*","~*"),"?","~?"),'DADOS_FORMAS'!$AH$2:$AH$21,0)),"")</f>
        <v/>
      </c>
      <c r="LC24">
        <f>IFERROR(VLOOKUP(SUBSTITUTE(SUBSTITUTE(SUBSTITUTE(IFERROR(INDEX('DADOS_FORMAS'!$AS$2:$AS$21,MATCH(SUBSTITUTE(SUBSTITUTE(SUBSTITUTE($ED24,"~","~~"),"*","~*"),"?","~?"),'DADOS_FORMAS'!$AH$2:$AH$21,0)),""),"~","~~"),"*","~*"),"?","~?"),'DADOS_RESTRICOES'!$M$2:$Q$54,2,FALSE),"")</f>
        <v/>
      </c>
      <c r="LD24">
        <f>$FD24</f>
        <v/>
      </c>
      <c r="LE24">
        <f>$FE24</f>
        <v/>
      </c>
      <c r="LF24">
        <f>$LC24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IFERROR(MATCH(SUBSTITUTE(SUBSTITUTE(SUBSTITUTE($ED25,"~","~~"),"*","~*"),"?","~?"),'DADOS_FORMAS'!$FJ$2:$FJ$21,0),0)</f>
        <v/>
      </c>
      <c r="EM25" s="161">
        <f>IF($EL25=0,0,INDEX('DADOS_FORMAS'!$FM$2:$FM$21,$EL25))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IF($EL25=0,0,INDEX('DADOS_FORMAS'!$FN$2:$FN$21,$EL25))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IF($EL25=0,0,INDEX('DADOS_FORMAS'!$FO$2:$FO$21,$EL25))</f>
        <v/>
      </c>
      <c r="EZ25" s="161">
        <f>IF($EL25=0,0,INDEX('DADOS_FORMAS'!$FP$2:$FP$21,$EL25))</f>
        <v/>
      </c>
      <c r="FA25" s="161">
        <f>IF($EL25=0,0,INDEX('DADOS_FORMAS'!$FR$2:$FR$21,$EL25))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IF(IFERROR(INDEX('DADOS_FORMAS'!$AS$2:$AS$21,MATCH(SUBSTITUTE(SUBSTITUTE(SUBSTITUTE($ED25,"~","~~"),"*","~*"),"?","~?"),'DADOS_FORMAS'!$AH$2:$AH$21,0)),"")="",0,IFERROR(N(VLOOKUP(SUBSTITUTE(SUBSTITUTE(SUBSTITUTE(IFERROR(INDEX('DADOS_FORMAS'!$AS$2:$AS$21,MATCH(SUBSTITUTE(SUBSTITUTE(SUBSTITUTE($ED25,"~","~~"),"*","~*"),"?","~?"),'DADOS_FORMAS'!$AH$2:$AH$21,0)),""),"~","~~"),"*","~*"),"?","~?"),'DADOS_RESTRICOES'!$M$2:$Q$54,3,FALSE)=1),0))</f>
        <v/>
      </c>
      <c r="FM25" s="161">
        <f>COUNTIF($FB25:$FC25,2)+IF(IFERROR(INDEX('DADOS_FORMAS'!$AS$2:$AS$21,MATCH(SUBSTITUTE(SUBSTITUTE(SUBSTITUTE($ED25,"~","~~"),"*","~*"),"?","~?"),'DADOS_FORMAS'!$AH$2:$AH$21,0)),"")="",0,IFERROR(N(VLOOKUP(SUBSTITUTE(SUBSTITUTE(SUBSTITUTE(IFERROR(INDEX('DADOS_FORMAS'!$AS$2:$AS$21,MATCH(SUBSTITUTE(SUBSTITUTE(SUBSTITUTE($ED25,"~","~~"),"*","~*"),"?","~?"),'DADOS_FORMAS'!$AH$2:$AH$21,0)),""),"~","~~"),"*","~*"),"?","~?"),'DADOS_RESTRICOES'!$M$2:$Q$54,3,FALSE)=2),0))</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Corpo")&gt;0,$EY25=0,OR($LB25="Cone",$LB25="Linha")),"Corpo a Corpo não entra em "&amp;$ED25,""),IF(AND(COUNTIF($FD25:$FE25,"Corpo a Corpo")&gt;0,$LC25="Corpo a Corpo"),"A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"&amp;$EJ25,""))),IF(AND($ED25&lt;&gt;"",COUNTIF('DADOS_FORMAS'!$AH$2:$AH$21,SUBSTITUTE(SUBSTITUTE(SUBSTITUTE($ED25,"~","~~"),"*","~*"),"?","~?"))=0),"Forma não cadastrada ou com erro: "&amp;$ED25,""),IF(AND(IFERROR(INDEX('DADOS_FORMAS'!$AS$2:$AS$21,MATCH(SUBSTITUTE(SUBSTITUTE(SUBSTITUTE($ED25,"~","~~"),"*","~*"),"?","~?"),'DADOS_FORMAS'!$AH$2:$AH$21,0)),"")&lt;&gt;"",OR(IFERROR(VLOOKUP(SUBSTITUTE(SUBSTITUTE(SUBSTITUTE(IFERROR(INDEX('DADOS_FORMAS'!$AS$2:$AS$21,MATCH(SUBSTITUTE(SUBSTITUTE(SUBSTITUTE($ED25,"~","~~"),"*","~*"),"?","~?"),'DADOS_FORMAS'!$AH$2:$AH$21,0)),""),"~","~~"),"*","~*"),"?","~?"),'DADOS_RESTRICOES'!$M$2:$Q$54,2,FALSE),"")=$FD25,IFERROR(VLOOKUP(SUBSTITUTE(SUBSTITUTE(SUBSTITUTE(IFERROR(INDEX('DADOS_FORMAS'!$AS$2:$AS$21,MATCH(SUBSTITUTE(SUBSTITUTE(SUBSTITUTE($ED25,"~","~~"),"*","~*"),"?","~?"),'DADOS_FORMAS'!$AH$2:$AH$21,0)),""),"~","~~"),"*","~*"),"?","~?"),'DADOS_RESTRICOES'!$M$2:$Q$54,2,FALSE),"")=$FE25)),"Restrição repetida, contando a embutida",""),IF(IF(IFERROR(INDEX('DADOS_FORMAS'!$AS$2:$AS$21,MATCH(SUBSTITUTE(SUBSTITUTE(SUBSTITUTE($ED25,"~","~~"),"*","~*"),"?","~?"),'DADOS_FORMAS'!$AH$2:$AH$21,0)),"")="",0,IFERROR(N(VLOOKUP(SUBSTITUTE(SUBSTITUTE(SUBSTITUTE(IFERROR(INDEX('DADOS_FORMAS'!$AS$2:$AS$21,MATCH(SUBSTITUTE(SUBSTITUTE(SUBSTITUTE($ED25,"~","~~"),"*","~*"),"?","~?"),'DADOS_FORMAS'!$AH$2:$AH$21,0)),""),"~","~~"),"*","~*"),"?","~?"),'DADOS_RESTRICOES'!$M$2:$Q$54,4,FALSE)=1),0))+IF($EI25="",0,IFERROR(N(VLOOKUP(SUBSTITUTE(SUBSTITUTE(SUBSTITUTE($EI25,"~","~~"),"*","~*"),"?","~?"),'DADOS_RESTRICOES'!$M$2:$Q$54,4,FALSE)=1),0))+IF($EJ25="",0,IFERROR(N(VLOOKUP(SUBSTITUTE(SUBSTITUTE(SUBSTITUTE($EJ25,"~","~~"),"*","~*"),"?","~?"),'DADOS_RESTRICOES'!$M$2:$Q$54,4,FALSE)=1),0))&gt;1,"Duas Restrições de frequência, contando a embutida",""),IF(AND(IFERROR(VLOOKUP(SUBSTITUTE(SUBSTITUTE(SUBSTITUTE(IFERROR(INDEX('DADOS_FORMAS'!$AS$2:$AS$21,MATCH(SUBSTITUTE(SUBSTITUTE(SUBSTITUTE($ED25,"~","~~"),"*","~*"),"?","~?"),'DADOS_FORMAS'!$AH$2:$AH$21,0)),""),"~","~~"),"*","~*"),"?","~?"),'DADOS_RESTRICOES'!$M$2:$Q$54,2,FALSE),"")="Tudo ou Nada",$FA25=0),"Tudo ou Nada exige TR",""),IF(AND(IFERROR(VLOOKUP(SUBSTITUTE(SUBSTITUTE(SUBSTITUTE(IFERROR(INDEX('DADOS_FORMAS'!$AS$2:$AS$21,MATCH(SUBSTITUTE(SUBSTITUTE(SUBSTITUTE($ED25,"~","~~"),"*","~*"),"?","~?"),'DADOS_FORMAS'!$AH$2:$AH$21,0)),""),"~","~~"),"*","~*"),"?","~?"),'DADOS_RESTRICOES'!$M$2:$Q$54,2,FALSE),"")="Corpo a Corpo",OR($LB25="Cone",$LB25="Linha")),"Corpo a Corpo não entra em Cone/Linha","")))</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inteira",IF(COUNTIF($LD25:$LF25,"Atrasar")&gt;0,IF(COUNTIF($LD25:$LF25,"Carregar")&gt;0,"Rodada +1 turno","Rodada inteira"),IF(COUNTIF($KW25:$KZ25,"Rápido")&gt;0,"Bônus",IF(COUNTIF($KW25:$KZ25,"Reação")&gt;0,"Reação","Padrão"))&amp;IF(COUNTIF($LD25:$LF25,"Carregar")&gt;0," +1 turno",""))))</f>
        <v/>
      </c>
      <c r="GT25" s="161">
        <f>IF(OR($EK25=0,$EL25=0),"",IF(COUNTIF($KW25:$KZ25,"Inescapável")&gt;0,"Automático",IF(COUNTIF($KW25:$KZ25,"Certeiro")&gt;0,"TR para metade",IF(AND($EX25&gt;0,$FA25=0,INDEX('DADOS_FORMAS'!$FQ$2:$FQ$21,$EL25)="Acerto"),"Acerto + TR",INDEX('DADOS_FORMAS'!$FQ$2:$FQ$21,$EL25)))))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IF($EL25=0,0,CHOOSE(1+INDEX('DADOS_FORMAS'!$FS$2:$FS$21,$EL25),0,$GV25,$GW25,$GV25+$GW25))</f>
        <v/>
      </c>
      <c r="GY25" s="161">
        <f>IF($EL25=0,0,CHOOSE(1+INDEX('DADOS_FORMAS'!$FT$2:$FT$21,$EL25),0,$GV25,$GW25,$GV25+$GW25))</f>
        <v/>
      </c>
      <c r="GZ25" s="161">
        <f>IF(OR($EK25=0,$EL25=0),"",INDEX('DADOS_FORMAS'!$GZ$2:$HE$61,($EL25-1)*3+IF($EB25&gt;=6,3,2),1+MIN(5,$GX25))&amp;INDEX('DADOS_FORMAS'!$HF$2:$HK$61,($EL25-1)*3+IF($EB25&gt;=6,3,2),1+MIN(5,$GY25))&amp;IF(INDEX('DADOS_FORMAS'!$FU$2:$FU$21,$EL25)=1,IF(COUNTIF($KW25:$KZ25,"Mais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AMALDIÇOADA'!$D$430="",0,IFERROR(1-VLOOKUP(SUBSTITUTE(SUBSTITUTE(SUBSTITUTE('FICHA AMALDIÇOADA'!$D$430,"~","~~"),"*","~*"),"?","~?"),'DADOS_APTIDOES'!$BF$2:$BO$45,9,FALSE),1))+IF('FICHA AMALDIÇOADA'!$J$430="",0,IFERROR(1-VLOOKUP(SUBSTITUTE(SUBSTITUTE(SUBSTITUTE('FICHA AMALDIÇOADA'!$J$430,"~","~~"),"*","~*"),"?","~?"),'DADOS_APTIDOES'!$BF$2:$BO$45,9,FALSE),1))+IF('FICHA AMALDIÇOADA'!$P$430="",0,IFERROR(1-VLOOKUP(SUBSTITUTE(SUBSTITUTE(SUBSTITUTE('FICHA AMALDIÇOADA'!$P$430,"~","~~"),"*","~*"),"?","~?"),'DADOS_APTIDOES'!$BF$2:$BO$45,9,FALSE),1))+IF('FICHA AMALDIÇOADA'!$D$450="",0,IFERROR(1-VLOOKUP(SUBSTITUTE(SUBSTITUTE(SUBSTITUTE('FICHA AMALDIÇOADA'!$D$450,"~","~~"),"*","~*"),"?","~?"),'DADOS_APTIDOES'!$BF$2:$BO$45,9,FALSE),1))+IF('FICHA AMALDIÇOADA'!$J$450="",0,IFERROR(1-VLOOKUP(SUBSTITUTE(SUBSTITUTE(SUBSTITUTE('FICHA AMALDIÇOADA'!$J$450,"~","~~"),"*","~*"),"?","~?"),'DADOS_APTIDOES'!$BF$2:$BO$45,9,FALSE),1))+IF('FICHA AMALDIÇOADA'!$P$450="",0,IFERROR(1-VLOOKUP(SUBSTITUTE(SUBSTITUTE(SUBSTITUTE('FICHA AMALDIÇOADA'!$P$450,"~","~~"),"*","~*"),"?","~?"),'DADOS_APTIDOES'!$BF$2:$BO$45,9,FALSE),1))+IF('FICHA AMALDIÇOADA'!$D$472="",0,IFERROR(1-VLOOKUP(SUBSTITUTE(SUBSTITUTE(SUBSTITUTE('FICHA AMALDIÇOADA'!$D$472,"~","~~"),"*","~*"),"?","~?"),'DADOS_APTIDOES'!$BF$2:$BO$45,9,FALSE),1))+IF('FICHA AMALDIÇOADA'!$J$472="",0,IFERROR(1-VLOOKUP(SUBSTITUTE(SUBSTITUTE(SUBSTITUTE('FICHA AMALDIÇOADA'!$J$472,"~","~~"),"*","~*"),"?","~?"),'DADOS_APTIDOES'!$BF$2:$BO$45,9,FALSE),1))+IF('FICHA AMALDIÇOADA'!$P$472="",0,IFERROR(1-VLOOKUP(SUBSTITUTE(SUBSTITUTE(SUBSTITUTE('FICHA AMALDIÇOADA'!$P$472,"~","~~"),"*","~*"),"?","~?"),'DADOS_APTIDOES'!$BF$2:$BO$45,9,FALSE),1))+IF('FICHA AMALDIÇOADA'!$D$492="",0,IFERROR(1-VLOOKUP(SUBSTITUTE(SUBSTITUTE(SUBSTITUTE('FICHA AMALDIÇOADA'!$D$492,"~","~~"),"*","~*"),"?","~?"),'DADOS_APTIDOES'!$BF$2:$BO$45,9,FALSE),1))+IF('FICHA AMALDIÇOADA'!$J$492="",0,IFERROR(1-VLOOKUP(SUBSTITUTE(SUBSTITUTE(SUBSTITUTE('FICHA AMALDIÇOADA'!$J$492,"~","~~"),"*","~*"),"?","~?"),'DADOS_APTIDOES'!$BF$2:$BO$45,9,FALSE),1))+IF('FICHA AMALDIÇOADA'!$P$492="",0,IFERROR(1-VLOOKUP(SUBSTITUTE(SUBSTITUTE(SUBSTITUTE('FICHA AMALDIÇOADA'!$P$492,"~","~~"),"*","~*"),"?","~?"),'DADOS_APTIDOES'!$BF$2:$BO$45,9,FALSE),1))</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c r="LB25">
        <f>IFERROR(INDEX('DADOS_FORMAS'!$BJ$2:$BJ$21,MATCH(SUBSTITUTE(SUBSTITUTE(SUBSTITUTE($ED25,"~","~~"),"*","~*"),"?","~?"),'DADOS_FORMAS'!$AH$2:$AH$21,0)),"")</f>
        <v/>
      </c>
      <c r="LC25">
        <f>IFERROR(VLOOKUP(SUBSTITUTE(SUBSTITUTE(SUBSTITUTE(IFERROR(INDEX('DADOS_FORMAS'!$AS$2:$AS$21,MATCH(SUBSTITUTE(SUBSTITUTE(SUBSTITUTE($ED25,"~","~~"),"*","~*"),"?","~?"),'DADOS_FORMAS'!$AH$2:$AH$21,0)),""),"~","~~"),"*","~*"),"?","~?"),'DADOS_RESTRICOES'!$M$2:$Q$54,2,FALSE),"")</f>
        <v/>
      </c>
      <c r="LD25">
        <f>$FD25</f>
        <v/>
      </c>
      <c r="LE25">
        <f>$FE25</f>
        <v/>
      </c>
      <c r="LF25">
        <f>$LC25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IFERROR(MATCH(SUBSTITUTE(SUBSTITUTE(SUBSTITUTE($ED26,"~","~~"),"*","~*"),"?","~?"),'DADOS_FORMAS'!$FJ$2:$FJ$21,0),0)</f>
        <v/>
      </c>
      <c r="EM26" s="161">
        <f>IF($EL26=0,0,INDEX('DADOS_FORMAS'!$FM$2:$FM$21,$EL26))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IF($EL26=0,0,INDEX('DADOS_FORMAS'!$FN$2:$FN$21,$EL26))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IF($EL26=0,0,INDEX('DADOS_FORMAS'!$FO$2:$FO$21,$EL26))</f>
        <v/>
      </c>
      <c r="EZ26" s="161">
        <f>IF($EL26=0,0,INDEX('DADOS_FORMAS'!$FP$2:$FP$21,$EL26))</f>
        <v/>
      </c>
      <c r="FA26" s="161">
        <f>IF($EL26=0,0,INDEX('DADOS_FORMAS'!$FR$2:$FR$21,$EL26))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IF(IFERROR(INDEX('DADOS_FORMAS'!$AS$2:$AS$21,MATCH(SUBSTITUTE(SUBSTITUTE(SUBSTITUTE($ED26,"~","~~"),"*","~*"),"?","~?"),'DADOS_FORMAS'!$AH$2:$AH$21,0)),"")="",0,IFERROR(N(VLOOKUP(SUBSTITUTE(SUBSTITUTE(SUBSTITUTE(IFERROR(INDEX('DADOS_FORMAS'!$AS$2:$AS$21,MATCH(SUBSTITUTE(SUBSTITUTE(SUBSTITUTE($ED26,"~","~~"),"*","~*"),"?","~?"),'DADOS_FORMAS'!$AH$2:$AH$21,0)),""),"~","~~"),"*","~*"),"?","~?"),'DADOS_RESTRICOES'!$M$2:$Q$54,3,FALSE)=1),0))</f>
        <v/>
      </c>
      <c r="FM26" s="161">
        <f>COUNTIF($FB26:$FC26,2)+IF(IFERROR(INDEX('DADOS_FORMAS'!$AS$2:$AS$21,MATCH(SUBSTITUTE(SUBSTITUTE(SUBSTITUTE($ED26,"~","~~"),"*","~*"),"?","~?"),'DADOS_FORMAS'!$AH$2:$AH$21,0)),"")="",0,IFERROR(N(VLOOKUP(SUBSTITUTE(SUBSTITUTE(SUBSTITUTE(IFERROR(INDEX('DADOS_FORMAS'!$AS$2:$AS$21,MATCH(SUBSTITUTE(SUBSTITUTE(SUBSTITUTE($ED26,"~","~~"),"*","~*"),"?","~?"),'DADOS_FORMAS'!$AH$2:$AH$21,0)),""),"~","~~"),"*","~*"),"?","~?"),'DADOS_RESTRICOES'!$M$2:$Q$54,3,FALSE)=2),0))</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Corpo")&gt;0,$EY26=0,OR($LB26="Cone",$LB26="Linha")),"Corpo a Corpo não entra em "&amp;$ED26,""),IF(AND(COUNTIF($FD26:$FE26,"Corpo a Corpo")&gt;0,$LC26="Corpo a Corpo"),"A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"&amp;$EJ26,""))),IF(AND($ED26&lt;&gt;"",COUNTIF('DADOS_FORMAS'!$AH$2:$AH$21,SUBSTITUTE(SUBSTITUTE(SUBSTITUTE($ED26,"~","~~"),"*","~*"),"?","~?"))=0),"Forma não cadastrada ou com erro: "&amp;$ED26,""),IF(AND(IFERROR(INDEX('DADOS_FORMAS'!$AS$2:$AS$21,MATCH(SUBSTITUTE(SUBSTITUTE(SUBSTITUTE($ED26,"~","~~"),"*","~*"),"?","~?"),'DADOS_FORMAS'!$AH$2:$AH$21,0)),"")&lt;&gt;"",OR(IFERROR(VLOOKUP(SUBSTITUTE(SUBSTITUTE(SUBSTITUTE(IFERROR(INDEX('DADOS_FORMAS'!$AS$2:$AS$21,MATCH(SUBSTITUTE(SUBSTITUTE(SUBSTITUTE($ED26,"~","~~"),"*","~*"),"?","~?"),'DADOS_FORMAS'!$AH$2:$AH$21,0)),""),"~","~~"),"*","~*"),"?","~?"),'DADOS_RESTRICOES'!$M$2:$Q$54,2,FALSE),"")=$FD26,IFERROR(VLOOKUP(SUBSTITUTE(SUBSTITUTE(SUBSTITUTE(IFERROR(INDEX('DADOS_FORMAS'!$AS$2:$AS$21,MATCH(SUBSTITUTE(SUBSTITUTE(SUBSTITUTE($ED26,"~","~~"),"*","~*"),"?","~?"),'DADOS_FORMAS'!$AH$2:$AH$21,0)),""),"~","~~"),"*","~*"),"?","~?"),'DADOS_RESTRICOES'!$M$2:$Q$54,2,FALSE),"")=$FE26)),"Restrição repetida, contando a embutida",""),IF(IF(IFERROR(INDEX('DADOS_FORMAS'!$AS$2:$AS$21,MATCH(SUBSTITUTE(SUBSTITUTE(SUBSTITUTE($ED26,"~","~~"),"*","~*"),"?","~?"),'DADOS_FORMAS'!$AH$2:$AH$21,0)),"")="",0,IFERROR(N(VLOOKUP(SUBSTITUTE(SUBSTITUTE(SUBSTITUTE(IFERROR(INDEX('DADOS_FORMAS'!$AS$2:$AS$21,MATCH(SUBSTITUTE(SUBSTITUTE(SUBSTITUTE($ED26,"~","~~"),"*","~*"),"?","~?"),'DADOS_FORMAS'!$AH$2:$AH$21,0)),""),"~","~~"),"*","~*"),"?","~?"),'DADOS_RESTRICOES'!$M$2:$Q$54,4,FALSE)=1),0))+IF($EI26="",0,IFERROR(N(VLOOKUP(SUBSTITUTE(SUBSTITUTE(SUBSTITUTE($EI26,"~","~~"),"*","~*"),"?","~?"),'DADOS_RESTRICOES'!$M$2:$Q$54,4,FALSE)=1),0))+IF($EJ26="",0,IFERROR(N(VLOOKUP(SUBSTITUTE(SUBSTITUTE(SUBSTITUTE($EJ26,"~","~~"),"*","~*"),"?","~?"),'DADOS_RESTRICOES'!$M$2:$Q$54,4,FALSE)=1),0))&gt;1,"Duas Restrições de frequência, contando a embutida",""),IF(AND(IFERROR(VLOOKUP(SUBSTITUTE(SUBSTITUTE(SUBSTITUTE(IFERROR(INDEX('DADOS_FORMAS'!$AS$2:$AS$21,MATCH(SUBSTITUTE(SUBSTITUTE(SUBSTITUTE($ED26,"~","~~"),"*","~*"),"?","~?"),'DADOS_FORMAS'!$AH$2:$AH$21,0)),""),"~","~~"),"*","~*"),"?","~?"),'DADOS_RESTRICOES'!$M$2:$Q$54,2,FALSE),"")="Tudo ou Nada",$FA26=0),"Tudo ou Nada exige TR",""),IF(AND(IFERROR(VLOOKUP(SUBSTITUTE(SUBSTITUTE(SUBSTITUTE(IFERROR(INDEX('DADOS_FORMAS'!$AS$2:$AS$21,MATCH(SUBSTITUTE(SUBSTITUTE(SUBSTITUTE($ED26,"~","~~"),"*","~*"),"?","~?"),'DADOS_FORMAS'!$AH$2:$AH$21,0)),""),"~","~~"),"*","~*"),"?","~?"),'DADOS_RESTRICOES'!$M$2:$Q$54,2,FALSE),"")="Corpo a Corpo",OR($LB26="Cone",$LB26="Linha")),"Corpo a Corpo não entra em Cone/Linha","")))</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inteira",IF(COUNTIF($LD26:$LF26,"Atrasar")&gt;0,IF(COUNTIF($LD26:$LF26,"Carregar")&gt;0,"Rodada +1 turno","Rodada inteira"),IF(COUNTIF($KW26:$KZ26,"Rápido")&gt;0,"Bônus",IF(COUNTIF($KW26:$KZ26,"Reação")&gt;0,"Reação","Padrão"))&amp;IF(COUNTIF($LD26:$LF26,"Carregar")&gt;0," +1 turno",""))))</f>
        <v/>
      </c>
      <c r="GT26" s="161">
        <f>IF(OR($EK26=0,$EL26=0),"",IF(COUNTIF($KW26:$KZ26,"Inescapável")&gt;0,"Automático",IF(COUNTIF($KW26:$KZ26,"Certeiro")&gt;0,"TR para metade",IF(AND($EX26&gt;0,$FA26=0,INDEX('DADOS_FORMAS'!$FQ$2:$FQ$21,$EL26)="Acerto"),"Acerto + TR",INDEX('DADOS_FORMAS'!$FQ$2:$FQ$21,$EL26)))))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IF($EL26=0,0,CHOOSE(1+INDEX('DADOS_FORMAS'!$FS$2:$FS$21,$EL26),0,$GV26,$GW26,$GV26+$GW26))</f>
        <v/>
      </c>
      <c r="GY26" s="161">
        <f>IF($EL26=0,0,CHOOSE(1+INDEX('DADOS_FORMAS'!$FT$2:$FT$21,$EL26),0,$GV26,$GW26,$GV26+$GW26))</f>
        <v/>
      </c>
      <c r="GZ26" s="161">
        <f>IF(OR($EK26=0,$EL26=0),"",INDEX('DADOS_FORMAS'!$GZ$2:$HE$61,($EL26-1)*3+IF($EB26&gt;=6,3,2),1+MIN(5,$GX26))&amp;INDEX('DADOS_FORMAS'!$HF$2:$HK$61,($EL26-1)*3+IF($EB26&gt;=6,3,2),1+MIN(5,$GY26))&amp;IF(INDEX('DADOS_FORMAS'!$FU$2:$FU$21,$EL26)=1,IF(COUNTIF($KW26:$KZ26,"Mais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c r="LB26">
        <f>IFERROR(INDEX('DADOS_FORMAS'!$BJ$2:$BJ$21,MATCH(SUBSTITUTE(SUBSTITUTE(SUBSTITUTE($ED26,"~","~~"),"*","~*"),"?","~?"),'DADOS_FORMAS'!$AH$2:$AH$21,0)),"")</f>
        <v/>
      </c>
      <c r="LC26">
        <f>IFERROR(VLOOKUP(SUBSTITUTE(SUBSTITUTE(SUBSTITUTE(IFERROR(INDEX('DADOS_FORMAS'!$AS$2:$AS$21,MATCH(SUBSTITUTE(SUBSTITUTE(SUBSTITUTE($ED26,"~","~~"),"*","~*"),"?","~?"),'DADOS_FORMAS'!$AH$2:$AH$21,0)),""),"~","~~"),"*","~*"),"?","~?"),'DADOS_RESTRICOES'!$M$2:$Q$54,2,FALSE),"")</f>
        <v/>
      </c>
      <c r="LD26">
        <f>$FD26</f>
        <v/>
      </c>
      <c r="LE26">
        <f>$FE26</f>
        <v/>
      </c>
      <c r="LF26">
        <f>$LC26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IFERROR(MATCH(SUBSTITUTE(SUBSTITUTE(SUBSTITUTE($ED27,"~","~~"),"*","~*"),"?","~?"),'DADOS_FORMAS'!$FJ$2:$FJ$21,0),0)</f>
        <v/>
      </c>
      <c r="EM27" s="161">
        <f>IF($EL27=0,0,INDEX('DADOS_FORMAS'!$FM$2:$FM$21,$EL27))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IF($EL27=0,0,INDEX('DADOS_FORMAS'!$FN$2:$FN$21,$EL27))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IF($EL27=0,0,INDEX('DADOS_FORMAS'!$FO$2:$FO$21,$EL27))</f>
        <v/>
      </c>
      <c r="EZ27" s="161">
        <f>IF($EL27=0,0,INDEX('DADOS_FORMAS'!$FP$2:$FP$21,$EL27))</f>
        <v/>
      </c>
      <c r="FA27" s="161">
        <f>IF($EL27=0,0,INDEX('DADOS_FORMAS'!$FR$2:$FR$21,$EL27))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IF(IFERROR(INDEX('DADOS_FORMAS'!$AS$2:$AS$21,MATCH(SUBSTITUTE(SUBSTITUTE(SUBSTITUTE($ED27,"~","~~"),"*","~*"),"?","~?"),'DADOS_FORMAS'!$AH$2:$AH$21,0)),"")="",0,IFERROR(N(VLOOKUP(SUBSTITUTE(SUBSTITUTE(SUBSTITUTE(IFERROR(INDEX('DADOS_FORMAS'!$AS$2:$AS$21,MATCH(SUBSTITUTE(SUBSTITUTE(SUBSTITUTE($ED27,"~","~~"),"*","~*"),"?","~?"),'DADOS_FORMAS'!$AH$2:$AH$21,0)),""),"~","~~"),"*","~*"),"?","~?"),'DADOS_RESTRICOES'!$M$2:$Q$54,3,FALSE)=1),0))</f>
        <v/>
      </c>
      <c r="FM27" s="161">
        <f>COUNTIF($FB27:$FC27,2)+IF(IFERROR(INDEX('DADOS_FORMAS'!$AS$2:$AS$21,MATCH(SUBSTITUTE(SUBSTITUTE(SUBSTITUTE($ED27,"~","~~"),"*","~*"),"?","~?"),'DADOS_FORMAS'!$AH$2:$AH$21,0)),"")="",0,IFERROR(N(VLOOKUP(SUBSTITUTE(SUBSTITUTE(SUBSTITUTE(IFERROR(INDEX('DADOS_FORMAS'!$AS$2:$AS$21,MATCH(SUBSTITUTE(SUBSTITUTE(SUBSTITUTE($ED27,"~","~~"),"*","~*"),"?","~?"),'DADOS_FORMAS'!$AH$2:$AH$21,0)),""),"~","~~"),"*","~*"),"?","~?"),'DADOS_RESTRICOES'!$M$2:$Q$54,3,FALSE)=2),0))</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Corpo")&gt;0,$EY27=0,OR($LB27="Cone",$LB27="Linha")),"Corpo a Corpo não entra em "&amp;$ED27,""),IF(AND(COUNTIF($FD27:$FE27,"Corpo a Corpo")&gt;0,$LC27="Corpo a Corpo"),"A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"&amp;$EJ27,""))),IF(AND($ED27&lt;&gt;"",COUNTIF('DADOS_FORMAS'!$AH$2:$AH$21,SUBSTITUTE(SUBSTITUTE(SUBSTITUTE($ED27,"~","~~"),"*","~*"),"?","~?"))=0),"Forma não cadastrada ou com erro: "&amp;$ED27,""),IF(AND(IFERROR(INDEX('DADOS_FORMAS'!$AS$2:$AS$21,MATCH(SUBSTITUTE(SUBSTITUTE(SUBSTITUTE($ED27,"~","~~"),"*","~*"),"?","~?"),'DADOS_FORMAS'!$AH$2:$AH$21,0)),"")&lt;&gt;"",OR(IFERROR(VLOOKUP(SUBSTITUTE(SUBSTITUTE(SUBSTITUTE(IFERROR(INDEX('DADOS_FORMAS'!$AS$2:$AS$21,MATCH(SUBSTITUTE(SUBSTITUTE(SUBSTITUTE($ED27,"~","~~"),"*","~*"),"?","~?"),'DADOS_FORMAS'!$AH$2:$AH$21,0)),""),"~","~~"),"*","~*"),"?","~?"),'DADOS_RESTRICOES'!$M$2:$Q$54,2,FALSE),"")=$FD27,IFERROR(VLOOKUP(SUBSTITUTE(SUBSTITUTE(SUBSTITUTE(IFERROR(INDEX('DADOS_FORMAS'!$AS$2:$AS$21,MATCH(SUBSTITUTE(SUBSTITUTE(SUBSTITUTE($ED27,"~","~~"),"*","~*"),"?","~?"),'DADOS_FORMAS'!$AH$2:$AH$21,0)),""),"~","~~"),"*","~*"),"?","~?"),'DADOS_RESTRICOES'!$M$2:$Q$54,2,FALSE),"")=$FE27)),"Restrição repetida, contando a embutida",""),IF(IF(IFERROR(INDEX('DADOS_FORMAS'!$AS$2:$AS$21,MATCH(SUBSTITUTE(SUBSTITUTE(SUBSTITUTE($ED27,"~","~~"),"*","~*"),"?","~?"),'DADOS_FORMAS'!$AH$2:$AH$21,0)),"")="",0,IFERROR(N(VLOOKUP(SUBSTITUTE(SUBSTITUTE(SUBSTITUTE(IFERROR(INDEX('DADOS_FORMAS'!$AS$2:$AS$21,MATCH(SUBSTITUTE(SUBSTITUTE(SUBSTITUTE($ED27,"~","~~"),"*","~*"),"?","~?"),'DADOS_FORMAS'!$AH$2:$AH$21,0)),""),"~","~~"),"*","~*"),"?","~?"),'DADOS_RESTRICOES'!$M$2:$Q$54,4,FALSE)=1),0))+IF($EI27="",0,IFERROR(N(VLOOKUP(SUBSTITUTE(SUBSTITUTE(SUBSTITUTE($EI27,"~","~~"),"*","~*"),"?","~?"),'DADOS_RESTRICOES'!$M$2:$Q$54,4,FALSE)=1),0))+IF($EJ27="",0,IFERROR(N(VLOOKUP(SUBSTITUTE(SUBSTITUTE(SUBSTITUTE($EJ27,"~","~~"),"*","~*"),"?","~?"),'DADOS_RESTRICOES'!$M$2:$Q$54,4,FALSE)=1),0))&gt;1,"Duas Restrições de frequência, contando a embutida",""),IF(AND(IFERROR(VLOOKUP(SUBSTITUTE(SUBSTITUTE(SUBSTITUTE(IFERROR(INDEX('DADOS_FORMAS'!$AS$2:$AS$21,MATCH(SUBSTITUTE(SUBSTITUTE(SUBSTITUTE($ED27,"~","~~"),"*","~*"),"?","~?"),'DADOS_FORMAS'!$AH$2:$AH$21,0)),""),"~","~~"),"*","~*"),"?","~?"),'DADOS_RESTRICOES'!$M$2:$Q$54,2,FALSE),"")="Tudo ou Nada",$FA27=0),"Tudo ou Nada exige TR",""),IF(AND(IFERROR(VLOOKUP(SUBSTITUTE(SUBSTITUTE(SUBSTITUTE(IFERROR(INDEX('DADOS_FORMAS'!$AS$2:$AS$21,MATCH(SUBSTITUTE(SUBSTITUTE(SUBSTITUTE($ED27,"~","~~"),"*","~*"),"?","~?"),'DADOS_FORMAS'!$AH$2:$AH$21,0)),""),"~","~~"),"*","~*"),"?","~?"),'DADOS_RESTRICOES'!$M$2:$Q$54,2,FALSE),"")="Corpo a Corpo",OR($LB27="Cone",$LB27="Linha")),"Corpo a Corpo não entra em Cone/Linha","")))</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inteira",IF(COUNTIF($LD27:$LF27,"Atrasar")&gt;0,IF(COUNTIF($LD27:$LF27,"Carregar")&gt;0,"Rodada +1 turno","Rodada inteira"),IF(COUNTIF($KW27:$KZ27,"Rápido")&gt;0,"Bônus",IF(COUNTIF($KW27:$KZ27,"Reação")&gt;0,"Reação","Padrão"))&amp;IF(COUNTIF($LD27:$LF27,"Carregar")&gt;0," +1 turno",""))))</f>
        <v/>
      </c>
      <c r="GT27" s="161">
        <f>IF(OR($EK27=0,$EL27=0),"",IF(COUNTIF($KW27:$KZ27,"Inescapável")&gt;0,"Automático",IF(COUNTIF($KW27:$KZ27,"Certeiro")&gt;0,"TR para metade",IF(AND($EX27&gt;0,$FA27=0,INDEX('DADOS_FORMAS'!$FQ$2:$FQ$21,$EL27)="Acerto"),"Acerto + TR",INDEX('DADOS_FORMAS'!$FQ$2:$FQ$21,$EL27)))))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IF($EL27=0,0,CHOOSE(1+INDEX('DADOS_FORMAS'!$FS$2:$FS$21,$EL27),0,$GV27,$GW27,$GV27+$GW27))</f>
        <v/>
      </c>
      <c r="GY27" s="161">
        <f>IF($EL27=0,0,CHOOSE(1+INDEX('DADOS_FORMAS'!$FT$2:$FT$21,$EL27),0,$GV27,$GW27,$GV27+$GW27))</f>
        <v/>
      </c>
      <c r="GZ27" s="161">
        <f>IF(OR($EK27=0,$EL27=0),"",INDEX('DADOS_FORMAS'!$GZ$2:$HE$61,($EL27-1)*3+IF($EB27&gt;=6,3,2),1+MIN(5,$GX27))&amp;INDEX('DADOS_FORMAS'!$HF$2:$HK$61,($EL27-1)*3+IF($EB27&gt;=6,3,2),1+MIN(5,$GY27))&amp;IF(INDEX('DADOS_FORMAS'!$FU$2:$FU$21,$EL27)=1,IF(COUNTIF($KW27:$KZ27,"Mais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c r="LB27">
        <f>IFERROR(INDEX('DADOS_FORMAS'!$BJ$2:$BJ$21,MATCH(SUBSTITUTE(SUBSTITUTE(SUBSTITUTE($ED27,"~","~~"),"*","~*"),"?","~?"),'DADOS_FORMAS'!$AH$2:$AH$21,0)),"")</f>
        <v/>
      </c>
      <c r="LC27">
        <f>IFERROR(VLOOKUP(SUBSTITUTE(SUBSTITUTE(SUBSTITUTE(IFERROR(INDEX('DADOS_FORMAS'!$AS$2:$AS$21,MATCH(SUBSTITUTE(SUBSTITUTE(SUBSTITUTE($ED27,"~","~~"),"*","~*"),"?","~?"),'DADOS_FORMAS'!$AH$2:$AH$21,0)),""),"~","~~"),"*","~*"),"?","~?"),'DADOS_RESTRICOES'!$M$2:$Q$54,2,FALSE),"")</f>
        <v/>
      </c>
      <c r="LD27">
        <f>$FD27</f>
        <v/>
      </c>
      <c r="LE27">
        <f>$FE27</f>
        <v/>
      </c>
      <c r="LF27">
        <f>$LC27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IFERROR(MATCH(SUBSTITUTE(SUBSTITUTE(SUBSTITUTE($ED28,"~","~~"),"*","~*"),"?","~?"),'DADOS_FORMAS'!$FJ$2:$FJ$21,0),0)</f>
        <v/>
      </c>
      <c r="EM28" s="161">
        <f>IF($EL28=0,0,INDEX('DADOS_FORMAS'!$FM$2:$FM$21,$EL28))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IF($EL28=0,0,INDEX('DADOS_FORMAS'!$FN$2:$FN$21,$EL28))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IF($EL28=0,0,INDEX('DADOS_FORMAS'!$FO$2:$FO$21,$EL28))</f>
        <v/>
      </c>
      <c r="EZ28" s="161">
        <f>IF($EL28=0,0,INDEX('DADOS_FORMAS'!$FP$2:$FP$21,$EL28))</f>
        <v/>
      </c>
      <c r="FA28" s="161">
        <f>IF($EL28=0,0,INDEX('DADOS_FORMAS'!$FR$2:$FR$21,$EL28))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IF(IFERROR(INDEX('DADOS_FORMAS'!$AS$2:$AS$21,MATCH(SUBSTITUTE(SUBSTITUTE(SUBSTITUTE($ED28,"~","~~"),"*","~*"),"?","~?"),'DADOS_FORMAS'!$AH$2:$AH$21,0)),"")="",0,IFERROR(N(VLOOKUP(SUBSTITUTE(SUBSTITUTE(SUBSTITUTE(IFERROR(INDEX('DADOS_FORMAS'!$AS$2:$AS$21,MATCH(SUBSTITUTE(SUBSTITUTE(SUBSTITUTE($ED28,"~","~~"),"*","~*"),"?","~?"),'DADOS_FORMAS'!$AH$2:$AH$21,0)),""),"~","~~"),"*","~*"),"?","~?"),'DADOS_RESTRICOES'!$M$2:$Q$54,3,FALSE)=1),0))</f>
        <v/>
      </c>
      <c r="FM28" s="161">
        <f>COUNTIF($FB28:$FC28,2)+IF(IFERROR(INDEX('DADOS_FORMAS'!$AS$2:$AS$21,MATCH(SUBSTITUTE(SUBSTITUTE(SUBSTITUTE($ED28,"~","~~"),"*","~*"),"?","~?"),'DADOS_FORMAS'!$AH$2:$AH$21,0)),"")="",0,IFERROR(N(VLOOKUP(SUBSTITUTE(SUBSTITUTE(SUBSTITUTE(IFERROR(INDEX('DADOS_FORMAS'!$AS$2:$AS$21,MATCH(SUBSTITUTE(SUBSTITUTE(SUBSTITUTE($ED28,"~","~~"),"*","~*"),"?","~?"),'DADOS_FORMAS'!$AH$2:$AH$21,0)),""),"~","~~"),"*","~*"),"?","~?"),'DADOS_RESTRICOES'!$M$2:$Q$54,3,FALSE)=2),0))</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Corpo")&gt;0,$EY28=0,OR($LB28="Cone",$LB28="Linha")),"Corpo a Corpo não entra em "&amp;$ED28,""),IF(AND(COUNTIF($FD28:$FE28,"Corpo a Corpo")&gt;0,$LC28="Corpo a Corpo"),"A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"&amp;$EJ28,""))),IF(AND($ED28&lt;&gt;"",COUNTIF('DADOS_FORMAS'!$AH$2:$AH$21,SUBSTITUTE(SUBSTITUTE(SUBSTITUTE($ED28,"~","~~"),"*","~*"),"?","~?"))=0),"Forma não cadastrada ou com erro: "&amp;$ED28,""),IF(AND(IFERROR(INDEX('DADOS_FORMAS'!$AS$2:$AS$21,MATCH(SUBSTITUTE(SUBSTITUTE(SUBSTITUTE($ED28,"~","~~"),"*","~*"),"?","~?"),'DADOS_FORMAS'!$AH$2:$AH$21,0)),"")&lt;&gt;"",OR(IFERROR(VLOOKUP(SUBSTITUTE(SUBSTITUTE(SUBSTITUTE(IFERROR(INDEX('DADOS_FORMAS'!$AS$2:$AS$21,MATCH(SUBSTITUTE(SUBSTITUTE(SUBSTITUTE($ED28,"~","~~"),"*","~*"),"?","~?"),'DADOS_FORMAS'!$AH$2:$AH$21,0)),""),"~","~~"),"*","~*"),"?","~?"),'DADOS_RESTRICOES'!$M$2:$Q$54,2,FALSE),"")=$FD28,IFERROR(VLOOKUP(SUBSTITUTE(SUBSTITUTE(SUBSTITUTE(IFERROR(INDEX('DADOS_FORMAS'!$AS$2:$AS$21,MATCH(SUBSTITUTE(SUBSTITUTE(SUBSTITUTE($ED28,"~","~~"),"*","~*"),"?","~?"),'DADOS_FORMAS'!$AH$2:$AH$21,0)),""),"~","~~"),"*","~*"),"?","~?"),'DADOS_RESTRICOES'!$M$2:$Q$54,2,FALSE),"")=$FE28)),"Restrição repetida, contando a embutida",""),IF(IF(IFERROR(INDEX('DADOS_FORMAS'!$AS$2:$AS$21,MATCH(SUBSTITUTE(SUBSTITUTE(SUBSTITUTE($ED28,"~","~~"),"*","~*"),"?","~?"),'DADOS_FORMAS'!$AH$2:$AH$21,0)),"")="",0,IFERROR(N(VLOOKUP(SUBSTITUTE(SUBSTITUTE(SUBSTITUTE(IFERROR(INDEX('DADOS_FORMAS'!$AS$2:$AS$21,MATCH(SUBSTITUTE(SUBSTITUTE(SUBSTITUTE($ED28,"~","~~"),"*","~*"),"?","~?"),'DADOS_FORMAS'!$AH$2:$AH$21,0)),""),"~","~~"),"*","~*"),"?","~?"),'DADOS_RESTRICOES'!$M$2:$Q$54,4,FALSE)=1),0))+IF($EI28="",0,IFERROR(N(VLOOKUP(SUBSTITUTE(SUBSTITUTE(SUBSTITUTE($EI28,"~","~~"),"*","~*"),"?","~?"),'DADOS_RESTRICOES'!$M$2:$Q$54,4,FALSE)=1),0))+IF($EJ28="",0,IFERROR(N(VLOOKUP(SUBSTITUTE(SUBSTITUTE(SUBSTITUTE($EJ28,"~","~~"),"*","~*"),"?","~?"),'DADOS_RESTRICOES'!$M$2:$Q$54,4,FALSE)=1),0))&gt;1,"Duas Restrições de frequência, contando a embutida",""),IF(AND(IFERROR(VLOOKUP(SUBSTITUTE(SUBSTITUTE(SUBSTITUTE(IFERROR(INDEX('DADOS_FORMAS'!$AS$2:$AS$21,MATCH(SUBSTITUTE(SUBSTITUTE(SUBSTITUTE($ED28,"~","~~"),"*","~*"),"?","~?"),'DADOS_FORMAS'!$AH$2:$AH$21,0)),""),"~","~~"),"*","~*"),"?","~?"),'DADOS_RESTRICOES'!$M$2:$Q$54,2,FALSE),"")="Tudo ou Nada",$FA28=0),"Tudo ou Nada exige TR",""),IF(AND(IFERROR(VLOOKUP(SUBSTITUTE(SUBSTITUTE(SUBSTITUTE(IFERROR(INDEX('DADOS_FORMAS'!$AS$2:$AS$21,MATCH(SUBSTITUTE(SUBSTITUTE(SUBSTITUTE($ED28,"~","~~"),"*","~*"),"?","~?"),'DADOS_FORMAS'!$AH$2:$AH$21,0)),""),"~","~~"),"*","~*"),"?","~?"),'DADOS_RESTRICOES'!$M$2:$Q$54,2,FALSE),"")="Corpo a Corpo",OR($LB28="Cone",$LB28="Linha")),"Corpo a Corpo não entra em Cone/Linha","")))</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inteira",IF(COUNTIF($LD28:$LF28,"Atrasar")&gt;0,IF(COUNTIF($LD28:$LF28,"Carregar")&gt;0,"Rodada +1 turno","Rodada inteira"),IF(COUNTIF($KW28:$KZ28,"Rápido")&gt;0,"Bônus",IF(COUNTIF($KW28:$KZ28,"Reação")&gt;0,"Reação","Padrão"))&amp;IF(COUNTIF($LD28:$LF28,"Carregar")&gt;0," +1 turno",""))))</f>
        <v/>
      </c>
      <c r="GT28" s="161">
        <f>IF(OR($EK28=0,$EL28=0),"",IF(COUNTIF($KW28:$KZ28,"Inescapável")&gt;0,"Automático",IF(COUNTIF($KW28:$KZ28,"Certeiro")&gt;0,"TR para metade",IF(AND($EX28&gt;0,$FA28=0,INDEX('DADOS_FORMAS'!$FQ$2:$FQ$21,$EL28)="Acerto"),"Acerto + TR",INDEX('DADOS_FORMAS'!$FQ$2:$FQ$21,$EL28)))))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IF($EL28=0,0,CHOOSE(1+INDEX('DADOS_FORMAS'!$FS$2:$FS$21,$EL28),0,$GV28,$GW28,$GV28+$GW28))</f>
        <v/>
      </c>
      <c r="GY28" s="161">
        <f>IF($EL28=0,0,CHOOSE(1+INDEX('DADOS_FORMAS'!$FT$2:$FT$21,$EL28),0,$GV28,$GW28,$GV28+$GW28))</f>
        <v/>
      </c>
      <c r="GZ28" s="161">
        <f>IF(OR($EK28=0,$EL28=0),"",INDEX('DADOS_FORMAS'!$GZ$2:$HE$61,($EL28-1)*3+IF($EB28&gt;=6,3,2),1+MIN(5,$GX28))&amp;INDEX('DADOS_FORMAS'!$HF$2:$HK$61,($EL28-1)*3+IF($EB28&gt;=6,3,2),1+MIN(5,$GY28))&amp;IF(INDEX('DADOS_FORMAS'!$FU$2:$FU$21,$EL28)=1,IF(COUNTIF($KW28:$KZ28,"Mais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c r="LB28">
        <f>IFERROR(INDEX('DADOS_FORMAS'!$BJ$2:$BJ$21,MATCH(SUBSTITUTE(SUBSTITUTE(SUBSTITUTE($ED28,"~","~~"),"*","~*"),"?","~?"),'DADOS_FORMAS'!$AH$2:$AH$21,0)),"")</f>
        <v/>
      </c>
      <c r="LC28">
        <f>IFERROR(VLOOKUP(SUBSTITUTE(SUBSTITUTE(SUBSTITUTE(IFERROR(INDEX('DADOS_FORMAS'!$AS$2:$AS$21,MATCH(SUBSTITUTE(SUBSTITUTE(SUBSTITUTE($ED28,"~","~~"),"*","~*"),"?","~?"),'DADOS_FORMAS'!$AH$2:$AH$21,0)),""),"~","~~"),"*","~*"),"?","~?"),'DADOS_RESTRICOES'!$M$2:$Q$54,2,FALSE),"")</f>
        <v/>
      </c>
      <c r="LD28">
        <f>$FD28</f>
        <v/>
      </c>
      <c r="LE28">
        <f>$FE28</f>
        <v/>
      </c>
      <c r="LF28">
        <f>$LC28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IFERROR(MATCH(SUBSTITUTE(SUBSTITUTE(SUBSTITUTE($ED29,"~","~~"),"*","~*"),"?","~?"),'DADOS_FORMAS'!$FJ$2:$FJ$21,0),0)</f>
        <v/>
      </c>
      <c r="EM29" s="161">
        <f>IF($EL29=0,0,INDEX('DADOS_FORMAS'!$FM$2:$FM$21,$EL29))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IF($EL29=0,0,INDEX('DADOS_FORMAS'!$FN$2:$FN$21,$EL29))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IF($EL29=0,0,INDEX('DADOS_FORMAS'!$FO$2:$FO$21,$EL29))</f>
        <v/>
      </c>
      <c r="EZ29" s="161">
        <f>IF($EL29=0,0,INDEX('DADOS_FORMAS'!$FP$2:$FP$21,$EL29))</f>
        <v/>
      </c>
      <c r="FA29" s="161">
        <f>IF($EL29=0,0,INDEX('DADOS_FORMAS'!$FR$2:$FR$21,$EL29))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IF(IFERROR(INDEX('DADOS_FORMAS'!$AS$2:$AS$21,MATCH(SUBSTITUTE(SUBSTITUTE(SUBSTITUTE($ED29,"~","~~"),"*","~*"),"?","~?"),'DADOS_FORMAS'!$AH$2:$AH$21,0)),"")="",0,IFERROR(N(VLOOKUP(SUBSTITUTE(SUBSTITUTE(SUBSTITUTE(IFERROR(INDEX('DADOS_FORMAS'!$AS$2:$AS$21,MATCH(SUBSTITUTE(SUBSTITUTE(SUBSTITUTE($ED29,"~","~~"),"*","~*"),"?","~?"),'DADOS_FORMAS'!$AH$2:$AH$21,0)),""),"~","~~"),"*","~*"),"?","~?"),'DADOS_RESTRICOES'!$M$2:$Q$54,3,FALSE)=1),0))</f>
        <v/>
      </c>
      <c r="FM29" s="161">
        <f>COUNTIF($FB29:$FC29,2)+IF(IFERROR(INDEX('DADOS_FORMAS'!$AS$2:$AS$21,MATCH(SUBSTITUTE(SUBSTITUTE(SUBSTITUTE($ED29,"~","~~"),"*","~*"),"?","~?"),'DADOS_FORMAS'!$AH$2:$AH$21,0)),"")="",0,IFERROR(N(VLOOKUP(SUBSTITUTE(SUBSTITUTE(SUBSTITUTE(IFERROR(INDEX('DADOS_FORMAS'!$AS$2:$AS$21,MATCH(SUBSTITUTE(SUBSTITUTE(SUBSTITUTE($ED29,"~","~~"),"*","~*"),"?","~?"),'DADOS_FORMAS'!$AH$2:$AH$21,0)),""),"~","~~"),"*","~*"),"?","~?"),'DADOS_RESTRICOES'!$M$2:$Q$54,3,FALSE)=2),0))</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Corpo")&gt;0,$EY29=0,OR($LB29="Cone",$LB29="Linha")),"Corpo a Corpo não entra em "&amp;$ED29,""),IF(AND(COUNTIF($FD29:$FE29,"Corpo a Corpo")&gt;0,$LC29="Corpo a Corpo"),"A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"&amp;$EJ29,""))),IF(AND($ED29&lt;&gt;"",COUNTIF('DADOS_FORMAS'!$AH$2:$AH$21,SUBSTITUTE(SUBSTITUTE(SUBSTITUTE($ED29,"~","~~"),"*","~*"),"?","~?"))=0),"Forma não cadastrada ou com erro: "&amp;$ED29,""),IF(AND(IFERROR(INDEX('DADOS_FORMAS'!$AS$2:$AS$21,MATCH(SUBSTITUTE(SUBSTITUTE(SUBSTITUTE($ED29,"~","~~"),"*","~*"),"?","~?"),'DADOS_FORMAS'!$AH$2:$AH$21,0)),"")&lt;&gt;"",OR(IFERROR(VLOOKUP(SUBSTITUTE(SUBSTITUTE(SUBSTITUTE(IFERROR(INDEX('DADOS_FORMAS'!$AS$2:$AS$21,MATCH(SUBSTITUTE(SUBSTITUTE(SUBSTITUTE($ED29,"~","~~"),"*","~*"),"?","~?"),'DADOS_FORMAS'!$AH$2:$AH$21,0)),""),"~","~~"),"*","~*"),"?","~?"),'DADOS_RESTRICOES'!$M$2:$Q$54,2,FALSE),"")=$FD29,IFERROR(VLOOKUP(SUBSTITUTE(SUBSTITUTE(SUBSTITUTE(IFERROR(INDEX('DADOS_FORMAS'!$AS$2:$AS$21,MATCH(SUBSTITUTE(SUBSTITUTE(SUBSTITUTE($ED29,"~","~~"),"*","~*"),"?","~?"),'DADOS_FORMAS'!$AH$2:$AH$21,0)),""),"~","~~"),"*","~*"),"?","~?"),'DADOS_RESTRICOES'!$M$2:$Q$54,2,FALSE),"")=$FE29)),"Restrição repetida, contando a embutida",""),IF(IF(IFERROR(INDEX('DADOS_FORMAS'!$AS$2:$AS$21,MATCH(SUBSTITUTE(SUBSTITUTE(SUBSTITUTE($ED29,"~","~~"),"*","~*"),"?","~?"),'DADOS_FORMAS'!$AH$2:$AH$21,0)),"")="",0,IFERROR(N(VLOOKUP(SUBSTITUTE(SUBSTITUTE(SUBSTITUTE(IFERROR(INDEX('DADOS_FORMAS'!$AS$2:$AS$21,MATCH(SUBSTITUTE(SUBSTITUTE(SUBSTITUTE($ED29,"~","~~"),"*","~*"),"?","~?"),'DADOS_FORMAS'!$AH$2:$AH$21,0)),""),"~","~~"),"*","~*"),"?","~?"),'DADOS_RESTRICOES'!$M$2:$Q$54,4,FALSE)=1),0))+IF($EI29="",0,IFERROR(N(VLOOKUP(SUBSTITUTE(SUBSTITUTE(SUBSTITUTE($EI29,"~","~~"),"*","~*"),"?","~?"),'DADOS_RESTRICOES'!$M$2:$Q$54,4,FALSE)=1),0))+IF($EJ29="",0,IFERROR(N(VLOOKUP(SUBSTITUTE(SUBSTITUTE(SUBSTITUTE($EJ29,"~","~~"),"*","~*"),"?","~?"),'DADOS_RESTRICOES'!$M$2:$Q$54,4,FALSE)=1),0))&gt;1,"Duas Restrições de frequência, contando a embutida",""),IF(AND(IFERROR(VLOOKUP(SUBSTITUTE(SUBSTITUTE(SUBSTITUTE(IFERROR(INDEX('DADOS_FORMAS'!$AS$2:$AS$21,MATCH(SUBSTITUTE(SUBSTITUTE(SUBSTITUTE($ED29,"~","~~"),"*","~*"),"?","~?"),'DADOS_FORMAS'!$AH$2:$AH$21,0)),""),"~","~~"),"*","~*"),"?","~?"),'DADOS_RESTRICOES'!$M$2:$Q$54,2,FALSE),"")="Tudo ou Nada",$FA29=0),"Tudo ou Nada exige TR",""),IF(AND(IFERROR(VLOOKUP(SUBSTITUTE(SUBSTITUTE(SUBSTITUTE(IFERROR(INDEX('DADOS_FORMAS'!$AS$2:$AS$21,MATCH(SUBSTITUTE(SUBSTITUTE(SUBSTITUTE($ED29,"~","~~"),"*","~*"),"?","~?"),'DADOS_FORMAS'!$AH$2:$AH$21,0)),""),"~","~~"),"*","~*"),"?","~?"),'DADOS_RESTRICOES'!$M$2:$Q$54,2,FALSE),"")="Corpo a Corpo",OR($LB29="Cone",$LB29="Linha")),"Corpo a Corpo não entra em Cone/Linha","")))</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inteira",IF(COUNTIF($LD29:$LF29,"Atrasar")&gt;0,IF(COUNTIF($LD29:$LF29,"Carregar")&gt;0,"Rodada +1 turno","Rodada inteira"),IF(COUNTIF($KW29:$KZ29,"Rápido")&gt;0,"Bônus",IF(COUNTIF($KW29:$KZ29,"Reação")&gt;0,"Reação","Padrão"))&amp;IF(COUNTIF($LD29:$LF29,"Carregar")&gt;0," +1 turno",""))))</f>
        <v/>
      </c>
      <c r="GT29" s="161">
        <f>IF(OR($EK29=0,$EL29=0),"",IF(COUNTIF($KW29:$KZ29,"Inescapável")&gt;0,"Automático",IF(COUNTIF($KW29:$KZ29,"Certeiro")&gt;0,"TR para metade",IF(AND($EX29&gt;0,$FA29=0,INDEX('DADOS_FORMAS'!$FQ$2:$FQ$21,$EL29)="Acerto"),"Acerto + TR",INDEX('DADOS_FORMAS'!$FQ$2:$FQ$21,$EL29)))))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IF($EL29=0,0,CHOOSE(1+INDEX('DADOS_FORMAS'!$FS$2:$FS$21,$EL29),0,$GV29,$GW29,$GV29+$GW29))</f>
        <v/>
      </c>
      <c r="GY29" s="161">
        <f>IF($EL29=0,0,CHOOSE(1+INDEX('DADOS_FORMAS'!$FT$2:$FT$21,$EL29),0,$GV29,$GW29,$GV29+$GW29))</f>
        <v/>
      </c>
      <c r="GZ29" s="161">
        <f>IF(OR($EK29=0,$EL29=0),"",INDEX('DADOS_FORMAS'!$GZ$2:$HE$61,($EL29-1)*3+IF($EB29&gt;=6,3,2),1+MIN(5,$GX29))&amp;INDEX('DADOS_FORMAS'!$HF$2:$HK$61,($EL29-1)*3+IF($EB29&gt;=6,3,2),1+MIN(5,$GY29))&amp;IF(INDEX('DADOS_FORMAS'!$FU$2:$FU$21,$EL29)=1,IF(COUNTIF($KW29:$KZ29,"Mais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c r="LB29">
        <f>IFERROR(INDEX('DADOS_FORMAS'!$BJ$2:$BJ$21,MATCH(SUBSTITUTE(SUBSTITUTE(SUBSTITUTE($ED29,"~","~~"),"*","~*"),"?","~?"),'DADOS_FORMAS'!$AH$2:$AH$21,0)),"")</f>
        <v/>
      </c>
      <c r="LC29">
        <f>IFERROR(VLOOKUP(SUBSTITUTE(SUBSTITUTE(SUBSTITUTE(IFERROR(INDEX('DADOS_FORMAS'!$AS$2:$AS$21,MATCH(SUBSTITUTE(SUBSTITUTE(SUBSTITUTE($ED29,"~","~~"),"*","~*"),"?","~?"),'DADOS_FORMAS'!$AH$2:$AH$21,0)),""),"~","~~"),"*","~*"),"?","~?"),'DADOS_RESTRICOES'!$M$2:$Q$54,2,FALSE),"")</f>
        <v/>
      </c>
      <c r="LD29">
        <f>$FD29</f>
        <v/>
      </c>
      <c r="LE29">
        <f>$FE29</f>
        <v/>
      </c>
      <c r="LF29">
        <f>$LC29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IFERROR(MATCH(SUBSTITUTE(SUBSTITUTE(SUBSTITUTE($ED30,"~","~~"),"*","~*"),"?","~?"),'DADOS_FORMAS'!$FJ$2:$FJ$21,0),0)</f>
        <v/>
      </c>
      <c r="EM30" s="161">
        <f>IF($EL30=0,0,INDEX('DADOS_FORMAS'!$FM$2:$FM$21,$EL30))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IF($EL30=0,0,INDEX('DADOS_FORMAS'!$FN$2:$FN$21,$EL30))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IF($EL30=0,0,INDEX('DADOS_FORMAS'!$FO$2:$FO$21,$EL30))</f>
        <v/>
      </c>
      <c r="EZ30" s="161">
        <f>IF($EL30=0,0,INDEX('DADOS_FORMAS'!$FP$2:$FP$21,$EL30))</f>
        <v/>
      </c>
      <c r="FA30" s="161">
        <f>IF($EL30=0,0,INDEX('DADOS_FORMAS'!$FR$2:$FR$21,$EL30))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IF(IFERROR(INDEX('DADOS_FORMAS'!$AS$2:$AS$21,MATCH(SUBSTITUTE(SUBSTITUTE(SUBSTITUTE($ED30,"~","~~"),"*","~*"),"?","~?"),'DADOS_FORMAS'!$AH$2:$AH$21,0)),"")="",0,IFERROR(N(VLOOKUP(SUBSTITUTE(SUBSTITUTE(SUBSTITUTE(IFERROR(INDEX('DADOS_FORMAS'!$AS$2:$AS$21,MATCH(SUBSTITUTE(SUBSTITUTE(SUBSTITUTE($ED30,"~","~~"),"*","~*"),"?","~?"),'DADOS_FORMAS'!$AH$2:$AH$21,0)),""),"~","~~"),"*","~*"),"?","~?"),'DADOS_RESTRICOES'!$M$2:$Q$54,3,FALSE)=1),0))</f>
        <v/>
      </c>
      <c r="FM30" s="161">
        <f>COUNTIF($FB30:$FC30,2)+IF(IFERROR(INDEX('DADOS_FORMAS'!$AS$2:$AS$21,MATCH(SUBSTITUTE(SUBSTITUTE(SUBSTITUTE($ED30,"~","~~"),"*","~*"),"?","~?"),'DADOS_FORMAS'!$AH$2:$AH$21,0)),"")="",0,IFERROR(N(VLOOKUP(SUBSTITUTE(SUBSTITUTE(SUBSTITUTE(IFERROR(INDEX('DADOS_FORMAS'!$AS$2:$AS$21,MATCH(SUBSTITUTE(SUBSTITUTE(SUBSTITUTE($ED30,"~","~~"),"*","~*"),"?","~?"),'DADOS_FORMAS'!$AH$2:$AH$21,0)),""),"~","~~"),"*","~*"),"?","~?"),'DADOS_RESTRICOES'!$M$2:$Q$54,3,FALSE)=2),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Corpo")&gt;0,$EY30=0,OR($LB30="Cone",$LB30="Linha")),"Corpo a Corpo não entra em "&amp;$ED30,""),IF(AND(COUNTIF($FD30:$FE30,"Corpo a Corpo")&gt;0,$LC30="Corpo a Corpo"),"A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"&amp;$EJ30,""))),IF(AND($ED30&lt;&gt;"",COUNTIF('DADOS_FORMAS'!$AH$2:$AH$21,SUBSTITUTE(SUBSTITUTE(SUBSTITUTE($ED30,"~","~~"),"*","~*"),"?","~?"))=0),"Forma não cadastrada ou com erro: "&amp;$ED30,""),IF(AND(IFERROR(INDEX('DADOS_FORMAS'!$AS$2:$AS$21,MATCH(SUBSTITUTE(SUBSTITUTE(SUBSTITUTE($ED30,"~","~~"),"*","~*"),"?","~?"),'DADOS_FORMAS'!$AH$2:$AH$21,0)),"")&lt;&gt;"",OR(IFERROR(VLOOKUP(SUBSTITUTE(SUBSTITUTE(SUBSTITUTE(IFERROR(INDEX('DADOS_FORMAS'!$AS$2:$AS$21,MATCH(SUBSTITUTE(SUBSTITUTE(SUBSTITUTE($ED30,"~","~~"),"*","~*"),"?","~?"),'DADOS_FORMAS'!$AH$2:$AH$21,0)),""),"~","~~"),"*","~*"),"?","~?"),'DADOS_RESTRICOES'!$M$2:$Q$54,2,FALSE),"")=$FD30,IFERROR(VLOOKUP(SUBSTITUTE(SUBSTITUTE(SUBSTITUTE(IFERROR(INDEX('DADOS_FORMAS'!$AS$2:$AS$21,MATCH(SUBSTITUTE(SUBSTITUTE(SUBSTITUTE($ED30,"~","~~"),"*","~*"),"?","~?"),'DADOS_FORMAS'!$AH$2:$AH$21,0)),""),"~","~~"),"*","~*"),"?","~?"),'DADOS_RESTRICOES'!$M$2:$Q$54,2,FALSE),"")=$FE30)),"Restrição repetida, contando a embutida",""),IF(IF(IFERROR(INDEX('DADOS_FORMAS'!$AS$2:$AS$21,MATCH(SUBSTITUTE(SUBSTITUTE(SUBSTITUTE($ED30,"~","~~"),"*","~*"),"?","~?"),'DADOS_FORMAS'!$AH$2:$AH$21,0)),"")="",0,IFERROR(N(VLOOKUP(SUBSTITUTE(SUBSTITUTE(SUBSTITUTE(IFERROR(INDEX('DADOS_FORMAS'!$AS$2:$AS$21,MATCH(SUBSTITUTE(SUBSTITUTE(SUBSTITUTE($ED30,"~","~~"),"*","~*"),"?","~?"),'DADOS_FORMAS'!$AH$2:$AH$21,0)),""),"~","~~"),"*","~*"),"?","~?"),'DADOS_RESTRICOES'!$M$2:$Q$54,4,FALSE)=1),0))+IF($EI30="",0,IFERROR(N(VLOOKUP(SUBSTITUTE(SUBSTITUTE(SUBSTITUTE($EI30,"~","~~"),"*","~*"),"?","~?"),'DADOS_RESTRICOES'!$M$2:$Q$54,4,FALSE)=1),0))+IF($EJ30="",0,IFERROR(N(VLOOKUP(SUBSTITUTE(SUBSTITUTE(SUBSTITUTE($EJ30,"~","~~"),"*","~*"),"?","~?"),'DADOS_RESTRICOES'!$M$2:$Q$54,4,FALSE)=1),0))&gt;1,"Duas Restrições de frequência, contando a embutida",""),IF(AND(IFERROR(VLOOKUP(SUBSTITUTE(SUBSTITUTE(SUBSTITUTE(IFERROR(INDEX('DADOS_FORMAS'!$AS$2:$AS$21,MATCH(SUBSTITUTE(SUBSTITUTE(SUBSTITUTE($ED30,"~","~~"),"*","~*"),"?","~?"),'DADOS_FORMAS'!$AH$2:$AH$21,0)),""),"~","~~"),"*","~*"),"?","~?"),'DADOS_RESTRICOES'!$M$2:$Q$54,2,FALSE),"")="Tudo ou Nada",$FA30=0),"Tudo ou Nada exige TR",""),IF(AND(IFERROR(VLOOKUP(SUBSTITUTE(SUBSTITUTE(SUBSTITUTE(IFERROR(INDEX('DADOS_FORMAS'!$AS$2:$AS$21,MATCH(SUBSTITUTE(SUBSTITUTE(SUBSTITUTE($ED30,"~","~~"),"*","~*"),"?","~?"),'DADOS_FORMAS'!$AH$2:$AH$21,0)),""),"~","~~"),"*","~*"),"?","~?"),'DADOS_RESTRICOES'!$M$2:$Q$54,2,FALSE),"")="Corpo a Corpo",OR($LB30="Cone",$LB30="Linha")),"Corpo a Corpo não entra em Cone/Linha","")))</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inteira",IF(COUNTIF($LD30:$LF30,"Atrasar")&gt;0,IF(COUNTIF($LD30:$LF30,"Carregar")&gt;0,"Rodada +1 turno","Rodada inteira"),IF(COUNTIF($KW30:$KZ30,"Rápido")&gt;0,"Bônus",IF(COUNTIF($KW30:$KZ30,"Reação")&gt;0,"Reação","Padrão"))&amp;IF(COUNTIF($LD30:$LF30,"Carregar")&gt;0," +1 turno",""))))</f>
        <v/>
      </c>
      <c r="GT30" s="161">
        <f>IF(OR($EK30=0,$EL30=0),"",IF(COUNTIF($KW30:$KZ30,"Inescapável")&gt;0,"Automático",IF(COUNTIF($KW30:$KZ30,"Certeiro")&gt;0,"TR para metade",IF(AND($EX30&gt;0,$FA30=0,INDEX('DADOS_FORMAS'!$FQ$2:$FQ$21,$EL30)="Acerto"),"Acerto + TR",INDEX('DADOS_FORMAS'!$FQ$2:$FQ$21,$EL30)))))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IF($EL30=0,0,CHOOSE(1+INDEX('DADOS_FORMAS'!$FS$2:$FS$21,$EL30),0,$GV30,$GW30,$GV30+$GW30))</f>
        <v/>
      </c>
      <c r="GY30" s="161">
        <f>IF($EL30=0,0,CHOOSE(1+INDEX('DADOS_FORMAS'!$FT$2:$FT$21,$EL30),0,$GV30,$GW30,$GV30+$GW30))</f>
        <v/>
      </c>
      <c r="GZ30" s="161">
        <f>IF(OR($EK30=0,$EL30=0),"",INDEX('DADOS_FORMAS'!$GZ$2:$HE$61,($EL30-1)*3+IF($EB30&gt;=6,3,2),1+MIN(5,$GX30))&amp;INDEX('DADOS_FORMAS'!$HF$2:$HK$61,($EL30-1)*3+IF($EB30&gt;=6,3,2),1+MIN(5,$GY30))&amp;IF(INDEX('DADOS_FORMAS'!$FU$2:$FU$21,$EL30)=1,IF(COUNTIF($KW30:$KZ30,"Mais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c r="LB30">
        <f>IFERROR(INDEX('DADOS_FORMAS'!$BJ$2:$BJ$21,MATCH(SUBSTITUTE(SUBSTITUTE(SUBSTITUTE($ED30,"~","~~"),"*","~*"),"?","~?"),'DADOS_FORMAS'!$AH$2:$AH$21,0)),"")</f>
        <v/>
      </c>
      <c r="LC30">
        <f>IFERROR(VLOOKUP(SUBSTITUTE(SUBSTITUTE(SUBSTITUTE(IFERROR(INDEX('DADOS_FORMAS'!$AS$2:$AS$21,MATCH(SUBSTITUTE(SUBSTITUTE(SUBSTITUTE($ED30,"~","~~"),"*","~*"),"?","~?"),'DADOS_FORMAS'!$AH$2:$AH$21,0)),""),"~","~~"),"*","~*"),"?","~?"),'DADOS_RESTRICOES'!$M$2:$Q$54,2,FALSE),"")</f>
        <v/>
      </c>
      <c r="LD30">
        <f>$FD30</f>
        <v/>
      </c>
      <c r="LE30">
        <f>$FE30</f>
        <v/>
      </c>
      <c r="LF30">
        <f>$LC30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IFERROR(MATCH(SUBSTITUTE(SUBSTITUTE(SUBSTITUTE($ED31,"~","~~"),"*","~*"),"?","~?"),'DADOS_FORMAS'!$FJ$2:$FJ$21,0),0)</f>
        <v/>
      </c>
      <c r="EM31" s="161">
        <f>IF($EL31=0,0,INDEX('DADOS_FORMAS'!$FM$2:$FM$21,$EL31))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IF($EL31=0,0,INDEX('DADOS_FORMAS'!$FN$2:$FN$21,$EL31))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IF($EL31=0,0,INDEX('DADOS_FORMAS'!$FO$2:$FO$21,$EL31))</f>
        <v/>
      </c>
      <c r="EZ31" s="161">
        <f>IF($EL31=0,0,INDEX('DADOS_FORMAS'!$FP$2:$FP$21,$EL31))</f>
        <v/>
      </c>
      <c r="FA31" s="161">
        <f>IF($EL31=0,0,INDEX('DADOS_FORMAS'!$FR$2:$FR$21,$EL31))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IF(IFERROR(INDEX('DADOS_FORMAS'!$AS$2:$AS$21,MATCH(SUBSTITUTE(SUBSTITUTE(SUBSTITUTE($ED31,"~","~~"),"*","~*"),"?","~?"),'DADOS_FORMAS'!$AH$2:$AH$21,0)),"")="",0,IFERROR(N(VLOOKUP(SUBSTITUTE(SUBSTITUTE(SUBSTITUTE(IFERROR(INDEX('DADOS_FORMAS'!$AS$2:$AS$21,MATCH(SUBSTITUTE(SUBSTITUTE(SUBSTITUTE($ED31,"~","~~"),"*","~*"),"?","~?"),'DADOS_FORMAS'!$AH$2:$AH$21,0)),""),"~","~~"),"*","~*"),"?","~?"),'DADOS_RESTRICOES'!$M$2:$Q$54,3,FALSE)=1),0))</f>
        <v/>
      </c>
      <c r="FM31" s="161">
        <f>COUNTIF($FB31:$FC31,2)+IF(IFERROR(INDEX('DADOS_FORMAS'!$AS$2:$AS$21,MATCH(SUBSTITUTE(SUBSTITUTE(SUBSTITUTE($ED31,"~","~~"),"*","~*"),"?","~?"),'DADOS_FORMAS'!$AH$2:$AH$21,0)),"")="",0,IFERROR(N(VLOOKUP(SUBSTITUTE(SUBSTITUTE(SUBSTITUTE(IFERROR(INDEX('DADOS_FORMAS'!$AS$2:$AS$21,MATCH(SUBSTITUTE(SUBSTITUTE(SUBSTITUTE($ED31,"~","~~"),"*","~*"),"?","~?"),'DADOS_FORMAS'!$AH$2:$AH$21,0)),""),"~","~~"),"*","~*"),"?","~?"),'DADOS_RESTRICOES'!$M$2:$Q$54,3,FALSE)=2),0))</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Corpo")&gt;0,$EY31=0,OR($LB31="Cone",$LB31="Linha")),"Corpo a Corpo não entra em "&amp;$ED31,""),IF(AND(COUNTIF($FD31:$FE31,"Corpo a Corpo")&gt;0,$LC31="Corpo a Corpo"),"A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"&amp;$EJ31,""))),IF(AND($ED31&lt;&gt;"",COUNTIF('DADOS_FORMAS'!$AH$2:$AH$21,SUBSTITUTE(SUBSTITUTE(SUBSTITUTE($ED31,"~","~~"),"*","~*"),"?","~?"))=0),"Forma não cadastrada ou com erro: "&amp;$ED31,""),IF(AND(IFERROR(INDEX('DADOS_FORMAS'!$AS$2:$AS$21,MATCH(SUBSTITUTE(SUBSTITUTE(SUBSTITUTE($ED31,"~","~~"),"*","~*"),"?","~?"),'DADOS_FORMAS'!$AH$2:$AH$21,0)),"")&lt;&gt;"",OR(IFERROR(VLOOKUP(SUBSTITUTE(SUBSTITUTE(SUBSTITUTE(IFERROR(INDEX('DADOS_FORMAS'!$AS$2:$AS$21,MATCH(SUBSTITUTE(SUBSTITUTE(SUBSTITUTE($ED31,"~","~~"),"*","~*"),"?","~?"),'DADOS_FORMAS'!$AH$2:$AH$21,0)),""),"~","~~"),"*","~*"),"?","~?"),'DADOS_RESTRICOES'!$M$2:$Q$54,2,FALSE),"")=$FD31,IFERROR(VLOOKUP(SUBSTITUTE(SUBSTITUTE(SUBSTITUTE(IFERROR(INDEX('DADOS_FORMAS'!$AS$2:$AS$21,MATCH(SUBSTITUTE(SUBSTITUTE(SUBSTITUTE($ED31,"~","~~"),"*","~*"),"?","~?"),'DADOS_FORMAS'!$AH$2:$AH$21,0)),""),"~","~~"),"*","~*"),"?","~?"),'DADOS_RESTRICOES'!$M$2:$Q$54,2,FALSE),"")=$FE31)),"Restrição repetida, contando a embutida",""),IF(IF(IFERROR(INDEX('DADOS_FORMAS'!$AS$2:$AS$21,MATCH(SUBSTITUTE(SUBSTITUTE(SUBSTITUTE($ED31,"~","~~"),"*","~*"),"?","~?"),'DADOS_FORMAS'!$AH$2:$AH$21,0)),"")="",0,IFERROR(N(VLOOKUP(SUBSTITUTE(SUBSTITUTE(SUBSTITUTE(IFERROR(INDEX('DADOS_FORMAS'!$AS$2:$AS$21,MATCH(SUBSTITUTE(SUBSTITUTE(SUBSTITUTE($ED31,"~","~~"),"*","~*"),"?","~?"),'DADOS_FORMAS'!$AH$2:$AH$21,0)),""),"~","~~"),"*","~*"),"?","~?"),'DADOS_RESTRICOES'!$M$2:$Q$54,4,FALSE)=1),0))+IF($EI31="",0,IFERROR(N(VLOOKUP(SUBSTITUTE(SUBSTITUTE(SUBSTITUTE($EI31,"~","~~"),"*","~*"),"?","~?"),'DADOS_RESTRICOES'!$M$2:$Q$54,4,FALSE)=1),0))+IF($EJ31="",0,IFERROR(N(VLOOKUP(SUBSTITUTE(SUBSTITUTE(SUBSTITUTE($EJ31,"~","~~"),"*","~*"),"?","~?"),'DADOS_RESTRICOES'!$M$2:$Q$54,4,FALSE)=1),0))&gt;1,"Duas Restrições de frequência, contando a embutida",""),IF(AND(IFERROR(VLOOKUP(SUBSTITUTE(SUBSTITUTE(SUBSTITUTE(IFERROR(INDEX('DADOS_FORMAS'!$AS$2:$AS$21,MATCH(SUBSTITUTE(SUBSTITUTE(SUBSTITUTE($ED31,"~","~~"),"*","~*"),"?","~?"),'DADOS_FORMAS'!$AH$2:$AH$21,0)),""),"~","~~"),"*","~*"),"?","~?"),'DADOS_RESTRICOES'!$M$2:$Q$54,2,FALSE),"")="Tudo ou Nada",$FA31=0),"Tudo ou Nada exige TR",""),IF(AND(IFERROR(VLOOKUP(SUBSTITUTE(SUBSTITUTE(SUBSTITUTE(IFERROR(INDEX('DADOS_FORMAS'!$AS$2:$AS$21,MATCH(SUBSTITUTE(SUBSTITUTE(SUBSTITUTE($ED31,"~","~~"),"*","~*"),"?","~?"),'DADOS_FORMAS'!$AH$2:$AH$21,0)),""),"~","~~"),"*","~*"),"?","~?"),'DADOS_RESTRICOES'!$M$2:$Q$54,2,FALSE),"")="Corpo a Corpo",OR($LB31="Cone",$LB31="Linha")),"Corpo a Corpo não entra em Cone/Linha","")))</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inteira",IF(COUNTIF($LD31:$LF31,"Atrasar")&gt;0,IF(COUNTIF($LD31:$LF31,"Carregar")&gt;0,"Rodada +1 turno","Rodada inteira"),IF(COUNTIF($KW31:$KZ31,"Rápido")&gt;0,"Bônus",IF(COUNTIF($KW31:$KZ31,"Reação")&gt;0,"Reação","Padrão"))&amp;IF(COUNTIF($LD31:$LF31,"Carregar")&gt;0," +1 turno",""))))</f>
        <v/>
      </c>
      <c r="GT31" s="161">
        <f>IF(OR($EK31=0,$EL31=0),"",IF(COUNTIF($KW31:$KZ31,"Inescapável")&gt;0,"Automático",IF(COUNTIF($KW31:$KZ31,"Certeiro")&gt;0,"TR para metade",IF(AND($EX31&gt;0,$FA31=0,INDEX('DADOS_FORMAS'!$FQ$2:$FQ$21,$EL31)="Acerto"),"Acerto + TR",INDEX('DADOS_FORMAS'!$FQ$2:$FQ$21,$EL31)))))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IF($EL31=0,0,CHOOSE(1+INDEX('DADOS_FORMAS'!$FS$2:$FS$21,$EL31),0,$GV31,$GW31,$GV31+$GW31))</f>
        <v/>
      </c>
      <c r="GY31" s="161">
        <f>IF($EL31=0,0,CHOOSE(1+INDEX('DADOS_FORMAS'!$FT$2:$FT$21,$EL31),0,$GV31,$GW31,$GV31+$GW31))</f>
        <v/>
      </c>
      <c r="GZ31" s="161">
        <f>IF(OR($EK31=0,$EL31=0),"",INDEX('DADOS_FORMAS'!$GZ$2:$HE$61,($EL31-1)*3+IF($EB31&gt;=6,3,2),1+MIN(5,$GX31))&amp;INDEX('DADOS_FORMAS'!$HF$2:$HK$61,($EL31-1)*3+IF($EB31&gt;=6,3,2),1+MIN(5,$GY31))&amp;IF(INDEX('DADOS_FORMAS'!$FU$2:$FU$21,$EL31)=1,IF(COUNTIF($KW31:$KZ31,"Mais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c r="LB31">
        <f>IFERROR(INDEX('DADOS_FORMAS'!$BJ$2:$BJ$21,MATCH(SUBSTITUTE(SUBSTITUTE(SUBSTITUTE($ED31,"~","~~"),"*","~*"),"?","~?"),'DADOS_FORMAS'!$AH$2:$AH$21,0)),"")</f>
        <v/>
      </c>
      <c r="LC31">
        <f>IFERROR(VLOOKUP(SUBSTITUTE(SUBSTITUTE(SUBSTITUTE(IFERROR(INDEX('DADOS_FORMAS'!$AS$2:$AS$21,MATCH(SUBSTITUTE(SUBSTITUTE(SUBSTITUTE($ED31,"~","~~"),"*","~*"),"?","~?"),'DADOS_FORMAS'!$AH$2:$AH$21,0)),""),"~","~~"),"*","~*"),"?","~?"),'DADOS_RESTRICOES'!$M$2:$Q$54,2,FALSE),"")</f>
        <v/>
      </c>
      <c r="LD31">
        <f>$FD31</f>
        <v/>
      </c>
      <c r="LE31">
        <f>$FE31</f>
        <v/>
      </c>
      <c r="LF31">
        <f>$LC31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IFERROR(MATCH(SUBSTITUTE(SUBSTITUTE(SUBSTITUTE($ED32,"~","~~"),"*","~*"),"?","~?"),'DADOS_FORMAS'!$FJ$2:$FJ$21,0),0)</f>
        <v/>
      </c>
      <c r="EM32" s="161">
        <f>IF($EL32=0,0,INDEX('DADOS_FORMAS'!$FM$2:$FM$21,$EL32))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IF($EL32=0,0,INDEX('DADOS_FORMAS'!$FN$2:$FN$21,$EL32))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IF($EL32=0,0,INDEX('DADOS_FORMAS'!$FO$2:$FO$21,$EL32))</f>
        <v/>
      </c>
      <c r="EZ32" s="161">
        <f>IF($EL32=0,0,INDEX('DADOS_FORMAS'!$FP$2:$FP$21,$EL32))</f>
        <v/>
      </c>
      <c r="FA32" s="161">
        <f>IF($EL32=0,0,INDEX('DADOS_FORMAS'!$FR$2:$FR$21,$EL32))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IF(IFERROR(INDEX('DADOS_FORMAS'!$AS$2:$AS$21,MATCH(SUBSTITUTE(SUBSTITUTE(SUBSTITUTE($ED32,"~","~~"),"*","~*"),"?","~?"),'DADOS_FORMAS'!$AH$2:$AH$21,0)),"")="",0,IFERROR(N(VLOOKUP(SUBSTITUTE(SUBSTITUTE(SUBSTITUTE(IFERROR(INDEX('DADOS_FORMAS'!$AS$2:$AS$21,MATCH(SUBSTITUTE(SUBSTITUTE(SUBSTITUTE($ED32,"~","~~"),"*","~*"),"?","~?"),'DADOS_FORMAS'!$AH$2:$AH$21,0)),""),"~","~~"),"*","~*"),"?","~?"),'DADOS_RESTRICOES'!$M$2:$Q$54,3,FALSE)=1),0))</f>
        <v/>
      </c>
      <c r="FM32" s="161">
        <f>COUNTIF($FB32:$FC32,2)+IF(IFERROR(INDEX('DADOS_FORMAS'!$AS$2:$AS$21,MATCH(SUBSTITUTE(SUBSTITUTE(SUBSTITUTE($ED32,"~","~~"),"*","~*"),"?","~?"),'DADOS_FORMAS'!$AH$2:$AH$21,0)),"")="",0,IFERROR(N(VLOOKUP(SUBSTITUTE(SUBSTITUTE(SUBSTITUTE(IFERROR(INDEX('DADOS_FORMAS'!$AS$2:$AS$21,MATCH(SUBSTITUTE(SUBSTITUTE(SUBSTITUTE($ED32,"~","~~"),"*","~*"),"?","~?"),'DADOS_FORMAS'!$AH$2:$AH$21,0)),""),"~","~~"),"*","~*"),"?","~?"),'DADOS_RESTRICOES'!$M$2:$Q$54,3,FALSE)=2),0))</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Corpo")&gt;0,$EY32=0,OR($LB32="Cone",$LB32="Linha")),"Corpo a Corpo não entra em "&amp;$ED32,""),IF(AND(COUNTIF($FD32:$FE32,"Corpo a Corpo")&gt;0,$LC32="Corpo a Corpo"),"A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"&amp;$EJ32,""))),IF(AND($ED32&lt;&gt;"",COUNTIF('DADOS_FORMAS'!$AH$2:$AH$21,SUBSTITUTE(SUBSTITUTE(SUBSTITUTE($ED32,"~","~~"),"*","~*"),"?","~?"))=0),"Forma não cadastrada ou com erro: "&amp;$ED32,""),IF(AND(IFERROR(INDEX('DADOS_FORMAS'!$AS$2:$AS$21,MATCH(SUBSTITUTE(SUBSTITUTE(SUBSTITUTE($ED32,"~","~~"),"*","~*"),"?","~?"),'DADOS_FORMAS'!$AH$2:$AH$21,0)),"")&lt;&gt;"",OR(IFERROR(VLOOKUP(SUBSTITUTE(SUBSTITUTE(SUBSTITUTE(IFERROR(INDEX('DADOS_FORMAS'!$AS$2:$AS$21,MATCH(SUBSTITUTE(SUBSTITUTE(SUBSTITUTE($ED32,"~","~~"),"*","~*"),"?","~?"),'DADOS_FORMAS'!$AH$2:$AH$21,0)),""),"~","~~"),"*","~*"),"?","~?"),'DADOS_RESTRICOES'!$M$2:$Q$54,2,FALSE),"")=$FD32,IFERROR(VLOOKUP(SUBSTITUTE(SUBSTITUTE(SUBSTITUTE(IFERROR(INDEX('DADOS_FORMAS'!$AS$2:$AS$21,MATCH(SUBSTITUTE(SUBSTITUTE(SUBSTITUTE($ED32,"~","~~"),"*","~*"),"?","~?"),'DADOS_FORMAS'!$AH$2:$AH$21,0)),""),"~","~~"),"*","~*"),"?","~?"),'DADOS_RESTRICOES'!$M$2:$Q$54,2,FALSE),"")=$FE32)),"Restrição repetida, contando a embutida",""),IF(IF(IFERROR(INDEX('DADOS_FORMAS'!$AS$2:$AS$21,MATCH(SUBSTITUTE(SUBSTITUTE(SUBSTITUTE($ED32,"~","~~"),"*","~*"),"?","~?"),'DADOS_FORMAS'!$AH$2:$AH$21,0)),"")="",0,IFERROR(N(VLOOKUP(SUBSTITUTE(SUBSTITUTE(SUBSTITUTE(IFERROR(INDEX('DADOS_FORMAS'!$AS$2:$AS$21,MATCH(SUBSTITUTE(SUBSTITUTE(SUBSTITUTE($ED32,"~","~~"),"*","~*"),"?","~?"),'DADOS_FORMAS'!$AH$2:$AH$21,0)),""),"~","~~"),"*","~*"),"?","~?"),'DADOS_RESTRICOES'!$M$2:$Q$54,4,FALSE)=1),0))+IF($EI32="",0,IFERROR(N(VLOOKUP(SUBSTITUTE(SUBSTITUTE(SUBSTITUTE($EI32,"~","~~"),"*","~*"),"?","~?"),'DADOS_RESTRICOES'!$M$2:$Q$54,4,FALSE)=1),0))+IF($EJ32="",0,IFERROR(N(VLOOKUP(SUBSTITUTE(SUBSTITUTE(SUBSTITUTE($EJ32,"~","~~"),"*","~*"),"?","~?"),'DADOS_RESTRICOES'!$M$2:$Q$54,4,FALSE)=1),0))&gt;1,"Duas Restrições de frequência, contando a embutida",""),IF(AND(IFERROR(VLOOKUP(SUBSTITUTE(SUBSTITUTE(SUBSTITUTE(IFERROR(INDEX('DADOS_FORMAS'!$AS$2:$AS$21,MATCH(SUBSTITUTE(SUBSTITUTE(SUBSTITUTE($ED32,"~","~~"),"*","~*"),"?","~?"),'DADOS_FORMAS'!$AH$2:$AH$21,0)),""),"~","~~"),"*","~*"),"?","~?"),'DADOS_RESTRICOES'!$M$2:$Q$54,2,FALSE),"")="Tudo ou Nada",$FA32=0),"Tudo ou Nada exige TR",""),IF(AND(IFERROR(VLOOKUP(SUBSTITUTE(SUBSTITUTE(SUBSTITUTE(IFERROR(INDEX('DADOS_FORMAS'!$AS$2:$AS$21,MATCH(SUBSTITUTE(SUBSTITUTE(SUBSTITUTE($ED32,"~","~~"),"*","~*"),"?","~?"),'DADOS_FORMAS'!$AH$2:$AH$21,0)),""),"~","~~"),"*","~*"),"?","~?"),'DADOS_RESTRICOES'!$M$2:$Q$54,2,FALSE),"")="Corpo a Corpo",OR($LB32="Cone",$LB32="Linha")),"Corpo a Corpo não entra em Cone/Linha","")))</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inteira",IF(COUNTIF($LD32:$LF32,"Atrasar")&gt;0,IF(COUNTIF($LD32:$LF32,"Carregar")&gt;0,"Rodada +1 turno","Rodada inteira"),IF(COUNTIF($KW32:$KZ32,"Rápido")&gt;0,"Bônus",IF(COUNTIF($KW32:$KZ32,"Reação")&gt;0,"Reação","Padrão"))&amp;IF(COUNTIF($LD32:$LF32,"Carregar")&gt;0," +1 turno",""))))</f>
        <v/>
      </c>
      <c r="GT32" s="161">
        <f>IF(OR($EK32=0,$EL32=0),"",IF(COUNTIF($KW32:$KZ32,"Inescapável")&gt;0,"Automático",IF(COUNTIF($KW32:$KZ32,"Certeiro")&gt;0,"TR para metade",IF(AND($EX32&gt;0,$FA32=0,INDEX('DADOS_FORMAS'!$FQ$2:$FQ$21,$EL32)="Acerto"),"Acerto + TR",INDEX('DADOS_FORMAS'!$FQ$2:$FQ$21,$EL32)))))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IF($EL32=0,0,CHOOSE(1+INDEX('DADOS_FORMAS'!$FS$2:$FS$21,$EL32),0,$GV32,$GW32,$GV32+$GW32))</f>
        <v/>
      </c>
      <c r="GY32" s="161">
        <f>IF($EL32=0,0,CHOOSE(1+INDEX('DADOS_FORMAS'!$FT$2:$FT$21,$EL32),0,$GV32,$GW32,$GV32+$GW32))</f>
        <v/>
      </c>
      <c r="GZ32" s="161">
        <f>IF(OR($EK32=0,$EL32=0),"",INDEX('DADOS_FORMAS'!$GZ$2:$HE$61,($EL32-1)*3+IF($EB32&gt;=6,3,2),1+MIN(5,$GX32))&amp;INDEX('DADOS_FORMAS'!$HF$2:$HK$61,($EL32-1)*3+IF($EB32&gt;=6,3,2),1+MIN(5,$GY32))&amp;IF(INDEX('DADOS_FORMAS'!$FU$2:$FU$21,$EL32)=1,IF(COUNTIF($KW32:$KZ32,"Mais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c r="LB32">
        <f>IFERROR(INDEX('DADOS_FORMAS'!$BJ$2:$BJ$21,MATCH(SUBSTITUTE(SUBSTITUTE(SUBSTITUTE($ED32,"~","~~"),"*","~*"),"?","~?"),'DADOS_FORMAS'!$AH$2:$AH$21,0)),"")</f>
        <v/>
      </c>
      <c r="LC32">
        <f>IFERROR(VLOOKUP(SUBSTITUTE(SUBSTITUTE(SUBSTITUTE(IFERROR(INDEX('DADOS_FORMAS'!$AS$2:$AS$21,MATCH(SUBSTITUTE(SUBSTITUTE(SUBSTITUTE($ED32,"~","~~"),"*","~*"),"?","~?"),'DADOS_FORMAS'!$AH$2:$AH$21,0)),""),"~","~~"),"*","~*"),"?","~?"),'DADOS_RESTRICOES'!$M$2:$Q$54,2,FALSE),"")</f>
        <v/>
      </c>
      <c r="LD32">
        <f>$FD32</f>
        <v/>
      </c>
      <c r="LE32">
        <f>$FE32</f>
        <v/>
      </c>
      <c r="LF32">
        <f>$LC32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IFERROR(MATCH(SUBSTITUTE(SUBSTITUTE(SUBSTITUTE($ED33,"~","~~"),"*","~*"),"?","~?"),'DADOS_FORMAS'!$FJ$2:$FJ$21,0),0)</f>
        <v/>
      </c>
      <c r="EM33" s="161">
        <f>IF($EL33=0,0,INDEX('DADOS_FORMAS'!$FM$2:$FM$21,$EL33))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IF($EL33=0,0,INDEX('DADOS_FORMAS'!$FN$2:$FN$21,$EL33))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IF($EL33=0,0,INDEX('DADOS_FORMAS'!$FO$2:$FO$21,$EL33))</f>
        <v/>
      </c>
      <c r="EZ33" s="161">
        <f>IF($EL33=0,0,INDEX('DADOS_FORMAS'!$FP$2:$FP$21,$EL33))</f>
        <v/>
      </c>
      <c r="FA33" s="161">
        <f>IF($EL33=0,0,INDEX('DADOS_FORMAS'!$FR$2:$FR$21,$EL33))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IF(IFERROR(INDEX('DADOS_FORMAS'!$AS$2:$AS$21,MATCH(SUBSTITUTE(SUBSTITUTE(SUBSTITUTE($ED33,"~","~~"),"*","~*"),"?","~?"),'DADOS_FORMAS'!$AH$2:$AH$21,0)),"")="",0,IFERROR(N(VLOOKUP(SUBSTITUTE(SUBSTITUTE(SUBSTITUTE(IFERROR(INDEX('DADOS_FORMAS'!$AS$2:$AS$21,MATCH(SUBSTITUTE(SUBSTITUTE(SUBSTITUTE($ED33,"~","~~"),"*","~*"),"?","~?"),'DADOS_FORMAS'!$AH$2:$AH$21,0)),""),"~","~~"),"*","~*"),"?","~?"),'DADOS_RESTRICOES'!$M$2:$Q$54,3,FALSE)=1),0))</f>
        <v/>
      </c>
      <c r="FM33" s="161">
        <f>COUNTIF($FB33:$FC33,2)+IF(IFERROR(INDEX('DADOS_FORMAS'!$AS$2:$AS$21,MATCH(SUBSTITUTE(SUBSTITUTE(SUBSTITUTE($ED33,"~","~~"),"*","~*"),"?","~?"),'DADOS_FORMAS'!$AH$2:$AH$21,0)),"")="",0,IFERROR(N(VLOOKUP(SUBSTITUTE(SUBSTITUTE(SUBSTITUTE(IFERROR(INDEX('DADOS_FORMAS'!$AS$2:$AS$21,MATCH(SUBSTITUTE(SUBSTITUTE(SUBSTITUTE($ED33,"~","~~"),"*","~*"),"?","~?"),'DADOS_FORMAS'!$AH$2:$AH$21,0)),""),"~","~~"),"*","~*"),"?","~?"),'DADOS_RESTRICOES'!$M$2:$Q$54,3,FALSE)=2),0))</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Corpo")&gt;0,$EY33=0,OR($LB33="Cone",$LB33="Linha")),"Corpo a Corpo não entra em "&amp;$ED33,""),IF(AND(COUNTIF($FD33:$FE33,"Corpo a Corpo")&gt;0,$LC33="Corpo a Corpo"),"A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"&amp;$EJ33,""))),IF(AND($ED33&lt;&gt;"",COUNTIF('DADOS_FORMAS'!$AH$2:$AH$21,SUBSTITUTE(SUBSTITUTE(SUBSTITUTE($ED33,"~","~~"),"*","~*"),"?","~?"))=0),"Forma não cadastrada ou com erro: "&amp;$ED33,""),IF(AND(IFERROR(INDEX('DADOS_FORMAS'!$AS$2:$AS$21,MATCH(SUBSTITUTE(SUBSTITUTE(SUBSTITUTE($ED33,"~","~~"),"*","~*"),"?","~?"),'DADOS_FORMAS'!$AH$2:$AH$21,0)),"")&lt;&gt;"",OR(IFERROR(VLOOKUP(SUBSTITUTE(SUBSTITUTE(SUBSTITUTE(IFERROR(INDEX('DADOS_FORMAS'!$AS$2:$AS$21,MATCH(SUBSTITUTE(SUBSTITUTE(SUBSTITUTE($ED33,"~","~~"),"*","~*"),"?","~?"),'DADOS_FORMAS'!$AH$2:$AH$21,0)),""),"~","~~"),"*","~*"),"?","~?"),'DADOS_RESTRICOES'!$M$2:$Q$54,2,FALSE),"")=$FD33,IFERROR(VLOOKUP(SUBSTITUTE(SUBSTITUTE(SUBSTITUTE(IFERROR(INDEX('DADOS_FORMAS'!$AS$2:$AS$21,MATCH(SUBSTITUTE(SUBSTITUTE(SUBSTITUTE($ED33,"~","~~"),"*","~*"),"?","~?"),'DADOS_FORMAS'!$AH$2:$AH$21,0)),""),"~","~~"),"*","~*"),"?","~?"),'DADOS_RESTRICOES'!$M$2:$Q$54,2,FALSE),"")=$FE33)),"Restrição repetida, contando a embutida",""),IF(IF(IFERROR(INDEX('DADOS_FORMAS'!$AS$2:$AS$21,MATCH(SUBSTITUTE(SUBSTITUTE(SUBSTITUTE($ED33,"~","~~"),"*","~*"),"?","~?"),'DADOS_FORMAS'!$AH$2:$AH$21,0)),"")="",0,IFERROR(N(VLOOKUP(SUBSTITUTE(SUBSTITUTE(SUBSTITUTE(IFERROR(INDEX('DADOS_FORMAS'!$AS$2:$AS$21,MATCH(SUBSTITUTE(SUBSTITUTE(SUBSTITUTE($ED33,"~","~~"),"*","~*"),"?","~?"),'DADOS_FORMAS'!$AH$2:$AH$21,0)),""),"~","~~"),"*","~*"),"?","~?"),'DADOS_RESTRICOES'!$M$2:$Q$54,4,FALSE)=1),0))+IF($EI33="",0,IFERROR(N(VLOOKUP(SUBSTITUTE(SUBSTITUTE(SUBSTITUTE($EI33,"~","~~"),"*","~*"),"?","~?"),'DADOS_RESTRICOES'!$M$2:$Q$54,4,FALSE)=1),0))+IF($EJ33="",0,IFERROR(N(VLOOKUP(SUBSTITUTE(SUBSTITUTE(SUBSTITUTE($EJ33,"~","~~"),"*","~*"),"?","~?"),'DADOS_RESTRICOES'!$M$2:$Q$54,4,FALSE)=1),0))&gt;1,"Duas Restrições de frequência, contando a embutida",""),IF(AND(IFERROR(VLOOKUP(SUBSTITUTE(SUBSTITUTE(SUBSTITUTE(IFERROR(INDEX('DADOS_FORMAS'!$AS$2:$AS$21,MATCH(SUBSTITUTE(SUBSTITUTE(SUBSTITUTE($ED33,"~","~~"),"*","~*"),"?","~?"),'DADOS_FORMAS'!$AH$2:$AH$21,0)),""),"~","~~"),"*","~*"),"?","~?"),'DADOS_RESTRICOES'!$M$2:$Q$54,2,FALSE),"")="Tudo ou Nada",$FA33=0),"Tudo ou Nada exige TR",""),IF(AND(IFERROR(VLOOKUP(SUBSTITUTE(SUBSTITUTE(SUBSTITUTE(IFERROR(INDEX('DADOS_FORMAS'!$AS$2:$AS$21,MATCH(SUBSTITUTE(SUBSTITUTE(SUBSTITUTE($ED33,"~","~~"),"*","~*"),"?","~?"),'DADOS_FORMAS'!$AH$2:$AH$21,0)),""),"~","~~"),"*","~*"),"?","~?"),'DADOS_RESTRICOES'!$M$2:$Q$54,2,FALSE),"")="Corpo a Corpo",OR($LB33="Cone",$LB33="Linha")),"Corpo a Corpo não entra em Cone/Linha","")))</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inteira",IF(COUNTIF($LD33:$LF33,"Atrasar")&gt;0,IF(COUNTIF($LD33:$LF33,"Carregar")&gt;0,"Rodada +1 turno","Rodada inteira"),IF(COUNTIF($KW33:$KZ33,"Rápido")&gt;0,"Bônus",IF(COUNTIF($KW33:$KZ33,"Reação")&gt;0,"Reação","Padrão"))&amp;IF(COUNTIF($LD33:$LF33,"Carregar")&gt;0," +1 turno",""))))</f>
        <v/>
      </c>
      <c r="GT33" s="161">
        <f>IF(OR($EK33=0,$EL33=0),"",IF(COUNTIF($KW33:$KZ33,"Inescapável")&gt;0,"Automático",IF(COUNTIF($KW33:$KZ33,"Certeiro")&gt;0,"TR para metade",IF(AND($EX33&gt;0,$FA33=0,INDEX('DADOS_FORMAS'!$FQ$2:$FQ$21,$EL33)="Acerto"),"Acerto + TR",INDEX('DADOS_FORMAS'!$FQ$2:$FQ$21,$EL33)))))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IF($EL33=0,0,CHOOSE(1+INDEX('DADOS_FORMAS'!$FS$2:$FS$21,$EL33),0,$GV33,$GW33,$GV33+$GW33))</f>
        <v/>
      </c>
      <c r="GY33" s="161">
        <f>IF($EL33=0,0,CHOOSE(1+INDEX('DADOS_FORMAS'!$FT$2:$FT$21,$EL33),0,$GV33,$GW33,$GV33+$GW33))</f>
        <v/>
      </c>
      <c r="GZ33" s="161">
        <f>IF(OR($EK33=0,$EL33=0),"",INDEX('DADOS_FORMAS'!$GZ$2:$HE$61,($EL33-1)*3+IF($EB33&gt;=6,3,2),1+MIN(5,$GX33))&amp;INDEX('DADOS_FORMAS'!$HF$2:$HK$61,($EL33-1)*3+IF($EB33&gt;=6,3,2),1+MIN(5,$GY33))&amp;IF(INDEX('DADOS_FORMAS'!$FU$2:$FU$21,$EL33)=1,IF(COUNTIF($KW33:$KZ33,"Mais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c r="LB33">
        <f>IFERROR(INDEX('DADOS_FORMAS'!$BJ$2:$BJ$21,MATCH(SUBSTITUTE(SUBSTITUTE(SUBSTITUTE($ED33,"~","~~"),"*","~*"),"?","~?"),'DADOS_FORMAS'!$AH$2:$AH$21,0)),"")</f>
        <v/>
      </c>
      <c r="LC33">
        <f>IFERROR(VLOOKUP(SUBSTITUTE(SUBSTITUTE(SUBSTITUTE(IFERROR(INDEX('DADOS_FORMAS'!$AS$2:$AS$21,MATCH(SUBSTITUTE(SUBSTITUTE(SUBSTITUTE($ED33,"~","~~"),"*","~*"),"?","~?"),'DADOS_FORMAS'!$AH$2:$AH$21,0)),""),"~","~~"),"*","~*"),"?","~?"),'DADOS_RESTRICOES'!$M$2:$Q$54,2,FALSE),"")</f>
        <v/>
      </c>
      <c r="LD33">
        <f>$FD33</f>
        <v/>
      </c>
      <c r="LE33">
        <f>$FE33</f>
        <v/>
      </c>
      <c r="LF33">
        <f>$LC33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IFERROR(MATCH(SUBSTITUTE(SUBSTITUTE(SUBSTITUTE($ED34,"~","~~"),"*","~*"),"?","~?"),'DADOS_FORMAS'!$FJ$2:$FJ$21,0),0)</f>
        <v/>
      </c>
      <c r="EM34" s="161">
        <f>IF($EL34=0,0,INDEX('DADOS_FORMAS'!$FM$2:$FM$21,$EL34))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IF($EL34=0,0,INDEX('DADOS_FORMAS'!$FN$2:$FN$21,$EL34))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IF($EL34=0,0,INDEX('DADOS_FORMAS'!$FO$2:$FO$21,$EL34))</f>
        <v/>
      </c>
      <c r="EZ34" s="161">
        <f>IF($EL34=0,0,INDEX('DADOS_FORMAS'!$FP$2:$FP$21,$EL34))</f>
        <v/>
      </c>
      <c r="FA34" s="161">
        <f>IF($EL34=0,0,INDEX('DADOS_FORMAS'!$FR$2:$FR$21,$EL34))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IF(IFERROR(INDEX('DADOS_FORMAS'!$AS$2:$AS$21,MATCH(SUBSTITUTE(SUBSTITUTE(SUBSTITUTE($ED34,"~","~~"),"*","~*"),"?","~?"),'DADOS_FORMAS'!$AH$2:$AH$21,0)),"")="",0,IFERROR(N(VLOOKUP(SUBSTITUTE(SUBSTITUTE(SUBSTITUTE(IFERROR(INDEX('DADOS_FORMAS'!$AS$2:$AS$21,MATCH(SUBSTITUTE(SUBSTITUTE(SUBSTITUTE($ED34,"~","~~"),"*","~*"),"?","~?"),'DADOS_FORMAS'!$AH$2:$AH$21,0)),""),"~","~~"),"*","~*"),"?","~?"),'DADOS_RESTRICOES'!$M$2:$Q$54,3,FALSE)=1),0))</f>
        <v/>
      </c>
      <c r="FM34" s="161">
        <f>COUNTIF($FB34:$FC34,2)+IF(IFERROR(INDEX('DADOS_FORMAS'!$AS$2:$AS$21,MATCH(SUBSTITUTE(SUBSTITUTE(SUBSTITUTE($ED34,"~","~~"),"*","~*"),"?","~?"),'DADOS_FORMAS'!$AH$2:$AH$21,0)),"")="",0,IFERROR(N(VLOOKUP(SUBSTITUTE(SUBSTITUTE(SUBSTITUTE(IFERROR(INDEX('DADOS_FORMAS'!$AS$2:$AS$21,MATCH(SUBSTITUTE(SUBSTITUTE(SUBSTITUTE($ED34,"~","~~"),"*","~*"),"?","~?"),'DADOS_FORMAS'!$AH$2:$AH$21,0)),""),"~","~~"),"*","~*"),"?","~?"),'DADOS_RESTRICOES'!$M$2:$Q$54,3,FALSE)=2),0))</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Corpo")&gt;0,$EY34=0,OR($LB34="Cone",$LB34="Linha")),"Corpo a Corpo não entra em "&amp;$ED34,""),IF(AND(COUNTIF($FD34:$FE34,"Corpo a Corpo")&gt;0,$LC34="Corpo a Corpo"),"A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"&amp;$EJ34,""))),IF(AND($ED34&lt;&gt;"",COUNTIF('DADOS_FORMAS'!$AH$2:$AH$21,SUBSTITUTE(SUBSTITUTE(SUBSTITUTE($ED34,"~","~~"),"*","~*"),"?","~?"))=0),"Forma não cadastrada ou com erro: "&amp;$ED34,""),IF(AND(IFERROR(INDEX('DADOS_FORMAS'!$AS$2:$AS$21,MATCH(SUBSTITUTE(SUBSTITUTE(SUBSTITUTE($ED34,"~","~~"),"*","~*"),"?","~?"),'DADOS_FORMAS'!$AH$2:$AH$21,0)),"")&lt;&gt;"",OR(IFERROR(VLOOKUP(SUBSTITUTE(SUBSTITUTE(SUBSTITUTE(IFERROR(INDEX('DADOS_FORMAS'!$AS$2:$AS$21,MATCH(SUBSTITUTE(SUBSTITUTE(SUBSTITUTE($ED34,"~","~~"),"*","~*"),"?","~?"),'DADOS_FORMAS'!$AH$2:$AH$21,0)),""),"~","~~"),"*","~*"),"?","~?"),'DADOS_RESTRICOES'!$M$2:$Q$54,2,FALSE),"")=$FD34,IFERROR(VLOOKUP(SUBSTITUTE(SUBSTITUTE(SUBSTITUTE(IFERROR(INDEX('DADOS_FORMAS'!$AS$2:$AS$21,MATCH(SUBSTITUTE(SUBSTITUTE(SUBSTITUTE($ED34,"~","~~"),"*","~*"),"?","~?"),'DADOS_FORMAS'!$AH$2:$AH$21,0)),""),"~","~~"),"*","~*"),"?","~?"),'DADOS_RESTRICOES'!$M$2:$Q$54,2,FALSE),"")=$FE34)),"Restrição repetida, contando a embutida",""),IF(IF(IFERROR(INDEX('DADOS_FORMAS'!$AS$2:$AS$21,MATCH(SUBSTITUTE(SUBSTITUTE(SUBSTITUTE($ED34,"~","~~"),"*","~*"),"?","~?"),'DADOS_FORMAS'!$AH$2:$AH$21,0)),"")="",0,IFERROR(N(VLOOKUP(SUBSTITUTE(SUBSTITUTE(SUBSTITUTE(IFERROR(INDEX('DADOS_FORMAS'!$AS$2:$AS$21,MATCH(SUBSTITUTE(SUBSTITUTE(SUBSTITUTE($ED34,"~","~~"),"*","~*"),"?","~?"),'DADOS_FORMAS'!$AH$2:$AH$21,0)),""),"~","~~"),"*","~*"),"?","~?"),'DADOS_RESTRICOES'!$M$2:$Q$54,4,FALSE)=1),0))+IF($EI34="",0,IFERROR(N(VLOOKUP(SUBSTITUTE(SUBSTITUTE(SUBSTITUTE($EI34,"~","~~"),"*","~*"),"?","~?"),'DADOS_RESTRICOES'!$M$2:$Q$54,4,FALSE)=1),0))+IF($EJ34="",0,IFERROR(N(VLOOKUP(SUBSTITUTE(SUBSTITUTE(SUBSTITUTE($EJ34,"~","~~"),"*","~*"),"?","~?"),'DADOS_RESTRICOES'!$M$2:$Q$54,4,FALSE)=1),0))&gt;1,"Duas Restrições de frequência, contando a embutida",""),IF(AND(IFERROR(VLOOKUP(SUBSTITUTE(SUBSTITUTE(SUBSTITUTE(IFERROR(INDEX('DADOS_FORMAS'!$AS$2:$AS$21,MATCH(SUBSTITUTE(SUBSTITUTE(SUBSTITUTE($ED34,"~","~~"),"*","~*"),"?","~?"),'DADOS_FORMAS'!$AH$2:$AH$21,0)),""),"~","~~"),"*","~*"),"?","~?"),'DADOS_RESTRICOES'!$M$2:$Q$54,2,FALSE),"")="Tudo ou Nada",$FA34=0),"Tudo ou Nada exige TR",""),IF(AND(IFERROR(VLOOKUP(SUBSTITUTE(SUBSTITUTE(SUBSTITUTE(IFERROR(INDEX('DADOS_FORMAS'!$AS$2:$AS$21,MATCH(SUBSTITUTE(SUBSTITUTE(SUBSTITUTE($ED34,"~","~~"),"*","~*"),"?","~?"),'DADOS_FORMAS'!$AH$2:$AH$21,0)),""),"~","~~"),"*","~*"),"?","~?"),'DADOS_RESTRICOES'!$M$2:$Q$54,2,FALSE),"")="Corpo a Corpo",OR($LB34="Cone",$LB34="Linha")),"Corpo a Corpo não entra em Cone/Linha","")))</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inteira",IF(COUNTIF($LD34:$LF34,"Atrasar")&gt;0,IF(COUNTIF($LD34:$LF34,"Carregar")&gt;0,"Rodada +1 turno","Rodada inteira"),IF(COUNTIF($KW34:$KZ34,"Rápido")&gt;0,"Bônus",IF(COUNTIF($KW34:$KZ34,"Reação")&gt;0,"Reação","Padrão"))&amp;IF(COUNTIF($LD34:$LF34,"Carregar")&gt;0," +1 turno",""))))</f>
        <v/>
      </c>
      <c r="GT34" s="161">
        <f>IF(OR($EK34=0,$EL34=0),"",IF(COUNTIF($KW34:$KZ34,"Inescapável")&gt;0,"Automático",IF(COUNTIF($KW34:$KZ34,"Certeiro")&gt;0,"TR para metade",IF(AND($EX34&gt;0,$FA34=0,INDEX('DADOS_FORMAS'!$FQ$2:$FQ$21,$EL34)="Acerto"),"Acerto + TR",INDEX('DADOS_FORMAS'!$FQ$2:$FQ$21,$EL34)))))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IF($EL34=0,0,CHOOSE(1+INDEX('DADOS_FORMAS'!$FS$2:$FS$21,$EL34),0,$GV34,$GW34,$GV34+$GW34))</f>
        <v/>
      </c>
      <c r="GY34" s="161">
        <f>IF($EL34=0,0,CHOOSE(1+INDEX('DADOS_FORMAS'!$FT$2:$FT$21,$EL34),0,$GV34,$GW34,$GV34+$GW34))</f>
        <v/>
      </c>
      <c r="GZ34" s="161">
        <f>IF(OR($EK34=0,$EL34=0),"",INDEX('DADOS_FORMAS'!$GZ$2:$HE$61,($EL34-1)*3+IF($EB34&gt;=6,3,2),1+MIN(5,$GX34))&amp;INDEX('DADOS_FORMAS'!$HF$2:$HK$61,($EL34-1)*3+IF($EB34&gt;=6,3,2),1+MIN(5,$GY34))&amp;IF(INDEX('DADOS_FORMAS'!$FU$2:$FU$21,$EL34)=1,IF(COUNTIF($KW34:$KZ34,"Mais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c r="LB34">
        <f>IFERROR(INDEX('DADOS_FORMAS'!$BJ$2:$BJ$21,MATCH(SUBSTITUTE(SUBSTITUTE(SUBSTITUTE($ED34,"~","~~"),"*","~*"),"?","~?"),'DADOS_FORMAS'!$AH$2:$AH$21,0)),"")</f>
        <v/>
      </c>
      <c r="LC34">
        <f>IFERROR(VLOOKUP(SUBSTITUTE(SUBSTITUTE(SUBSTITUTE(IFERROR(INDEX('DADOS_FORMAS'!$AS$2:$AS$21,MATCH(SUBSTITUTE(SUBSTITUTE(SUBSTITUTE($ED34,"~","~~"),"*","~*"),"?","~?"),'DADOS_FORMAS'!$AH$2:$AH$21,0)),""),"~","~~"),"*","~*"),"?","~?"),'DADOS_RESTRICOES'!$M$2:$Q$54,2,FALSE),"")</f>
        <v/>
      </c>
      <c r="LD34">
        <f>$FD34</f>
        <v/>
      </c>
      <c r="LE34">
        <f>$FE34</f>
        <v/>
      </c>
      <c r="LF34">
        <f>$LC34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IFERROR(MATCH(SUBSTITUTE(SUBSTITUTE(SUBSTITUTE($ED35,"~","~~"),"*","~*"),"?","~?"),'DADOS_FORMAS'!$FJ$2:$FJ$21,0),0)</f>
        <v/>
      </c>
      <c r="EM35" s="161">
        <f>IF($EL35=0,0,INDEX('DADOS_FORMAS'!$FM$2:$FM$21,$EL35))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IF($EL35=0,0,INDEX('DADOS_FORMAS'!$FN$2:$FN$21,$EL35))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IF($EL35=0,0,INDEX('DADOS_FORMAS'!$FO$2:$FO$21,$EL35))</f>
        <v/>
      </c>
      <c r="EZ35" s="161">
        <f>IF($EL35=0,0,INDEX('DADOS_FORMAS'!$FP$2:$FP$21,$EL35))</f>
        <v/>
      </c>
      <c r="FA35" s="161">
        <f>IF($EL35=0,0,INDEX('DADOS_FORMAS'!$FR$2:$FR$21,$EL35))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IF(IFERROR(INDEX('DADOS_FORMAS'!$AS$2:$AS$21,MATCH(SUBSTITUTE(SUBSTITUTE(SUBSTITUTE($ED35,"~","~~"),"*","~*"),"?","~?"),'DADOS_FORMAS'!$AH$2:$AH$21,0)),"")="",0,IFERROR(N(VLOOKUP(SUBSTITUTE(SUBSTITUTE(SUBSTITUTE(IFERROR(INDEX('DADOS_FORMAS'!$AS$2:$AS$21,MATCH(SUBSTITUTE(SUBSTITUTE(SUBSTITUTE($ED35,"~","~~"),"*","~*"),"?","~?"),'DADOS_FORMAS'!$AH$2:$AH$21,0)),""),"~","~~"),"*","~*"),"?","~?"),'DADOS_RESTRICOES'!$M$2:$Q$54,3,FALSE)=1),0))</f>
        <v/>
      </c>
      <c r="FM35" s="161">
        <f>COUNTIF($FB35:$FC35,2)+IF(IFERROR(INDEX('DADOS_FORMAS'!$AS$2:$AS$21,MATCH(SUBSTITUTE(SUBSTITUTE(SUBSTITUTE($ED35,"~","~~"),"*","~*"),"?","~?"),'DADOS_FORMAS'!$AH$2:$AH$21,0)),"")="",0,IFERROR(N(VLOOKUP(SUBSTITUTE(SUBSTITUTE(SUBSTITUTE(IFERROR(INDEX('DADOS_FORMAS'!$AS$2:$AS$21,MATCH(SUBSTITUTE(SUBSTITUTE(SUBSTITUTE($ED35,"~","~~"),"*","~*"),"?","~?"),'DADOS_FORMAS'!$AH$2:$AH$21,0)),""),"~","~~"),"*","~*"),"?","~?"),'DADOS_RESTRICOES'!$M$2:$Q$54,3,FALSE)=2),0))</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Corpo")&gt;0,$EY35=0,OR($LB35="Cone",$LB35="Linha")),"Corpo a Corpo não entra em "&amp;$ED35,""),IF(AND(COUNTIF($FD35:$FE35,"Corpo a Corpo")&gt;0,$LC35="Corpo a Corpo"),"A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"&amp;$EJ35,""))),IF(AND($ED35&lt;&gt;"",COUNTIF('DADOS_FORMAS'!$AH$2:$AH$21,SUBSTITUTE(SUBSTITUTE(SUBSTITUTE($ED35,"~","~~"),"*","~*"),"?","~?"))=0),"Forma não cadastrada ou com erro: "&amp;$ED35,""),IF(AND(IFERROR(INDEX('DADOS_FORMAS'!$AS$2:$AS$21,MATCH(SUBSTITUTE(SUBSTITUTE(SUBSTITUTE($ED35,"~","~~"),"*","~*"),"?","~?"),'DADOS_FORMAS'!$AH$2:$AH$21,0)),"")&lt;&gt;"",OR(IFERROR(VLOOKUP(SUBSTITUTE(SUBSTITUTE(SUBSTITUTE(IFERROR(INDEX('DADOS_FORMAS'!$AS$2:$AS$21,MATCH(SUBSTITUTE(SUBSTITUTE(SUBSTITUTE($ED35,"~","~~"),"*","~*"),"?","~?"),'DADOS_FORMAS'!$AH$2:$AH$21,0)),""),"~","~~"),"*","~*"),"?","~?"),'DADOS_RESTRICOES'!$M$2:$Q$54,2,FALSE),"")=$FD35,IFERROR(VLOOKUP(SUBSTITUTE(SUBSTITUTE(SUBSTITUTE(IFERROR(INDEX('DADOS_FORMAS'!$AS$2:$AS$21,MATCH(SUBSTITUTE(SUBSTITUTE(SUBSTITUTE($ED35,"~","~~"),"*","~*"),"?","~?"),'DADOS_FORMAS'!$AH$2:$AH$21,0)),""),"~","~~"),"*","~*"),"?","~?"),'DADOS_RESTRICOES'!$M$2:$Q$54,2,FALSE),"")=$FE35)),"Restrição repetida, contando a embutida",""),IF(IF(IFERROR(INDEX('DADOS_FORMAS'!$AS$2:$AS$21,MATCH(SUBSTITUTE(SUBSTITUTE(SUBSTITUTE($ED35,"~","~~"),"*","~*"),"?","~?"),'DADOS_FORMAS'!$AH$2:$AH$21,0)),"")="",0,IFERROR(N(VLOOKUP(SUBSTITUTE(SUBSTITUTE(SUBSTITUTE(IFERROR(INDEX('DADOS_FORMAS'!$AS$2:$AS$21,MATCH(SUBSTITUTE(SUBSTITUTE(SUBSTITUTE($ED35,"~","~~"),"*","~*"),"?","~?"),'DADOS_FORMAS'!$AH$2:$AH$21,0)),""),"~","~~"),"*","~*"),"?","~?"),'DADOS_RESTRICOES'!$M$2:$Q$54,4,FALSE)=1),0))+IF($EI35="",0,IFERROR(N(VLOOKUP(SUBSTITUTE(SUBSTITUTE(SUBSTITUTE($EI35,"~","~~"),"*","~*"),"?","~?"),'DADOS_RESTRICOES'!$M$2:$Q$54,4,FALSE)=1),0))+IF($EJ35="",0,IFERROR(N(VLOOKUP(SUBSTITUTE(SUBSTITUTE(SUBSTITUTE($EJ35,"~","~~"),"*","~*"),"?","~?"),'DADOS_RESTRICOES'!$M$2:$Q$54,4,FALSE)=1),0))&gt;1,"Duas Restrições de frequência, contando a embutida",""),IF(AND(IFERROR(VLOOKUP(SUBSTITUTE(SUBSTITUTE(SUBSTITUTE(IFERROR(INDEX('DADOS_FORMAS'!$AS$2:$AS$21,MATCH(SUBSTITUTE(SUBSTITUTE(SUBSTITUTE($ED35,"~","~~"),"*","~*"),"?","~?"),'DADOS_FORMAS'!$AH$2:$AH$21,0)),""),"~","~~"),"*","~*"),"?","~?"),'DADOS_RESTRICOES'!$M$2:$Q$54,2,FALSE),"")="Tudo ou Nada",$FA35=0),"Tudo ou Nada exige TR",""),IF(AND(IFERROR(VLOOKUP(SUBSTITUTE(SUBSTITUTE(SUBSTITUTE(IFERROR(INDEX('DADOS_FORMAS'!$AS$2:$AS$21,MATCH(SUBSTITUTE(SUBSTITUTE(SUBSTITUTE($ED35,"~","~~"),"*","~*"),"?","~?"),'DADOS_FORMAS'!$AH$2:$AH$21,0)),""),"~","~~"),"*","~*"),"?","~?"),'DADOS_RESTRICOES'!$M$2:$Q$54,2,FALSE),"")="Corpo a Corpo",OR($LB35="Cone",$LB35="Linha")),"Corpo a Corpo não entra em Cone/Linha","")))</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inteira",IF(COUNTIF($LD35:$LF35,"Atrasar")&gt;0,IF(COUNTIF($LD35:$LF35,"Carregar")&gt;0,"Rodada +1 turno","Rodada inteira"),IF(COUNTIF($KW35:$KZ35,"Rápido")&gt;0,"Bônus",IF(COUNTIF($KW35:$KZ35,"Reação")&gt;0,"Reação","Padrão"))&amp;IF(COUNTIF($LD35:$LF35,"Carregar")&gt;0," +1 turno",""))))</f>
        <v/>
      </c>
      <c r="GT35" s="161">
        <f>IF(OR($EK35=0,$EL35=0),"",IF(COUNTIF($KW35:$KZ35,"Inescapável")&gt;0,"Automático",IF(COUNTIF($KW35:$KZ35,"Certeiro")&gt;0,"TR para metade",IF(AND($EX35&gt;0,$FA35=0,INDEX('DADOS_FORMAS'!$FQ$2:$FQ$21,$EL35)="Acerto"),"Acerto + TR",INDEX('DADOS_FORMAS'!$FQ$2:$FQ$21,$EL35)))))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IF($EL35=0,0,CHOOSE(1+INDEX('DADOS_FORMAS'!$FS$2:$FS$21,$EL35),0,$GV35,$GW35,$GV35+$GW35))</f>
        <v/>
      </c>
      <c r="GY35" s="161">
        <f>IF($EL35=0,0,CHOOSE(1+INDEX('DADOS_FORMAS'!$FT$2:$FT$21,$EL35),0,$GV35,$GW35,$GV35+$GW35))</f>
        <v/>
      </c>
      <c r="GZ35" s="161">
        <f>IF(OR($EK35=0,$EL35=0),"",INDEX('DADOS_FORMAS'!$GZ$2:$HE$61,($EL35-1)*3+IF($EB35&gt;=6,3,2),1+MIN(5,$GX35))&amp;INDEX('DADOS_FORMAS'!$HF$2:$HK$61,($EL35-1)*3+IF($EB35&gt;=6,3,2),1+MIN(5,$GY35))&amp;IF(INDEX('DADOS_FORMAS'!$FU$2:$FU$21,$EL35)=1,IF(COUNTIF($KW35:$KZ35,"Mais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c r="LB35">
        <f>IFERROR(INDEX('DADOS_FORMAS'!$BJ$2:$BJ$21,MATCH(SUBSTITUTE(SUBSTITUTE(SUBSTITUTE($ED35,"~","~~"),"*","~*"),"?","~?"),'DADOS_FORMAS'!$AH$2:$AH$21,0)),"")</f>
        <v/>
      </c>
      <c r="LC35">
        <f>IFERROR(VLOOKUP(SUBSTITUTE(SUBSTITUTE(SUBSTITUTE(IFERROR(INDEX('DADOS_FORMAS'!$AS$2:$AS$21,MATCH(SUBSTITUTE(SUBSTITUTE(SUBSTITUTE($ED35,"~","~~"),"*","~*"),"?","~?"),'DADOS_FORMAS'!$AH$2:$AH$21,0)),""),"~","~~"),"*","~*"),"?","~?"),'DADOS_RESTRICOES'!$M$2:$Q$54,2,FALSE),"")</f>
        <v/>
      </c>
      <c r="LD35">
        <f>$FD35</f>
        <v/>
      </c>
      <c r="LE35">
        <f>$FE35</f>
        <v/>
      </c>
      <c r="LF35">
        <f>$LC35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IFERROR(MATCH(SUBSTITUTE(SUBSTITUTE(SUBSTITUTE($ED36,"~","~~"),"*","~*"),"?","~?"),'DADOS_FORMAS'!$FJ$2:$FJ$21,0),0)</f>
        <v/>
      </c>
      <c r="EM36" s="161">
        <f>IF($EL36=0,0,INDEX('DADOS_FORMAS'!$FM$2:$FM$21,$EL36))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IF($EL36=0,0,INDEX('DADOS_FORMAS'!$FN$2:$FN$21,$EL36))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IF($EL36=0,0,INDEX('DADOS_FORMAS'!$FO$2:$FO$21,$EL36))</f>
        <v/>
      </c>
      <c r="EZ36" s="161">
        <f>IF($EL36=0,0,INDEX('DADOS_FORMAS'!$FP$2:$FP$21,$EL36))</f>
        <v/>
      </c>
      <c r="FA36" s="161">
        <f>IF($EL36=0,0,INDEX('DADOS_FORMAS'!$FR$2:$FR$21,$EL36))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IF(IFERROR(INDEX('DADOS_FORMAS'!$AS$2:$AS$21,MATCH(SUBSTITUTE(SUBSTITUTE(SUBSTITUTE($ED36,"~","~~"),"*","~*"),"?","~?"),'DADOS_FORMAS'!$AH$2:$AH$21,0)),"")="",0,IFERROR(N(VLOOKUP(SUBSTITUTE(SUBSTITUTE(SUBSTITUTE(IFERROR(INDEX('DADOS_FORMAS'!$AS$2:$AS$21,MATCH(SUBSTITUTE(SUBSTITUTE(SUBSTITUTE($ED36,"~","~~"),"*","~*"),"?","~?"),'DADOS_FORMAS'!$AH$2:$AH$21,0)),""),"~","~~"),"*","~*"),"?","~?"),'DADOS_RESTRICOES'!$M$2:$Q$54,3,FALSE)=1),0))</f>
        <v/>
      </c>
      <c r="FM36" s="161">
        <f>COUNTIF($FB36:$FC36,2)+IF(IFERROR(INDEX('DADOS_FORMAS'!$AS$2:$AS$21,MATCH(SUBSTITUTE(SUBSTITUTE(SUBSTITUTE($ED36,"~","~~"),"*","~*"),"?","~?"),'DADOS_FORMAS'!$AH$2:$AH$21,0)),"")="",0,IFERROR(N(VLOOKUP(SUBSTITUTE(SUBSTITUTE(SUBSTITUTE(IFERROR(INDEX('DADOS_FORMAS'!$AS$2:$AS$21,MATCH(SUBSTITUTE(SUBSTITUTE(SUBSTITUTE($ED36,"~","~~"),"*","~*"),"?","~?"),'DADOS_FORMAS'!$AH$2:$AH$21,0)),""),"~","~~"),"*","~*"),"?","~?"),'DADOS_RESTRICOES'!$M$2:$Q$54,3,FALSE)=2),0))</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Corpo")&gt;0,$EY36=0,OR($LB36="Cone",$LB36="Linha")),"Corpo a Corpo não entra em "&amp;$ED36,""),IF(AND(COUNTIF($FD36:$FE36,"Corpo a Corpo")&gt;0,$LC36="Corpo a Corpo"),"A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"&amp;$EJ36,""))),IF(AND($ED36&lt;&gt;"",COUNTIF('DADOS_FORMAS'!$AH$2:$AH$21,SUBSTITUTE(SUBSTITUTE(SUBSTITUTE($ED36,"~","~~"),"*","~*"),"?","~?"))=0),"Forma não cadastrada ou com erro: "&amp;$ED36,""),IF(AND(IFERROR(INDEX('DADOS_FORMAS'!$AS$2:$AS$21,MATCH(SUBSTITUTE(SUBSTITUTE(SUBSTITUTE($ED36,"~","~~"),"*","~*"),"?","~?"),'DADOS_FORMAS'!$AH$2:$AH$21,0)),"")&lt;&gt;"",OR(IFERROR(VLOOKUP(SUBSTITUTE(SUBSTITUTE(SUBSTITUTE(IFERROR(INDEX('DADOS_FORMAS'!$AS$2:$AS$21,MATCH(SUBSTITUTE(SUBSTITUTE(SUBSTITUTE($ED36,"~","~~"),"*","~*"),"?","~?"),'DADOS_FORMAS'!$AH$2:$AH$21,0)),""),"~","~~"),"*","~*"),"?","~?"),'DADOS_RESTRICOES'!$M$2:$Q$54,2,FALSE),"")=$FD36,IFERROR(VLOOKUP(SUBSTITUTE(SUBSTITUTE(SUBSTITUTE(IFERROR(INDEX('DADOS_FORMAS'!$AS$2:$AS$21,MATCH(SUBSTITUTE(SUBSTITUTE(SUBSTITUTE($ED36,"~","~~"),"*","~*"),"?","~?"),'DADOS_FORMAS'!$AH$2:$AH$21,0)),""),"~","~~"),"*","~*"),"?","~?"),'DADOS_RESTRICOES'!$M$2:$Q$54,2,FALSE),"")=$FE36)),"Restrição repetida, contando a embutida",""),IF(IF(IFERROR(INDEX('DADOS_FORMAS'!$AS$2:$AS$21,MATCH(SUBSTITUTE(SUBSTITUTE(SUBSTITUTE($ED36,"~","~~"),"*","~*"),"?","~?"),'DADOS_FORMAS'!$AH$2:$AH$21,0)),"")="",0,IFERROR(N(VLOOKUP(SUBSTITUTE(SUBSTITUTE(SUBSTITUTE(IFERROR(INDEX('DADOS_FORMAS'!$AS$2:$AS$21,MATCH(SUBSTITUTE(SUBSTITUTE(SUBSTITUTE($ED36,"~","~~"),"*","~*"),"?","~?"),'DADOS_FORMAS'!$AH$2:$AH$21,0)),""),"~","~~"),"*","~*"),"?","~?"),'DADOS_RESTRICOES'!$M$2:$Q$54,4,FALSE)=1),0))+IF($EI36="",0,IFERROR(N(VLOOKUP(SUBSTITUTE(SUBSTITUTE(SUBSTITUTE($EI36,"~","~~"),"*","~*"),"?","~?"),'DADOS_RESTRICOES'!$M$2:$Q$54,4,FALSE)=1),0))+IF($EJ36="",0,IFERROR(N(VLOOKUP(SUBSTITUTE(SUBSTITUTE(SUBSTITUTE($EJ36,"~","~~"),"*","~*"),"?","~?"),'DADOS_RESTRICOES'!$M$2:$Q$54,4,FALSE)=1),0))&gt;1,"Duas Restrições de frequência, contando a embutida",""),IF(AND(IFERROR(VLOOKUP(SUBSTITUTE(SUBSTITUTE(SUBSTITUTE(IFERROR(INDEX('DADOS_FORMAS'!$AS$2:$AS$21,MATCH(SUBSTITUTE(SUBSTITUTE(SUBSTITUTE($ED36,"~","~~"),"*","~*"),"?","~?"),'DADOS_FORMAS'!$AH$2:$AH$21,0)),""),"~","~~"),"*","~*"),"?","~?"),'DADOS_RESTRICOES'!$M$2:$Q$54,2,FALSE),"")="Tudo ou Nada",$FA36=0),"Tudo ou Nada exige TR",""),IF(AND(IFERROR(VLOOKUP(SUBSTITUTE(SUBSTITUTE(SUBSTITUTE(IFERROR(INDEX('DADOS_FORMAS'!$AS$2:$AS$21,MATCH(SUBSTITUTE(SUBSTITUTE(SUBSTITUTE($ED36,"~","~~"),"*","~*"),"?","~?"),'DADOS_FORMAS'!$AH$2:$AH$21,0)),""),"~","~~"),"*","~*"),"?","~?"),'DADOS_RESTRICOES'!$M$2:$Q$54,2,FALSE),"")="Corpo a Corpo",OR($LB36="Cone",$LB36="Linha")),"Corpo a Corpo não entra em Cone/Linha","")))</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inteira",IF(COUNTIF($LD36:$LF36,"Atrasar")&gt;0,IF(COUNTIF($LD36:$LF36,"Carregar")&gt;0,"Rodada +1 turno","Rodada inteira"),IF(COUNTIF($KW36:$KZ36,"Rápido")&gt;0,"Bônus",IF(COUNTIF($KW36:$KZ36,"Reação")&gt;0,"Reação","Padrão"))&amp;IF(COUNTIF($LD36:$LF36,"Carregar")&gt;0," +1 turno",""))))</f>
        <v/>
      </c>
      <c r="GT36" s="161">
        <f>IF(OR($EK36=0,$EL36=0),"",IF(COUNTIF($KW36:$KZ36,"Inescapável")&gt;0,"Automático",IF(COUNTIF($KW36:$KZ36,"Certeiro")&gt;0,"TR para metade",IF(AND($EX36&gt;0,$FA36=0,INDEX('DADOS_FORMAS'!$FQ$2:$FQ$21,$EL36)="Acerto"),"Acerto + TR",INDEX('DADOS_FORMAS'!$FQ$2:$FQ$21,$EL36)))))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IF($EL36=0,0,CHOOSE(1+INDEX('DADOS_FORMAS'!$FS$2:$FS$21,$EL36),0,$GV36,$GW36,$GV36+$GW36))</f>
        <v/>
      </c>
      <c r="GY36" s="161">
        <f>IF($EL36=0,0,CHOOSE(1+INDEX('DADOS_FORMAS'!$FT$2:$FT$21,$EL36),0,$GV36,$GW36,$GV36+$GW36))</f>
        <v/>
      </c>
      <c r="GZ36" s="161">
        <f>IF(OR($EK36=0,$EL36=0),"",INDEX('DADOS_FORMAS'!$GZ$2:$HE$61,($EL36-1)*3+IF($EB36&gt;=6,3,2),1+MIN(5,$GX36))&amp;INDEX('DADOS_FORMAS'!$HF$2:$HK$61,($EL36-1)*3+IF($EB36&gt;=6,3,2),1+MIN(5,$GY36))&amp;IF(INDEX('DADOS_FORMAS'!$FU$2:$FU$21,$EL36)=1,IF(COUNTIF($KW36:$KZ36,"Mais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c r="LB36">
        <f>IFERROR(INDEX('DADOS_FORMAS'!$BJ$2:$BJ$21,MATCH(SUBSTITUTE(SUBSTITUTE(SUBSTITUTE($ED36,"~","~~"),"*","~*"),"?","~?"),'DADOS_FORMAS'!$AH$2:$AH$21,0)),"")</f>
        <v/>
      </c>
      <c r="LC36">
        <f>IFERROR(VLOOKUP(SUBSTITUTE(SUBSTITUTE(SUBSTITUTE(IFERROR(INDEX('DADOS_FORMAS'!$AS$2:$AS$21,MATCH(SUBSTITUTE(SUBSTITUTE(SUBSTITUTE($ED36,"~","~~"),"*","~*"),"?","~?"),'DADOS_FORMAS'!$AH$2:$AH$21,0)),""),"~","~~"),"*","~*"),"?","~?"),'DADOS_RESTRICOES'!$M$2:$Q$54,2,FALSE),"")</f>
        <v/>
      </c>
      <c r="LD36">
        <f>$FD36</f>
        <v/>
      </c>
      <c r="LE36">
        <f>$FE36</f>
        <v/>
      </c>
      <c r="LF36">
        <f>$LC36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IFERROR(MATCH(SUBSTITUTE(SUBSTITUTE(SUBSTITUTE($ED37,"~","~~"),"*","~*"),"?","~?"),'DADOS_FORMAS'!$FJ$2:$FJ$21,0),0)</f>
        <v/>
      </c>
      <c r="EM37" s="161">
        <f>IF($EL37=0,0,INDEX('DADOS_FORMAS'!$FM$2:$FM$21,$EL37))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IF($EL37=0,0,INDEX('DADOS_FORMAS'!$FN$2:$FN$21,$EL37))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IF($EL37=0,0,INDEX('DADOS_FORMAS'!$FO$2:$FO$21,$EL37))</f>
        <v/>
      </c>
      <c r="EZ37" s="161">
        <f>IF($EL37=0,0,INDEX('DADOS_FORMAS'!$FP$2:$FP$21,$EL37))</f>
        <v/>
      </c>
      <c r="FA37" s="161">
        <f>IF($EL37=0,0,INDEX('DADOS_FORMAS'!$FR$2:$FR$21,$EL37))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IF(IFERROR(INDEX('DADOS_FORMAS'!$AS$2:$AS$21,MATCH(SUBSTITUTE(SUBSTITUTE(SUBSTITUTE($ED37,"~","~~"),"*","~*"),"?","~?"),'DADOS_FORMAS'!$AH$2:$AH$21,0)),"")="",0,IFERROR(N(VLOOKUP(SUBSTITUTE(SUBSTITUTE(SUBSTITUTE(IFERROR(INDEX('DADOS_FORMAS'!$AS$2:$AS$21,MATCH(SUBSTITUTE(SUBSTITUTE(SUBSTITUTE($ED37,"~","~~"),"*","~*"),"?","~?"),'DADOS_FORMAS'!$AH$2:$AH$21,0)),""),"~","~~"),"*","~*"),"?","~?"),'DADOS_RESTRICOES'!$M$2:$Q$54,3,FALSE)=1),0))</f>
        <v/>
      </c>
      <c r="FM37" s="161">
        <f>COUNTIF($FB37:$FC37,2)+IF(IFERROR(INDEX('DADOS_FORMAS'!$AS$2:$AS$21,MATCH(SUBSTITUTE(SUBSTITUTE(SUBSTITUTE($ED37,"~","~~"),"*","~*"),"?","~?"),'DADOS_FORMAS'!$AH$2:$AH$21,0)),"")="",0,IFERROR(N(VLOOKUP(SUBSTITUTE(SUBSTITUTE(SUBSTITUTE(IFERROR(INDEX('DADOS_FORMAS'!$AS$2:$AS$21,MATCH(SUBSTITUTE(SUBSTITUTE(SUBSTITUTE($ED37,"~","~~"),"*","~*"),"?","~?"),'DADOS_FORMAS'!$AH$2:$AH$21,0)),""),"~","~~"),"*","~*"),"?","~?"),'DADOS_RESTRICOES'!$M$2:$Q$54,3,FALSE)=2),0))</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Corpo")&gt;0,$EY37=0,OR($LB37="Cone",$LB37="Linha")),"Corpo a Corpo não entra em "&amp;$ED37,""),IF(AND(COUNTIF($FD37:$FE37,"Corpo a Corpo")&gt;0,$LC37="Corpo a Corpo"),"A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"&amp;$EJ37,""))),IF(AND($ED37&lt;&gt;"",COUNTIF('DADOS_FORMAS'!$AH$2:$AH$21,SUBSTITUTE(SUBSTITUTE(SUBSTITUTE($ED37,"~","~~"),"*","~*"),"?","~?"))=0),"Forma não cadastrada ou com erro: "&amp;$ED37,""),IF(AND(IFERROR(INDEX('DADOS_FORMAS'!$AS$2:$AS$21,MATCH(SUBSTITUTE(SUBSTITUTE(SUBSTITUTE($ED37,"~","~~"),"*","~*"),"?","~?"),'DADOS_FORMAS'!$AH$2:$AH$21,0)),"")&lt;&gt;"",OR(IFERROR(VLOOKUP(SUBSTITUTE(SUBSTITUTE(SUBSTITUTE(IFERROR(INDEX('DADOS_FORMAS'!$AS$2:$AS$21,MATCH(SUBSTITUTE(SUBSTITUTE(SUBSTITUTE($ED37,"~","~~"),"*","~*"),"?","~?"),'DADOS_FORMAS'!$AH$2:$AH$21,0)),""),"~","~~"),"*","~*"),"?","~?"),'DADOS_RESTRICOES'!$M$2:$Q$54,2,FALSE),"")=$FD37,IFERROR(VLOOKUP(SUBSTITUTE(SUBSTITUTE(SUBSTITUTE(IFERROR(INDEX('DADOS_FORMAS'!$AS$2:$AS$21,MATCH(SUBSTITUTE(SUBSTITUTE(SUBSTITUTE($ED37,"~","~~"),"*","~*"),"?","~?"),'DADOS_FORMAS'!$AH$2:$AH$21,0)),""),"~","~~"),"*","~*"),"?","~?"),'DADOS_RESTRICOES'!$M$2:$Q$54,2,FALSE),"")=$FE37)),"Restrição repetida, contando a embutida",""),IF(IF(IFERROR(INDEX('DADOS_FORMAS'!$AS$2:$AS$21,MATCH(SUBSTITUTE(SUBSTITUTE(SUBSTITUTE($ED37,"~","~~"),"*","~*"),"?","~?"),'DADOS_FORMAS'!$AH$2:$AH$21,0)),"")="",0,IFERROR(N(VLOOKUP(SUBSTITUTE(SUBSTITUTE(SUBSTITUTE(IFERROR(INDEX('DADOS_FORMAS'!$AS$2:$AS$21,MATCH(SUBSTITUTE(SUBSTITUTE(SUBSTITUTE($ED37,"~","~~"),"*","~*"),"?","~?"),'DADOS_FORMAS'!$AH$2:$AH$21,0)),""),"~","~~"),"*","~*"),"?","~?"),'DADOS_RESTRICOES'!$M$2:$Q$54,4,FALSE)=1),0))+IF($EI37="",0,IFERROR(N(VLOOKUP(SUBSTITUTE(SUBSTITUTE(SUBSTITUTE($EI37,"~","~~"),"*","~*"),"?","~?"),'DADOS_RESTRICOES'!$M$2:$Q$54,4,FALSE)=1),0))+IF($EJ37="",0,IFERROR(N(VLOOKUP(SUBSTITUTE(SUBSTITUTE(SUBSTITUTE($EJ37,"~","~~"),"*","~*"),"?","~?"),'DADOS_RESTRICOES'!$M$2:$Q$54,4,FALSE)=1),0))&gt;1,"Duas Restrições de frequência, contando a embutida",""),IF(AND(IFERROR(VLOOKUP(SUBSTITUTE(SUBSTITUTE(SUBSTITUTE(IFERROR(INDEX('DADOS_FORMAS'!$AS$2:$AS$21,MATCH(SUBSTITUTE(SUBSTITUTE(SUBSTITUTE($ED37,"~","~~"),"*","~*"),"?","~?"),'DADOS_FORMAS'!$AH$2:$AH$21,0)),""),"~","~~"),"*","~*"),"?","~?"),'DADOS_RESTRICOES'!$M$2:$Q$54,2,FALSE),"")="Tudo ou Nada",$FA37=0),"Tudo ou Nada exige TR",""),IF(AND(IFERROR(VLOOKUP(SUBSTITUTE(SUBSTITUTE(SUBSTITUTE(IFERROR(INDEX('DADOS_FORMAS'!$AS$2:$AS$21,MATCH(SUBSTITUTE(SUBSTITUTE(SUBSTITUTE($ED37,"~","~~"),"*","~*"),"?","~?"),'DADOS_FORMAS'!$AH$2:$AH$21,0)),""),"~","~~"),"*","~*"),"?","~?"),'DADOS_RESTRICOES'!$M$2:$Q$54,2,FALSE),"")="Corpo a Corpo",OR($LB37="Cone",$LB37="Linha")),"Corpo a Corpo não entra em Cone/Linha","")))</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inteira",IF(COUNTIF($LD37:$LF37,"Atrasar")&gt;0,IF(COUNTIF($LD37:$LF37,"Carregar")&gt;0,"Rodada +1 turno","Rodada inteira"),IF(COUNTIF($KW37:$KZ37,"Rápido")&gt;0,"Bônus",IF(COUNTIF($KW37:$KZ37,"Reação")&gt;0,"Reação","Padrão"))&amp;IF(COUNTIF($LD37:$LF37,"Carregar")&gt;0," +1 turno",""))))</f>
        <v/>
      </c>
      <c r="GT37" s="161">
        <f>IF(OR($EK37=0,$EL37=0),"",IF(COUNTIF($KW37:$KZ37,"Inescapável")&gt;0,"Automático",IF(COUNTIF($KW37:$KZ37,"Certeiro")&gt;0,"TR para metade",IF(AND($EX37&gt;0,$FA37=0,INDEX('DADOS_FORMAS'!$FQ$2:$FQ$21,$EL37)="Acerto"),"Acerto + TR",INDEX('DADOS_FORMAS'!$FQ$2:$FQ$21,$EL37)))))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IF($EL37=0,0,CHOOSE(1+INDEX('DADOS_FORMAS'!$FS$2:$FS$21,$EL37),0,$GV37,$GW37,$GV37+$GW37))</f>
        <v/>
      </c>
      <c r="GY37" s="161">
        <f>IF($EL37=0,0,CHOOSE(1+INDEX('DADOS_FORMAS'!$FT$2:$FT$21,$EL37),0,$GV37,$GW37,$GV37+$GW37))</f>
        <v/>
      </c>
      <c r="GZ37" s="161">
        <f>IF(OR($EK37=0,$EL37=0),"",INDEX('DADOS_FORMAS'!$GZ$2:$HE$61,($EL37-1)*3+IF($EB37&gt;=6,3,2),1+MIN(5,$GX37))&amp;INDEX('DADOS_FORMAS'!$HF$2:$HK$61,($EL37-1)*3+IF($EB37&gt;=6,3,2),1+MIN(5,$GY37))&amp;IF(INDEX('DADOS_FORMAS'!$FU$2:$FU$21,$EL37)=1,IF(COUNTIF($KW37:$KZ37,"Mais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c r="LB37">
        <f>IFERROR(INDEX('DADOS_FORMAS'!$BJ$2:$BJ$21,MATCH(SUBSTITUTE(SUBSTITUTE(SUBSTITUTE($ED37,"~","~~"),"*","~*"),"?","~?"),'DADOS_FORMAS'!$AH$2:$AH$21,0)),"")</f>
        <v/>
      </c>
      <c r="LC37">
        <f>IFERROR(VLOOKUP(SUBSTITUTE(SUBSTITUTE(SUBSTITUTE(IFERROR(INDEX('DADOS_FORMAS'!$AS$2:$AS$21,MATCH(SUBSTITUTE(SUBSTITUTE(SUBSTITUTE($ED37,"~","~~"),"*","~*"),"?","~?"),'DADOS_FORMAS'!$AH$2:$AH$21,0)),""),"~","~~"),"*","~*"),"?","~?"),'DADOS_RESTRICOES'!$M$2:$Q$54,2,FALSE),"")</f>
        <v/>
      </c>
      <c r="LD37">
        <f>$FD37</f>
        <v/>
      </c>
      <c r="LE37">
        <f>$FE37</f>
        <v/>
      </c>
      <c r="LF37">
        <f>$LC37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IFERROR(MATCH(SUBSTITUTE(SUBSTITUTE(SUBSTITUTE($ED38,"~","~~"),"*","~*"),"?","~?"),'DADOS_FORMAS'!$FJ$2:$FJ$21,0),0)</f>
        <v/>
      </c>
      <c r="EM38" s="161">
        <f>IF($EL38=0,0,INDEX('DADOS_FORMAS'!$FM$2:$FM$21,$EL38))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IF($EL38=0,0,INDEX('DADOS_FORMAS'!$FN$2:$FN$21,$EL38))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IF($EL38=0,0,INDEX('DADOS_FORMAS'!$FO$2:$FO$21,$EL38))</f>
        <v/>
      </c>
      <c r="EZ38" s="161">
        <f>IF($EL38=0,0,INDEX('DADOS_FORMAS'!$FP$2:$FP$21,$EL38))</f>
        <v/>
      </c>
      <c r="FA38" s="161">
        <f>IF($EL38=0,0,INDEX('DADOS_FORMAS'!$FR$2:$FR$21,$EL38))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IF(IFERROR(INDEX('DADOS_FORMAS'!$AS$2:$AS$21,MATCH(SUBSTITUTE(SUBSTITUTE(SUBSTITUTE($ED38,"~","~~"),"*","~*"),"?","~?"),'DADOS_FORMAS'!$AH$2:$AH$21,0)),"")="",0,IFERROR(N(VLOOKUP(SUBSTITUTE(SUBSTITUTE(SUBSTITUTE(IFERROR(INDEX('DADOS_FORMAS'!$AS$2:$AS$21,MATCH(SUBSTITUTE(SUBSTITUTE(SUBSTITUTE($ED38,"~","~~"),"*","~*"),"?","~?"),'DADOS_FORMAS'!$AH$2:$AH$21,0)),""),"~","~~"),"*","~*"),"?","~?"),'DADOS_RESTRICOES'!$M$2:$Q$54,3,FALSE)=1),0))</f>
        <v/>
      </c>
      <c r="FM38" s="161">
        <f>COUNTIF($FB38:$FC38,2)+IF(IFERROR(INDEX('DADOS_FORMAS'!$AS$2:$AS$21,MATCH(SUBSTITUTE(SUBSTITUTE(SUBSTITUTE($ED38,"~","~~"),"*","~*"),"?","~?"),'DADOS_FORMAS'!$AH$2:$AH$21,0)),"")="",0,IFERROR(N(VLOOKUP(SUBSTITUTE(SUBSTITUTE(SUBSTITUTE(IFERROR(INDEX('DADOS_FORMAS'!$AS$2:$AS$21,MATCH(SUBSTITUTE(SUBSTITUTE(SUBSTITUTE($ED38,"~","~~"),"*","~*"),"?","~?"),'DADOS_FORMAS'!$AH$2:$AH$21,0)),""),"~","~~"),"*","~*"),"?","~?"),'DADOS_RESTRICOES'!$M$2:$Q$54,3,FALSE)=2),0))</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Corpo")&gt;0,$EY38=0,OR($LB38="Cone",$LB38="Linha")),"Corpo a Corpo não entra em "&amp;$ED38,""),IF(AND(COUNTIF($FD38:$FE38,"Corpo a Corpo")&gt;0,$LC38="Corpo a Corpo"),"A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"&amp;$EJ38,""))),IF(AND($ED38&lt;&gt;"",COUNTIF('DADOS_FORMAS'!$AH$2:$AH$21,SUBSTITUTE(SUBSTITUTE(SUBSTITUTE($ED38,"~","~~"),"*","~*"),"?","~?"))=0),"Forma não cadastrada ou com erro: "&amp;$ED38,""),IF(AND(IFERROR(INDEX('DADOS_FORMAS'!$AS$2:$AS$21,MATCH(SUBSTITUTE(SUBSTITUTE(SUBSTITUTE($ED38,"~","~~"),"*","~*"),"?","~?"),'DADOS_FORMAS'!$AH$2:$AH$21,0)),"")&lt;&gt;"",OR(IFERROR(VLOOKUP(SUBSTITUTE(SUBSTITUTE(SUBSTITUTE(IFERROR(INDEX('DADOS_FORMAS'!$AS$2:$AS$21,MATCH(SUBSTITUTE(SUBSTITUTE(SUBSTITUTE($ED38,"~","~~"),"*","~*"),"?","~?"),'DADOS_FORMAS'!$AH$2:$AH$21,0)),""),"~","~~"),"*","~*"),"?","~?"),'DADOS_RESTRICOES'!$M$2:$Q$54,2,FALSE),"")=$FD38,IFERROR(VLOOKUP(SUBSTITUTE(SUBSTITUTE(SUBSTITUTE(IFERROR(INDEX('DADOS_FORMAS'!$AS$2:$AS$21,MATCH(SUBSTITUTE(SUBSTITUTE(SUBSTITUTE($ED38,"~","~~"),"*","~*"),"?","~?"),'DADOS_FORMAS'!$AH$2:$AH$21,0)),""),"~","~~"),"*","~*"),"?","~?"),'DADOS_RESTRICOES'!$M$2:$Q$54,2,FALSE),"")=$FE38)),"Restrição repetida, contando a embutida",""),IF(IF(IFERROR(INDEX('DADOS_FORMAS'!$AS$2:$AS$21,MATCH(SUBSTITUTE(SUBSTITUTE(SUBSTITUTE($ED38,"~","~~"),"*","~*"),"?","~?"),'DADOS_FORMAS'!$AH$2:$AH$21,0)),"")="",0,IFERROR(N(VLOOKUP(SUBSTITUTE(SUBSTITUTE(SUBSTITUTE(IFERROR(INDEX('DADOS_FORMAS'!$AS$2:$AS$21,MATCH(SUBSTITUTE(SUBSTITUTE(SUBSTITUTE($ED38,"~","~~"),"*","~*"),"?","~?"),'DADOS_FORMAS'!$AH$2:$AH$21,0)),""),"~","~~"),"*","~*"),"?","~?"),'DADOS_RESTRICOES'!$M$2:$Q$54,4,FALSE)=1),0))+IF($EI38="",0,IFERROR(N(VLOOKUP(SUBSTITUTE(SUBSTITUTE(SUBSTITUTE($EI38,"~","~~"),"*","~*"),"?","~?"),'DADOS_RESTRICOES'!$M$2:$Q$54,4,FALSE)=1),0))+IF($EJ38="",0,IFERROR(N(VLOOKUP(SUBSTITUTE(SUBSTITUTE(SUBSTITUTE($EJ38,"~","~~"),"*","~*"),"?","~?"),'DADOS_RESTRICOES'!$M$2:$Q$54,4,FALSE)=1),0))&gt;1,"Duas Restrições de frequência, contando a embutida",""),IF(AND(IFERROR(VLOOKUP(SUBSTITUTE(SUBSTITUTE(SUBSTITUTE(IFERROR(INDEX('DADOS_FORMAS'!$AS$2:$AS$21,MATCH(SUBSTITUTE(SUBSTITUTE(SUBSTITUTE($ED38,"~","~~"),"*","~*"),"?","~?"),'DADOS_FORMAS'!$AH$2:$AH$21,0)),""),"~","~~"),"*","~*"),"?","~?"),'DADOS_RESTRICOES'!$M$2:$Q$54,2,FALSE),"")="Tudo ou Nada",$FA38=0),"Tudo ou Nada exige TR",""),IF(AND(IFERROR(VLOOKUP(SUBSTITUTE(SUBSTITUTE(SUBSTITUTE(IFERROR(INDEX('DADOS_FORMAS'!$AS$2:$AS$21,MATCH(SUBSTITUTE(SUBSTITUTE(SUBSTITUTE($ED38,"~","~~"),"*","~*"),"?","~?"),'DADOS_FORMAS'!$AH$2:$AH$21,0)),""),"~","~~"),"*","~*"),"?","~?"),'DADOS_RESTRICOES'!$M$2:$Q$54,2,FALSE),"")="Corpo a Corpo",OR($LB38="Cone",$LB38="Linha")),"Corpo a Corpo não entra em Cone/Linha","")))</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inteira",IF(COUNTIF($LD38:$LF38,"Atrasar")&gt;0,IF(COUNTIF($LD38:$LF38,"Carregar")&gt;0,"Rodada +1 turno","Rodada inteira"),IF(COUNTIF($KW38:$KZ38,"Rápido")&gt;0,"Bônus",IF(COUNTIF($KW38:$KZ38,"Reação")&gt;0,"Reação","Padrão"))&amp;IF(COUNTIF($LD38:$LF38,"Carregar")&gt;0," +1 turno",""))))</f>
        <v/>
      </c>
      <c r="GT38" s="161">
        <f>IF(OR($EK38=0,$EL38=0),"",IF(COUNTIF($KW38:$KZ38,"Inescapável")&gt;0,"Automático",IF(COUNTIF($KW38:$KZ38,"Certeiro")&gt;0,"TR para metade",IF(AND($EX38&gt;0,$FA38=0,INDEX('DADOS_FORMAS'!$FQ$2:$FQ$21,$EL38)="Acerto"),"Acerto + TR",INDEX('DADOS_FORMAS'!$FQ$2:$FQ$21,$EL38)))))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IF($EL38=0,0,CHOOSE(1+INDEX('DADOS_FORMAS'!$FS$2:$FS$21,$EL38),0,$GV38,$GW38,$GV38+$GW38))</f>
        <v/>
      </c>
      <c r="GY38" s="161">
        <f>IF($EL38=0,0,CHOOSE(1+INDEX('DADOS_FORMAS'!$FT$2:$FT$21,$EL38),0,$GV38,$GW38,$GV38+$GW38))</f>
        <v/>
      </c>
      <c r="GZ38" s="161">
        <f>IF(OR($EK38=0,$EL38=0),"",INDEX('DADOS_FORMAS'!$GZ$2:$HE$61,($EL38-1)*3+IF($EB38&gt;=6,3,2),1+MIN(5,$GX38))&amp;INDEX('DADOS_FORMAS'!$HF$2:$HK$61,($EL38-1)*3+IF($EB38&gt;=6,3,2),1+MIN(5,$GY38))&amp;IF(INDEX('DADOS_FORMAS'!$FU$2:$FU$21,$EL38)=1,IF(COUNTIF($KW38:$KZ38,"Mais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IF(IFERROR(VLOOKUP(SUBSTITUTE(SUBSTITUTE(SUBSTITUTE('FICHA AMALDIÇOADA'!$J$343,"~","~~"),"*","~*"),"?","~?"),'DADOS_FORMAS'!$FJ$2:$FM$21,4,FALSE),0)=0,0,INDEX($Q$2:$V$8,$HM$4,IFERROR(VLOOKUP(SUBSTITUTE(SUBSTITUTE(SUBSTITUTE('FICHA AMALDIÇOADA'!$J$343,"~","~~"),"*","~*"),"?","~?"),'DADOS_FORMAS'!$FJ$2:$FM$21,4,FALSE),0)))+IF(IFERROR(VLOOKUP(SUBSTITUTE(SUBSTITUTE(SUBSTITUTE('FICHA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c r="LB38">
        <f>IFERROR(INDEX('DADOS_FORMAS'!$BJ$2:$BJ$21,MATCH(SUBSTITUTE(SUBSTITUTE(SUBSTITUTE($ED38,"~","~~"),"*","~*"),"?","~?"),'DADOS_FORMAS'!$AH$2:$AH$21,0)),"")</f>
        <v/>
      </c>
      <c r="LC38">
        <f>IFERROR(VLOOKUP(SUBSTITUTE(SUBSTITUTE(SUBSTITUTE(IFERROR(INDEX('DADOS_FORMAS'!$AS$2:$AS$21,MATCH(SUBSTITUTE(SUBSTITUTE(SUBSTITUTE($ED38,"~","~~"),"*","~*"),"?","~?"),'DADOS_FORMAS'!$AH$2:$AH$21,0)),""),"~","~~"),"*","~*"),"?","~?"),'DADOS_RESTRICOES'!$M$2:$Q$54,2,FALSE),"")</f>
        <v/>
      </c>
      <c r="LD38">
        <f>$FD38</f>
        <v/>
      </c>
      <c r="LE38">
        <f>$FE38</f>
        <v/>
      </c>
      <c r="LF38">
        <f>$LC38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IFERROR(MATCH(SUBSTITUTE(SUBSTITUTE(SUBSTITUTE($ED39,"~","~~"),"*","~*"),"?","~?"),'DADOS_FORMAS'!$FJ$2:$FJ$21,0),0)</f>
        <v/>
      </c>
      <c r="EM39" s="161">
        <f>IF($EL39=0,0,INDEX('DADOS_FORMAS'!$FM$2:$FM$21,$EL39))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IF($EL39=0,0,INDEX('DADOS_FORMAS'!$FN$2:$FN$21,$EL39))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IF($EL39=0,0,INDEX('DADOS_FORMAS'!$FO$2:$FO$21,$EL39))</f>
        <v/>
      </c>
      <c r="EZ39" s="161">
        <f>IF($EL39=0,0,INDEX('DADOS_FORMAS'!$FP$2:$FP$21,$EL39))</f>
        <v/>
      </c>
      <c r="FA39" s="161">
        <f>IF($EL39=0,0,INDEX('DADOS_FORMAS'!$FR$2:$FR$21,$EL39))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IF(IFERROR(INDEX('DADOS_FORMAS'!$AS$2:$AS$21,MATCH(SUBSTITUTE(SUBSTITUTE(SUBSTITUTE($ED39,"~","~~"),"*","~*"),"?","~?"),'DADOS_FORMAS'!$AH$2:$AH$21,0)),"")="",0,IFERROR(N(VLOOKUP(SUBSTITUTE(SUBSTITUTE(SUBSTITUTE(IFERROR(INDEX('DADOS_FORMAS'!$AS$2:$AS$21,MATCH(SUBSTITUTE(SUBSTITUTE(SUBSTITUTE($ED39,"~","~~"),"*","~*"),"?","~?"),'DADOS_FORMAS'!$AH$2:$AH$21,0)),""),"~","~~"),"*","~*"),"?","~?"),'DADOS_RESTRICOES'!$M$2:$Q$54,3,FALSE)=1),0))</f>
        <v/>
      </c>
      <c r="FM39" s="161">
        <f>COUNTIF($FB39:$FC39,2)+IF(IFERROR(INDEX('DADOS_FORMAS'!$AS$2:$AS$21,MATCH(SUBSTITUTE(SUBSTITUTE(SUBSTITUTE($ED39,"~","~~"),"*","~*"),"?","~?"),'DADOS_FORMAS'!$AH$2:$AH$21,0)),"")="",0,IFERROR(N(VLOOKUP(SUBSTITUTE(SUBSTITUTE(SUBSTITUTE(IFERROR(INDEX('DADOS_FORMAS'!$AS$2:$AS$21,MATCH(SUBSTITUTE(SUBSTITUTE(SUBSTITUTE($ED39,"~","~~"),"*","~*"),"?","~?"),'DADOS_FORMAS'!$AH$2:$AH$21,0)),""),"~","~~"),"*","~*"),"?","~?"),'DADOS_RESTRICOES'!$M$2:$Q$54,3,FALSE)=2),0))</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Corpo")&gt;0,$EY39=0,OR($LB39="Cone",$LB39="Linha")),"Corpo a Corpo não entra em "&amp;$ED39,""),IF(AND(COUNTIF($FD39:$FE39,"Corpo a Corpo")&gt;0,$LC39="Corpo a Corpo"),"A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"&amp;$EJ39,""))),IF(AND($ED39&lt;&gt;"",COUNTIF('DADOS_FORMAS'!$AH$2:$AH$21,SUBSTITUTE(SUBSTITUTE(SUBSTITUTE($ED39,"~","~~"),"*","~*"),"?","~?"))=0),"Forma não cadastrada ou com erro: "&amp;$ED39,""),IF(AND(IFERROR(INDEX('DADOS_FORMAS'!$AS$2:$AS$21,MATCH(SUBSTITUTE(SUBSTITUTE(SUBSTITUTE($ED39,"~","~~"),"*","~*"),"?","~?"),'DADOS_FORMAS'!$AH$2:$AH$21,0)),"")&lt;&gt;"",OR(IFERROR(VLOOKUP(SUBSTITUTE(SUBSTITUTE(SUBSTITUTE(IFERROR(INDEX('DADOS_FORMAS'!$AS$2:$AS$21,MATCH(SUBSTITUTE(SUBSTITUTE(SUBSTITUTE($ED39,"~","~~"),"*","~*"),"?","~?"),'DADOS_FORMAS'!$AH$2:$AH$21,0)),""),"~","~~"),"*","~*"),"?","~?"),'DADOS_RESTRICOES'!$M$2:$Q$54,2,FALSE),"")=$FD39,IFERROR(VLOOKUP(SUBSTITUTE(SUBSTITUTE(SUBSTITUTE(IFERROR(INDEX('DADOS_FORMAS'!$AS$2:$AS$21,MATCH(SUBSTITUTE(SUBSTITUTE(SUBSTITUTE($ED39,"~","~~"),"*","~*"),"?","~?"),'DADOS_FORMAS'!$AH$2:$AH$21,0)),""),"~","~~"),"*","~*"),"?","~?"),'DADOS_RESTRICOES'!$M$2:$Q$54,2,FALSE),"")=$FE39)),"Restrição repetida, contando a embutida",""),IF(IF(IFERROR(INDEX('DADOS_FORMAS'!$AS$2:$AS$21,MATCH(SUBSTITUTE(SUBSTITUTE(SUBSTITUTE($ED39,"~","~~"),"*","~*"),"?","~?"),'DADOS_FORMAS'!$AH$2:$AH$21,0)),"")="",0,IFERROR(N(VLOOKUP(SUBSTITUTE(SUBSTITUTE(SUBSTITUTE(IFERROR(INDEX('DADOS_FORMAS'!$AS$2:$AS$21,MATCH(SUBSTITUTE(SUBSTITUTE(SUBSTITUTE($ED39,"~","~~"),"*","~*"),"?","~?"),'DADOS_FORMAS'!$AH$2:$AH$21,0)),""),"~","~~"),"*","~*"),"?","~?"),'DADOS_RESTRICOES'!$M$2:$Q$54,4,FALSE)=1),0))+IF($EI39="",0,IFERROR(N(VLOOKUP(SUBSTITUTE(SUBSTITUTE(SUBSTITUTE($EI39,"~","~~"),"*","~*"),"?","~?"),'DADOS_RESTRICOES'!$M$2:$Q$54,4,FALSE)=1),0))+IF($EJ39="",0,IFERROR(N(VLOOKUP(SUBSTITUTE(SUBSTITUTE(SUBSTITUTE($EJ39,"~","~~"),"*","~*"),"?","~?"),'DADOS_RESTRICOES'!$M$2:$Q$54,4,FALSE)=1),0))&gt;1,"Duas Restrições de frequência, contando a embutida",""),IF(AND(IFERROR(VLOOKUP(SUBSTITUTE(SUBSTITUTE(SUBSTITUTE(IFERROR(INDEX('DADOS_FORMAS'!$AS$2:$AS$21,MATCH(SUBSTITUTE(SUBSTITUTE(SUBSTITUTE($ED39,"~","~~"),"*","~*"),"?","~?"),'DADOS_FORMAS'!$AH$2:$AH$21,0)),""),"~","~~"),"*","~*"),"?","~?"),'DADOS_RESTRICOES'!$M$2:$Q$54,2,FALSE),"")="Tudo ou Nada",$FA39=0),"Tudo ou Nada exige TR",""),IF(AND(IFERROR(VLOOKUP(SUBSTITUTE(SUBSTITUTE(SUBSTITUTE(IFERROR(INDEX('DADOS_FORMAS'!$AS$2:$AS$21,MATCH(SUBSTITUTE(SUBSTITUTE(SUBSTITUTE($ED39,"~","~~"),"*","~*"),"?","~?"),'DADOS_FORMAS'!$AH$2:$AH$21,0)),""),"~","~~"),"*","~*"),"?","~?"),'DADOS_RESTRICOES'!$M$2:$Q$54,2,FALSE),"")="Corpo a Corpo",OR($LB39="Cone",$LB39="Linha")),"Corpo a Corpo não entra em Cone/Linha","")))</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inteira",IF(COUNTIF($LD39:$LF39,"Atrasar")&gt;0,IF(COUNTIF($LD39:$LF39,"Carregar")&gt;0,"Rodada +1 turno","Rodada inteira"),IF(COUNTIF($KW39:$KZ39,"Rápido")&gt;0,"Bônus",IF(COUNTIF($KW39:$KZ39,"Reação")&gt;0,"Reação","Padrão"))&amp;IF(COUNTIF($LD39:$LF39,"Carregar")&gt;0," +1 turno",""))))</f>
        <v/>
      </c>
      <c r="GT39" s="161">
        <f>IF(OR($EK39=0,$EL39=0),"",IF(COUNTIF($KW39:$KZ39,"Inescapável")&gt;0,"Automático",IF(COUNTIF($KW39:$KZ39,"Certeiro")&gt;0,"TR para metade",IF(AND($EX39&gt;0,$FA39=0,INDEX('DADOS_FORMAS'!$FQ$2:$FQ$21,$EL39)="Acerto"),"Acerto + TR",INDEX('DADOS_FORMAS'!$FQ$2:$FQ$21,$EL39)))))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IF($EL39=0,0,CHOOSE(1+INDEX('DADOS_FORMAS'!$FS$2:$FS$21,$EL39),0,$GV39,$GW39,$GV39+$GW39))</f>
        <v/>
      </c>
      <c r="GY39" s="161">
        <f>IF($EL39=0,0,CHOOSE(1+INDEX('DADOS_FORMAS'!$FT$2:$FT$21,$EL39),0,$GV39,$GW39,$GV39+$GW39))</f>
        <v/>
      </c>
      <c r="GZ39" s="161">
        <f>IF(OR($EK39=0,$EL39=0),"",INDEX('DADOS_FORMAS'!$GZ$2:$HE$61,($EL39-1)*3+IF($EB39&gt;=6,3,2),1+MIN(5,$GX39))&amp;INDEX('DADOS_FORMAS'!$HF$2:$HK$61,($EL39-1)*3+IF($EB39&gt;=6,3,2),1+MIN(5,$GY39))&amp;IF(INDEX('DADOS_FORMAS'!$FU$2:$FU$21,$EL39)=1,IF(COUNTIF($KW39:$KZ39,"Mais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IFERROR(VLOOKUP(SUBSTITUTE(SUBSTITUTE(SUBSTITUTE('FICHA AMALDIÇOADA'!$J$343,"~","~~"),"*","~*"),"?","~?"),'DADOS_FORMAS'!$FJ$2:$FN$21,5,FALSE),0)+IFERROR(VLOOKUP(SUBSTITUTE(SUBSTITUTE(SUBSTITUTE('FICHA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c r="LB39">
        <f>IFERROR(INDEX('DADOS_FORMAS'!$BJ$2:$BJ$21,MATCH(SUBSTITUTE(SUBSTITUTE(SUBSTITUTE($ED39,"~","~~"),"*","~*"),"?","~?"),'DADOS_FORMAS'!$AH$2:$AH$21,0)),"")</f>
        <v/>
      </c>
      <c r="LC39">
        <f>IFERROR(VLOOKUP(SUBSTITUTE(SUBSTITUTE(SUBSTITUTE(IFERROR(INDEX('DADOS_FORMAS'!$AS$2:$AS$21,MATCH(SUBSTITUTE(SUBSTITUTE(SUBSTITUTE($ED39,"~","~~"),"*","~*"),"?","~?"),'DADOS_FORMAS'!$AH$2:$AH$21,0)),""),"~","~~"),"*","~*"),"?","~?"),'DADOS_RESTRICOES'!$M$2:$Q$54,2,FALSE),"")</f>
        <v/>
      </c>
      <c r="LD39">
        <f>$FD39</f>
        <v/>
      </c>
      <c r="LE39">
        <f>$FE39</f>
        <v/>
      </c>
      <c r="LF39">
        <f>$LC39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IFERROR(MATCH(SUBSTITUTE(SUBSTITUTE(SUBSTITUTE($ED40,"~","~~"),"*","~*"),"?","~?"),'DADOS_FORMAS'!$FJ$2:$FJ$21,0),0)</f>
        <v/>
      </c>
      <c r="EM40" s="161">
        <f>IF($EL40=0,0,INDEX('DADOS_FORMAS'!$FM$2:$FM$21,$EL40))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IF($EL40=0,0,INDEX('DADOS_FORMAS'!$FN$2:$FN$21,$EL40))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IF($EL40=0,0,INDEX('DADOS_FORMAS'!$FO$2:$FO$21,$EL40))</f>
        <v/>
      </c>
      <c r="EZ40" s="161">
        <f>IF($EL40=0,0,INDEX('DADOS_FORMAS'!$FP$2:$FP$21,$EL40))</f>
        <v/>
      </c>
      <c r="FA40" s="161">
        <f>IF($EL40=0,0,INDEX('DADOS_FORMAS'!$FR$2:$FR$21,$EL40))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IF(IFERROR(INDEX('DADOS_FORMAS'!$AS$2:$AS$21,MATCH(SUBSTITUTE(SUBSTITUTE(SUBSTITUTE($ED40,"~","~~"),"*","~*"),"?","~?"),'DADOS_FORMAS'!$AH$2:$AH$21,0)),"")="",0,IFERROR(N(VLOOKUP(SUBSTITUTE(SUBSTITUTE(SUBSTITUTE(IFERROR(INDEX('DADOS_FORMAS'!$AS$2:$AS$21,MATCH(SUBSTITUTE(SUBSTITUTE(SUBSTITUTE($ED40,"~","~~"),"*","~*"),"?","~?"),'DADOS_FORMAS'!$AH$2:$AH$21,0)),""),"~","~~"),"*","~*"),"?","~?"),'DADOS_RESTRICOES'!$M$2:$Q$54,3,FALSE)=1),0))</f>
        <v/>
      </c>
      <c r="FM40" s="161">
        <f>COUNTIF($FB40:$FC40,2)+IF(IFERROR(INDEX('DADOS_FORMAS'!$AS$2:$AS$21,MATCH(SUBSTITUTE(SUBSTITUTE(SUBSTITUTE($ED40,"~","~~"),"*","~*"),"?","~?"),'DADOS_FORMAS'!$AH$2:$AH$21,0)),"")="",0,IFERROR(N(VLOOKUP(SUBSTITUTE(SUBSTITUTE(SUBSTITUTE(IFERROR(INDEX('DADOS_FORMAS'!$AS$2:$AS$21,MATCH(SUBSTITUTE(SUBSTITUTE(SUBSTITUTE($ED40,"~","~~"),"*","~*"),"?","~?"),'DADOS_FORMAS'!$AH$2:$AH$21,0)),""),"~","~~"),"*","~*"),"?","~?"),'DADOS_RESTRICOES'!$M$2:$Q$54,3,FALSE)=2),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Corpo")&gt;0,$EY40=0,OR($LB40="Cone",$LB40="Linha")),"Corpo a Corpo não entra em "&amp;$ED40,""),IF(AND(COUNTIF($FD40:$FE40,"Corpo a Corpo")&gt;0,$LC40="Corpo a Corpo"),"A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"&amp;$EJ40,""))),IF(AND($ED40&lt;&gt;"",COUNTIF('DADOS_FORMAS'!$AH$2:$AH$21,SUBSTITUTE(SUBSTITUTE(SUBSTITUTE($ED40,"~","~~"),"*","~*"),"?","~?"))=0),"Forma não cadastrada ou com erro: "&amp;$ED40,""),IF(AND(IFERROR(INDEX('DADOS_FORMAS'!$AS$2:$AS$21,MATCH(SUBSTITUTE(SUBSTITUTE(SUBSTITUTE($ED40,"~","~~"),"*","~*"),"?","~?"),'DADOS_FORMAS'!$AH$2:$AH$21,0)),"")&lt;&gt;"",OR(IFERROR(VLOOKUP(SUBSTITUTE(SUBSTITUTE(SUBSTITUTE(IFERROR(INDEX('DADOS_FORMAS'!$AS$2:$AS$21,MATCH(SUBSTITUTE(SUBSTITUTE(SUBSTITUTE($ED40,"~","~~"),"*","~*"),"?","~?"),'DADOS_FORMAS'!$AH$2:$AH$21,0)),""),"~","~~"),"*","~*"),"?","~?"),'DADOS_RESTRICOES'!$M$2:$Q$54,2,FALSE),"")=$FD40,IFERROR(VLOOKUP(SUBSTITUTE(SUBSTITUTE(SUBSTITUTE(IFERROR(INDEX('DADOS_FORMAS'!$AS$2:$AS$21,MATCH(SUBSTITUTE(SUBSTITUTE(SUBSTITUTE($ED40,"~","~~"),"*","~*"),"?","~?"),'DADOS_FORMAS'!$AH$2:$AH$21,0)),""),"~","~~"),"*","~*"),"?","~?"),'DADOS_RESTRICOES'!$M$2:$Q$54,2,FALSE),"")=$FE40)),"Restrição repetida, contando a embutida",""),IF(IF(IFERROR(INDEX('DADOS_FORMAS'!$AS$2:$AS$21,MATCH(SUBSTITUTE(SUBSTITUTE(SUBSTITUTE($ED40,"~","~~"),"*","~*"),"?","~?"),'DADOS_FORMAS'!$AH$2:$AH$21,0)),"")="",0,IFERROR(N(VLOOKUP(SUBSTITUTE(SUBSTITUTE(SUBSTITUTE(IFERROR(INDEX('DADOS_FORMAS'!$AS$2:$AS$21,MATCH(SUBSTITUTE(SUBSTITUTE(SUBSTITUTE($ED40,"~","~~"),"*","~*"),"?","~?"),'DADOS_FORMAS'!$AH$2:$AH$21,0)),""),"~","~~"),"*","~*"),"?","~?"),'DADOS_RESTRICOES'!$M$2:$Q$54,4,FALSE)=1),0))+IF($EI40="",0,IFERROR(N(VLOOKUP(SUBSTITUTE(SUBSTITUTE(SUBSTITUTE($EI40,"~","~~"),"*","~*"),"?","~?"),'DADOS_RESTRICOES'!$M$2:$Q$54,4,FALSE)=1),0))+IF($EJ40="",0,IFERROR(N(VLOOKUP(SUBSTITUTE(SUBSTITUTE(SUBSTITUTE($EJ40,"~","~~"),"*","~*"),"?","~?"),'DADOS_RESTRICOES'!$M$2:$Q$54,4,FALSE)=1),0))&gt;1,"Duas Restrições de frequência, contando a embutida",""),IF(AND(IFERROR(VLOOKUP(SUBSTITUTE(SUBSTITUTE(SUBSTITUTE(IFERROR(INDEX('DADOS_FORMAS'!$AS$2:$AS$21,MATCH(SUBSTITUTE(SUBSTITUTE(SUBSTITUTE($ED40,"~","~~"),"*","~*"),"?","~?"),'DADOS_FORMAS'!$AH$2:$AH$21,0)),""),"~","~~"),"*","~*"),"?","~?"),'DADOS_RESTRICOES'!$M$2:$Q$54,2,FALSE),"")="Tudo ou Nada",$FA40=0),"Tudo ou Nada exige TR",""),IF(AND(IFERROR(VLOOKUP(SUBSTITUTE(SUBSTITUTE(SUBSTITUTE(IFERROR(INDEX('DADOS_FORMAS'!$AS$2:$AS$21,MATCH(SUBSTITUTE(SUBSTITUTE(SUBSTITUTE($ED40,"~","~~"),"*","~*"),"?","~?"),'DADOS_FORMAS'!$AH$2:$AH$21,0)),""),"~","~~"),"*","~*"),"?","~?"),'DADOS_RESTRICOES'!$M$2:$Q$54,2,FALSE),"")="Corpo a Corpo",OR($LB40="Cone",$LB40="Linha")),"Corpo a Corpo não entra em Cone/Linha","")))</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inteira",IF(COUNTIF($LD40:$LF40,"Atrasar")&gt;0,IF(COUNTIF($LD40:$LF40,"Carregar")&gt;0,"Rodada +1 turno","Rodada inteira"),IF(COUNTIF($KW40:$KZ40,"Rápido")&gt;0,"Bônus",IF(COUNTIF($KW40:$KZ40,"Reação")&gt;0,"Reação","Padrão"))&amp;IF(COUNTIF($LD40:$LF40,"Carregar")&gt;0," +1 turno",""))))</f>
        <v/>
      </c>
      <c r="GT40" s="161">
        <f>IF(OR($EK40=0,$EL40=0),"",IF(COUNTIF($KW40:$KZ40,"Inescapável")&gt;0,"Automático",IF(COUNTIF($KW40:$KZ40,"Certeiro")&gt;0,"TR para metade",IF(AND($EX40&gt;0,$FA40=0,INDEX('DADOS_FORMAS'!$FQ$2:$FQ$21,$EL40)="Acerto"),"Acerto + TR",INDEX('DADOS_FORMAS'!$FQ$2:$FQ$21,$EL40)))))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IF($EL40=0,0,CHOOSE(1+INDEX('DADOS_FORMAS'!$FS$2:$FS$21,$EL40),0,$GV40,$GW40,$GV40+$GW40))</f>
        <v/>
      </c>
      <c r="GY40" s="161">
        <f>IF($EL40=0,0,CHOOSE(1+INDEX('DADOS_FORMAS'!$FT$2:$FT$21,$EL40),0,$GV40,$GW40,$GV40+$GW40))</f>
        <v/>
      </c>
      <c r="GZ40" s="161">
        <f>IF(OR($EK40=0,$EL40=0),"",INDEX('DADOS_FORMAS'!$GZ$2:$HE$61,($EL40-1)*3+IF($EB40&gt;=6,3,2),1+MIN(5,$GX40))&amp;INDEX('DADOS_FORMAS'!$HF$2:$HK$61,($EL40-1)*3+IF($EB40&gt;=6,3,2),1+MIN(5,$GY40))&amp;IF(INDEX('DADOS_FORMAS'!$FU$2:$FU$21,$EL40)=1,IF(COUNTIF($KW40:$KZ40,"Mais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c r="LB40">
        <f>IFERROR(INDEX('DADOS_FORMAS'!$BJ$2:$BJ$21,MATCH(SUBSTITUTE(SUBSTITUTE(SUBSTITUTE($ED40,"~","~~"),"*","~*"),"?","~?"),'DADOS_FORMAS'!$AH$2:$AH$21,0)),"")</f>
        <v/>
      </c>
      <c r="LC40">
        <f>IFERROR(VLOOKUP(SUBSTITUTE(SUBSTITUTE(SUBSTITUTE(IFERROR(INDEX('DADOS_FORMAS'!$AS$2:$AS$21,MATCH(SUBSTITUTE(SUBSTITUTE(SUBSTITUTE($ED40,"~","~~"),"*","~*"),"?","~?"),'DADOS_FORMAS'!$AH$2:$AH$21,0)),""),"~","~~"),"*","~*"),"?","~?"),'DADOS_RESTRICOES'!$M$2:$Q$54,2,FALSE),"")</f>
        <v/>
      </c>
      <c r="LD40">
        <f>$FD40</f>
        <v/>
      </c>
      <c r="LE40">
        <f>$FE40</f>
        <v/>
      </c>
      <c r="LF40">
        <f>$LC40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 width="19.38" customWidth="1" min="483" max="483"/>
    <col width="19.38" customWidth="1" min="484" max="484"/>
    <col width="19.38" customWidth="1" min="485" max="485"/>
    <col width="19.38" customWidth="1" min="486" max="486"/>
    <col width="19.38" customWidth="1" min="487" max="487"/>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IF(IFERROR(VLOOKUP(SUBSTITUTE(SUBSTITUTE(SUBSTITUTE($DF2,"~","~~"),"*","~*"),"?","~?"),'DADOS_ENTIDADES'!$M$2:$P$16,2,FALSE),0)=1,1,0)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IF(AND(IFERROR(VLOOKUP(SUBSTITUTE(SUBSTITUTE(SUBSTITUTE($DF2,"~","~~"),"*","~*"),"?","~?"),'DADOS_ENTIDADES'!$M$2:$P$16,3,FALSE),0)=1,$DI2="Com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IF(IFERROR(VLOOKUP(SUBSTITUTE(SUBSTITUTE(SUBSTITUTE($DF2,"~","~~"),"*","~*"),"?","~?"),'DADOS_ENTIDADES'!$M$2:$P$16,4,FALSE),0)=1,"RESERVA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IFERROR(VLOOKUP(SUBSTITUTE(SUBSTITUTE(SUBSTITUTE($EX2,"~","~~"),"*","~*"),"?","~?"),'DADOS_ENTIDADES'!$AI$2:$AL$35,2,FALSE),0)</f>
        <v/>
      </c>
      <c r="IH2" s="161">
        <f>IFERROR(VLOOKUP(SUBSTITUTE(SUBSTITUTE(SUBSTITUTE($EY2,"~","~~"),"*","~*"),"?","~?"),'DADOS_ENTIDADES'!$AI$2:$AL$35,2,FALSE),0)</f>
        <v/>
      </c>
      <c r="II2" s="161">
        <f>IFERROR(VLOOKUP(SUBSTITUTE(SUBSTITUTE(SUBSTITUTE($EZ2,"~","~~"),"*","~*"),"?","~?"),'DADOS_ENTIDADES'!$AI$2:$AL$35,2,FALSE),0)</f>
        <v/>
      </c>
      <c r="IJ2" s="161">
        <f>IFERROR(VLOOKUP(SUBSTITUTE(SUBSTITUTE(SUBSTITUTE($FA2,"~","~~"),"*","~*"),"?","~?"),'DADOS_ENTIDADES'!$AI$2:$AL$35,2,FALSE),0)</f>
        <v/>
      </c>
      <c r="IK2" s="161">
        <f>IFERROR(VLOOKUP(SUBSTITUTE(SUBSTITUTE(SUBSTITUTE($FB2,"~","~~"),"*","~*"),"?","~?"),'DADOS_ENTIDADES'!$AI$2:$AL$35,2,FALSE),0)</f>
        <v/>
      </c>
      <c r="IL2" s="161">
        <f>IFERROR(VLOOKUP(SUBSTITUTE(SUBSTITUTE(SUBSTITUTE($FC2,"~","~~"),"*","~*"),"?","~?"),'DADOS_ENTIDADES'!$AI$2:$AL$35,2,FALSE),0)</f>
        <v/>
      </c>
      <c r="IM2" s="161">
        <f>IFERROR(VLOOKUP(SUBSTITUTE(SUBSTITUTE(SUBSTITUTE($FD2,"~","~~"),"*","~*"),"?","~?"),'DADOS_ENTIDADES'!$AI$2:$AL$35,2,FALSE),0)</f>
        <v/>
      </c>
      <c r="IN2" s="161">
        <f>IFERROR(VLOOKUP(SUBSTITUTE(SUBSTITUTE(SUBSTITUTE($FE2,"~","~~"),"*","~*"),"?","~?"),'DADOS_ENTIDADES'!$AI$2:$AL$35,2,FALSE),0)</f>
        <v/>
      </c>
      <c r="IO2" s="161">
        <f>IF($EX2="","",IF(1&gt;$FO2,"⚠ Este talento abre no nível 1",IF($IG2&gt;1,"⚠ Categoria "&amp;$IG2&amp;": este ganho vai até a 1 · ","")&amp;IFERROR(VLOOKUP(SUBSTITUTE(SUBSTITUTE(SUBSTITUTE($EX2,"~","~~"),"*","~*"),"?","~?"),'DADOS_ENTIDADES'!$AI$2:$AL$35,3,FALSE),"")))</f>
        <v/>
      </c>
      <c r="IP2" s="161">
        <f>IF($EY2="","",IF(6&gt;$FO2,"⚠ Este talento abre no nível 6",IF($IH2&gt;1,"⚠ Categoria "&amp;$IH2&amp;": este ganho vai até a 1 · ","")&amp;IFERROR(VLOOKUP(SUBSTITUTE(SUBSTITUTE(SUBSTITUTE($EY2,"~","~~"),"*","~*"),"?","~?"),'DADOS_ENTIDADES'!$AI$2:$AL$35,3,FALSE),"")))</f>
        <v/>
      </c>
      <c r="IQ2" s="161">
        <f>IF($EZ2="","",IF(10&gt;$FO2,"⚠ Este talento abre no nível 10",IF($II2&gt;2,"⚠ Categoria "&amp;$II2&amp;": este ganho vai até a 2 · ","")&amp;IFERROR(VLOOKUP(SUBSTITUTE(SUBSTITUTE(SUBSTITUTE($EZ2,"~","~~"),"*","~*"),"?","~?"),'DADOS_ENTIDADES'!$AI$2:$AL$35,3,FALSE),"")))</f>
        <v/>
      </c>
      <c r="IR2" s="161">
        <f>IF($FA2="","",IF(14&gt;$FO2,"⚠ Este talento abre no nível 14",IF($IJ2&gt;3,"⚠ Categoria "&amp;$IJ2&amp;": este ganho vai até a 3 · ","")&amp;IFERROR(VLOOKUP(SUBSTITUTE(SUBSTITUTE(SUBSTITUTE($FA2,"~","~~"),"*","~*"),"?","~?"),'DADOS_ENTIDADES'!$AI$2:$AL$35,3,FALSE),"")))</f>
        <v/>
      </c>
      <c r="IS2" s="161">
        <f>IF($FB2="","",IF(18&gt;$FO2,"⚠ Este talento abre no nível 18",IF($IK2&gt;3,"⚠ Categoria "&amp;$IK2&amp;": este ganho vai até a 3 · ","")&amp;IFERROR(VLOOKUP(SUBSTITUTE(SUBSTITUTE(SUBSTITUTE($FB2,"~","~~"),"*","~*"),"?","~?"),'DADOS_ENTIDADES'!$AI$2:$AL$35,3,FALSE),"")))</f>
        <v/>
      </c>
      <c r="IT2" s="161">
        <f>IF($FC2="","",IF(22&gt;$FO2,"⚠ Este talento abre no nível 22",IF($IL2&gt;3,"⚠ Categoria "&amp;$IL2&amp;": este ganho vai até a 3 · ","")&amp;IFERROR(VLOOKUP(SUBSTITUTE(SUBSTITUTE(SUBSTITUTE($FC2,"~","~~"),"*","~*"),"?","~?"),'DADOS_ENTIDADES'!$AI$2:$AL$35,3,FALSE),"")))</f>
        <v/>
      </c>
      <c r="IU2" s="161">
        <f>IF($FD2="","",IF(26&gt;$FO2,"⚠ Este talento abre no nível 26",IF($IM2&gt;3,"⚠ Categoria "&amp;$IM2&amp;": este ganho vai até a 3 · ","")&amp;IFERROR(VLOOKUP(SUBSTITUTE(SUBSTITUTE(SUBSTITUTE($FD2,"~","~~"),"*","~*"),"?","~?"),'DADOS_ENTIDADES'!$AI$2:$AL$35,3,FALSE),"")))</f>
        <v/>
      </c>
      <c r="IV2" s="161">
        <f>IF($FE2="","",IF(30&gt;$FO2,"⚠ Este talento abre no nível 30",IF($IN2&gt;3,"⚠ Categoria "&amp;$IN2&amp;": este ganho vai até a 3 · ","")&amp;IFERROR(VLOOKUP(SUBSTITUTE(SUBSTITUTE(SUBSTITUTE($FE2,"~","~~"),"*","~*"),"?","~?"),'DADOS_ENTIDADES'!$AI$2:$AL$35,3,FALSE),"")))</f>
        <v/>
      </c>
      <c r="IW2" s="161">
        <f>IF($FF2="","",IFERROR(VLOOKUP(SUBSTITUTE(SUBSTITUTE(SUBSTITUTE($FF2,"~","~~"),"*","~*"),"?","~?"),'DADOS_ENTIDADES'!$AI$2:$AL$35,3,FALSE),""))</f>
        <v/>
      </c>
      <c r="IX2" s="161">
        <f>IF($FG2="","",IFERROR(VLOOKUP(SUBSTITUTE(SUBSTITUTE(SUBSTITUTE($FG2,"~","~~"),"*","~*"),"?","~?"),'DADOS_ENTIDADES'!$AI$2:$AL$35,3,FALSE),""))</f>
        <v/>
      </c>
      <c r="IY2" s="161">
        <f>IF($FH2="","",IFERROR(VLOOKUP(SUBSTITUTE(SUBSTITUTE(SUBSTITUTE($FH2,"~","~~"),"*","~*"),"?","~?"),'DADOS_ENTIDADES'!$AI$2:$AL$35,3,FALSE),""))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IFERROR(MATCH(SUBSTITUTE(SUBSTITUTE(SUBSTITUTE($MU2,"~","~~"),"*","~*"),"?","~?"),'DADOS_FORMAS'!$FZ$2:$FZ$21,0),0)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IF($MS2=0,0,IF($NJ2=0,0,INDEX('DADOS_FORMAS'!$GB$2:$GB$21,$NJ2)))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IF($NJ2=0,0,IF(INDEX('DADOS_FORMAS'!$GA$2:$GA$21,$NJ2)="",0,IF((COUNTIF(INDEX($EL$2:$EP$13,$MO2,0),INDEX('DADOS_FORMAS'!$GA$2:$GA$21,$NJ2))+COUNTIF(INDEX($QV$2:$QY$13,$MO2,0),INDEX('DADOS_FORMAS'!$GA$2:$GA$21,$NJ2)))=0,1,0)))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IFERROR(N(AND(INDEX('DADOS_FORMAS'!$AO$2:$AO$21,MATCH(SUBSTITUTE(SUBSTITUTE(SUBSTITUTE($MU2,"~","~~"),"*","~*"),"?","~?"),'DADOS_FORMAS'!$AH$2:$AH$21,0))="Acerto",$OH2=1)),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IF($NJ2=0,0,INDEX('DADOS_FORMAS'!$GC$2:$GC$21,$NJ2))</f>
        <v/>
      </c>
      <c r="OG2" s="161">
        <f>IF($NJ2=0,0,INDEX('DADOS_FORMAS'!$GD$2:$GD$21,$NJ2))</f>
        <v/>
      </c>
      <c r="OH2" s="161">
        <f>IF($NJ2=0,0,INDEX('DADOS_FORMAS'!$GF$2:$GF$21,$NJ2))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IF(IFERROR(INDEX('DADOS_FORMAS'!$AS$2:$AS$21,MATCH(SUBSTITUTE(SUBSTITUTE(SUBSTITUTE($MU2,"~","~~"),"*","~*"),"?","~?"),'DADOS_FORMAS'!$AH$2:$AH$21,0)),"")="",0,IFERROR(N(VLOOKUP(SUBSTITUTE(SUBSTITUTE(SUBSTITUTE(IFERROR(INDEX('DADOS_FORMAS'!$AS$2:$AS$21,MATCH(SUBSTITUTE(SUBSTITUTE(SUBSTITUTE($MU2,"~","~~"),"*","~*"),"?","~?"),'DADOS_FORMAS'!$AH$2:$AH$21,0)),""),"~","~~"),"*","~*"),"?","~?"),'DADOS_RESTRICOES'!$M$2:$Q$54,3,FALSE)=1),0))</f>
        <v/>
      </c>
      <c r="OT2" s="161">
        <f>COUNTIF($OI2:$OJ2,2)+IF(IFERROR(INDEX('DADOS_FORMAS'!$AS$2:$AS$21,MATCH(SUBSTITUTE(SUBSTITUTE(SUBSTITUTE($MU2,"~","~~"),"*","~*"),"?","~?"),'DADOS_FORMAS'!$AH$2:$AH$21,0)),"")="",0,IFERROR(N(VLOOKUP(SUBSTITUTE(SUBSTITUTE(SUBSTITUTE(IFERROR(INDEX('DADOS_FORMAS'!$AS$2:$AS$21,MATCH(SUBSTITUTE(SUBSTITUTE(SUBSTITUTE($MU2,"~","~~"),"*","~*"),"?","~?"),'DADOS_FORMAS'!$AH$2:$AH$21,0)),""),"~","~~"),"*","~*"),"?","~?"),'DADOS_RESTRICOES'!$M$2:$Q$54,3,FALSE)=2),0))</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",TRUE,IF($ND2=0,"",TEXTJOIN(" · ",TRUE,IF($MQ2&gt;$NE2,"Este lugar abre no nível "&amp;$MQ2,""),IF($MS2&gt;$NF2,"Classe "&amp;$MS2&amp;": o nível "&amp;$NE2&amp;" libera até a "&amp;$NF2,""),IF($NX2=1,"A Forma "&amp;$MU2&amp;" pede "&amp;INDEX('DADOS_FORMAS'!$GA$2:$GA$21,$NJ2)&amp;" aberta",""),IF(AND($MS2=0,$NJ2&gt;0,IF($NJ2=0,0,INDEX('DADOS_FORMAS'!$GJ$2:$GJ$21,$NJ2))=0),$MU2&amp;"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Corpo")&gt;0,$OF2=0,OR($RO2="Cone",$RO2="Linha")),"Corpo a Corpo não entra em "&amp;$MU2,""),IF(AND(COUNTIF($OK2:$OL2,"Corpo a Corpo")&gt;0,$RP2="Corpo a Corpo"),"A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"&amp;$NC2,""))),IF(AND($MU2&lt;&gt;"",COUNTIF('DADOS_FORMAS'!$AH$2:$AH$21,SUBSTITUTE(SUBSTITUTE(SUBSTITUTE($MU2,"~","~~"),"*","~*"),"?","~?"))=0),"Forma não cadastrada ou com erro: "&amp;$MU2,""),IF(AND(IFERROR(INDEX('DADOS_FORMAS'!$AS$2:$AS$21,MATCH(SUBSTITUTE(SUBSTITUTE(SUBSTITUTE($MU2,"~","~~"),"*","~*"),"?","~?"),'DADOS_FORMAS'!$AH$2:$AH$21,0)),"")&lt;&gt;"",OR(IFERROR(VLOOKUP(SUBSTITUTE(SUBSTITUTE(SUBSTITUTE(IFERROR(INDEX('DADOS_FORMAS'!$AS$2:$AS$21,MATCH(SUBSTITUTE(SUBSTITUTE(SUBSTITUTE($MU2,"~","~~"),"*","~*"),"?","~?"),'DADOS_FORMAS'!$AH$2:$AH$21,0)),""),"~","~~"),"*","~*"),"?","~?"),'DADOS_RESTRICOES'!$M$2:$Q$54,2,FALSE),"")=$OK2,IFERROR(VLOOKUP(SUBSTITUTE(SUBSTITUTE(SUBSTITUTE(IFERROR(INDEX('DADOS_FORMAS'!$AS$2:$AS$21,MATCH(SUBSTITUTE(SUBSTITUTE(SUBSTITUTE($MU2,"~","~~"),"*","~*"),"?","~?"),'DADOS_FORMAS'!$AH$2:$AH$21,0)),""),"~","~~"),"*","~*"),"?","~?"),'DADOS_RESTRICOES'!$M$2:$Q$54,2,FALSE),"")=$OL2)),"Restrição repetida, contando a embutida",""),IF(IF(IFERROR(INDEX('DADOS_FORMAS'!$AS$2:$AS$21,MATCH(SUBSTITUTE(SUBSTITUTE(SUBSTITUTE($MU2,"~","~~"),"*","~*"),"?","~?"),'DADOS_FORMAS'!$AH$2:$AH$21,0)),"")="",0,IFERROR(N(VLOOKUP(SUBSTITUTE(SUBSTITUTE(SUBSTITUTE(IFERROR(INDEX('DADOS_FORMAS'!$AS$2:$AS$21,MATCH(SUBSTITUTE(SUBSTITUTE(SUBSTITUTE($MU2,"~","~~"),"*","~*"),"?","~?"),'DADOS_FORMAS'!$AH$2:$AH$21,0)),""),"~","~~"),"*","~*"),"?","~?"),'DADOS_RESTRICOES'!$M$2:$Q$54,4,FALSE)=1),0))+IF($NB2="",0,IFERROR(N(VLOOKUP(SUBSTITUTE(SUBSTITUTE(SUBSTITUTE($NB2,"~","~~"),"*","~*"),"?","~?"),'DADOS_RESTRICOES'!$M$2:$Q$54,4,FALSE)=1),0))+IF($NC2="",0,IFERROR(N(VLOOKUP(SUBSTITUTE(SUBSTITUTE(SUBSTITUTE($NC2,"~","~~"),"*","~*"),"?","~?"),'DADOS_RESTRICOES'!$M$2:$Q$54,4,FALSE)=1),0))&gt;1,"Duas Restrições de frequência, contando a embutida",""),IF(AND(IFERROR(VLOOKUP(SUBSTITUTE(SUBSTITUTE(SUBSTITUTE(IFERROR(INDEX('DADOS_FORMAS'!$AS$2:$AS$21,MATCH(SUBSTITUTE(SUBSTITUTE(SUBSTITUTE($MU2,"~","~~"),"*","~*"),"?","~?"),'DADOS_FORMAS'!$AH$2:$AH$21,0)),""),"~","~~"),"*","~*"),"?","~?"),'DADOS_RESTRICOES'!$M$2:$Q$54,2,FALSE),"")="Tudo ou Nada",$OH2=0),"Tudo ou Nada exige TR",""),IF(AND(IFERROR(VLOOKUP(SUBSTITUTE(SUBSTITUTE(SUBSTITUTE(IFERROR(INDEX('DADOS_FORMAS'!$AS$2:$AS$21,MATCH(SUBSTITUTE(SUBSTITUTE(SUBSTITUTE($MU2,"~","~~"),"*","~*"),"?","~?"),'DADOS_FORMAS'!$AH$2:$AH$21,0)),""),"~","~~"),"*","~*"),"?","~?"),'DADOS_RESTRICOES'!$M$2:$Q$54,2,FALSE),"")="Corpo a Corpo",OR($RO2="Cone",$RO2="Linha")),"Corpo a Corpo não entra em Cone/Linha","")))</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dela",IF(COUNTIF($RQ2:$RS2,"Atrasar")&gt;0,"Sua Ação Completa",IF(COUNTIF($RK2:$RN2,"Rápido")&gt;0,"Sua Bônus",IF(COUNTIF($RK2:$RN2,"Reação")&gt;0,"Sua Reação","Sua Padrão")))&amp;" + a básica dela"&amp;IF(COUNTIF($RK2:$RN2,"Reação")&gt;0," e a coletiva","")&amp;IF(COUNTIF($RQ2:$RS2,"Carregar")&gt;0," · em dois turnos","")))</f>
        <v/>
      </c>
      <c r="QC2" s="161">
        <f>IF($MW2&lt;&gt;"",$MW2,IF($NJ2=0,"",INDEX('DADOS_FORMAS'!$GE$2:$GE$21,$NJ2)))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IF($NJ2=0,0,CHOOSE(1+INDEX('DADOS_FORMAS'!$GG$2:$GG$21,$NJ2),0,$QF2,$QG2,$QF2+$QG2))</f>
        <v/>
      </c>
      <c r="QI2" s="161">
        <f>IF($NJ2=0,0,CHOOSE(1+INDEX('DADOS_FORMAS'!$GH$2:$GH$21,$NJ2),0,$QF2,$QG2,$QF2+$QG2))</f>
        <v/>
      </c>
      <c r="QJ2" s="161">
        <f>IF(OR($ND2=0,$NJ2=0),"",INDEX('DADOS_FORMAS'!$HU$2:$HZ$81,($NJ2-1)*4+IF($MS2=0,1,IF($MS2&lt;=5,2,IF($MS2=6,3,4))),1+MIN(5,$QH2))&amp;INDEX('DADOS_FORMAS'!$IA$2:$IF$81,($NJ2-1)*4+IF($MS2=0,1,IF($MS2&lt;=5,2,IF($MS2=6,3,4))),1+MIN(5,$QI2))&amp;IF(INDEX('DADOS_FORMAS'!$GI$2:$GI$21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c r="RO2">
        <f>IFERROR(INDEX('DADOS_FORMAS'!$BJ$2:$BJ$21,MATCH(SUBSTITUTE(SUBSTITUTE(SUBSTITUTE($MU2,"~","~~"),"*","~*"),"?","~?"),'DADOS_FORMAS'!$AH$2:$AH$21,0)),"")</f>
        <v/>
      </c>
      <c r="RP2">
        <f>IFERROR(VLOOKUP(SUBSTITUTE(SUBSTITUTE(SUBSTITUTE(IFERROR(INDEX('DADOS_FORMAS'!$AS$2:$AS$21,MATCH(SUBSTITUTE(SUBSTITUTE(SUBSTITUTE($MU2,"~","~~"),"*","~*"),"?","~?"),'DADOS_FORMAS'!$AH$2:$AH$21,0)),""),"~","~~"),"*","~*"),"?","~?"),'DADOS_RESTRICOES'!$M$2:$Q$54,2,FALSE),"")</f>
        <v/>
      </c>
      <c r="RQ2">
        <f>$OK2</f>
        <v/>
      </c>
      <c r="RR2">
        <f>$OL2</f>
        <v/>
      </c>
      <c r="RS2">
        <f>$RP2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IF(IFERROR(VLOOKUP(SUBSTITUTE(SUBSTITUTE(SUBSTITUTE($DF3,"~","~~"),"*","~*"),"?","~?"),'DADOS_ENTIDADES'!$M$2:$P$16,2,FALSE),0)=1,1,0)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IF(AND(IFERROR(VLOOKUP(SUBSTITUTE(SUBSTITUTE(SUBSTITUTE($DF3,"~","~~"),"*","~*"),"?","~?"),'DADOS_ENTIDADES'!$M$2:$P$16,3,FALSE),0)=1,$DI3="Com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IF(IFERROR(VLOOKUP(SUBSTITUTE(SUBSTITUTE(SUBSTITUTE($DF3,"~","~~"),"*","~*"),"?","~?"),'DADOS_ENTIDADES'!$M$2:$P$16,4,FALSE),0)=1,"RESERVA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IFERROR(VLOOKUP(SUBSTITUTE(SUBSTITUTE(SUBSTITUTE($EX3,"~","~~"),"*","~*"),"?","~?"),'DADOS_ENTIDADES'!$AI$2:$AL$35,2,FALSE),0)</f>
        <v/>
      </c>
      <c r="IH3" s="161">
        <f>IFERROR(VLOOKUP(SUBSTITUTE(SUBSTITUTE(SUBSTITUTE($EY3,"~","~~"),"*","~*"),"?","~?"),'DADOS_ENTIDADES'!$AI$2:$AL$35,2,FALSE),0)</f>
        <v/>
      </c>
      <c r="II3" s="161">
        <f>IFERROR(VLOOKUP(SUBSTITUTE(SUBSTITUTE(SUBSTITUTE($EZ3,"~","~~"),"*","~*"),"?","~?"),'DADOS_ENTIDADES'!$AI$2:$AL$35,2,FALSE),0)</f>
        <v/>
      </c>
      <c r="IJ3" s="161">
        <f>IFERROR(VLOOKUP(SUBSTITUTE(SUBSTITUTE(SUBSTITUTE($FA3,"~","~~"),"*","~*"),"?","~?"),'DADOS_ENTIDADES'!$AI$2:$AL$35,2,FALSE),0)</f>
        <v/>
      </c>
      <c r="IK3" s="161">
        <f>IFERROR(VLOOKUP(SUBSTITUTE(SUBSTITUTE(SUBSTITUTE($FB3,"~","~~"),"*","~*"),"?","~?"),'DADOS_ENTIDADES'!$AI$2:$AL$35,2,FALSE),0)</f>
        <v/>
      </c>
      <c r="IL3" s="161">
        <f>IFERROR(VLOOKUP(SUBSTITUTE(SUBSTITUTE(SUBSTITUTE($FC3,"~","~~"),"*","~*"),"?","~?"),'DADOS_ENTIDADES'!$AI$2:$AL$35,2,FALSE),0)</f>
        <v/>
      </c>
      <c r="IM3" s="161">
        <f>IFERROR(VLOOKUP(SUBSTITUTE(SUBSTITUTE(SUBSTITUTE($FD3,"~","~~"),"*","~*"),"?","~?"),'DADOS_ENTIDADES'!$AI$2:$AL$35,2,FALSE),0)</f>
        <v/>
      </c>
      <c r="IN3" s="161">
        <f>IFERROR(VLOOKUP(SUBSTITUTE(SUBSTITUTE(SUBSTITUTE($FE3,"~","~~"),"*","~*"),"?","~?"),'DADOS_ENTIDADES'!$AI$2:$AL$35,2,FALSE),0)</f>
        <v/>
      </c>
      <c r="IO3" s="161">
        <f>IF($EX3="","",IF(1&gt;$FO3,"⚠ Este talento abre no nível 1",IF($IG3&gt;1,"⚠ Categoria "&amp;$IG3&amp;": este ganho vai até a 1 · ","")&amp;IFERROR(VLOOKUP(SUBSTITUTE(SUBSTITUTE(SUBSTITUTE($EX3,"~","~~"),"*","~*"),"?","~?"),'DADOS_ENTIDADES'!$AI$2:$AL$35,3,FALSE),"")))</f>
        <v/>
      </c>
      <c r="IP3" s="161">
        <f>IF($EY3="","",IF(6&gt;$FO3,"⚠ Este talento abre no nível 6",IF($IH3&gt;1,"⚠ Categoria "&amp;$IH3&amp;": este ganho vai até a 1 · ","")&amp;IFERROR(VLOOKUP(SUBSTITUTE(SUBSTITUTE(SUBSTITUTE($EY3,"~","~~"),"*","~*"),"?","~?"),'DADOS_ENTIDADES'!$AI$2:$AL$35,3,FALSE),"")))</f>
        <v/>
      </c>
      <c r="IQ3" s="161">
        <f>IF($EZ3="","",IF(10&gt;$FO3,"⚠ Este talento abre no nível 10",IF($II3&gt;2,"⚠ Categoria "&amp;$II3&amp;": este ganho vai até a 2 · ","")&amp;IFERROR(VLOOKUP(SUBSTITUTE(SUBSTITUTE(SUBSTITUTE($EZ3,"~","~~"),"*","~*"),"?","~?"),'DADOS_ENTIDADES'!$AI$2:$AL$35,3,FALSE),"")))</f>
        <v/>
      </c>
      <c r="IR3" s="161">
        <f>IF($FA3="","",IF(14&gt;$FO3,"⚠ Este talento abre no nível 14",IF($IJ3&gt;3,"⚠ Categoria "&amp;$IJ3&amp;": este ganho vai até a 3 · ","")&amp;IFERROR(VLOOKUP(SUBSTITUTE(SUBSTITUTE(SUBSTITUTE($FA3,"~","~~"),"*","~*"),"?","~?"),'DADOS_ENTIDADES'!$AI$2:$AL$35,3,FALSE),"")))</f>
        <v/>
      </c>
      <c r="IS3" s="161">
        <f>IF($FB3="","",IF(18&gt;$FO3,"⚠ Este talento abre no nível 18",IF($IK3&gt;3,"⚠ Categoria "&amp;$IK3&amp;": este ganho vai até a 3 · ","")&amp;IFERROR(VLOOKUP(SUBSTITUTE(SUBSTITUTE(SUBSTITUTE($FB3,"~","~~"),"*","~*"),"?","~?"),'DADOS_ENTIDADES'!$AI$2:$AL$35,3,FALSE),"")))</f>
        <v/>
      </c>
      <c r="IT3" s="161">
        <f>IF($FC3="","",IF(22&gt;$FO3,"⚠ Este talento abre no nível 22",IF($IL3&gt;3,"⚠ Categoria "&amp;$IL3&amp;": este ganho vai até a 3 · ","")&amp;IFERROR(VLOOKUP(SUBSTITUTE(SUBSTITUTE(SUBSTITUTE($FC3,"~","~~"),"*","~*"),"?","~?"),'DADOS_ENTIDADES'!$AI$2:$AL$35,3,FALSE),"")))</f>
        <v/>
      </c>
      <c r="IU3" s="161">
        <f>IF($FD3="","",IF(26&gt;$FO3,"⚠ Este talento abre no nível 26",IF($IM3&gt;3,"⚠ Categoria "&amp;$IM3&amp;": este ganho vai até a 3 · ","")&amp;IFERROR(VLOOKUP(SUBSTITUTE(SUBSTITUTE(SUBSTITUTE($FD3,"~","~~"),"*","~*"),"?","~?"),'DADOS_ENTIDADES'!$AI$2:$AL$35,3,FALSE),"")))</f>
        <v/>
      </c>
      <c r="IV3" s="161">
        <f>IF($FE3="","",IF(30&gt;$FO3,"⚠ Este talento abre no nível 30",IF($IN3&gt;3,"⚠ Categoria "&amp;$IN3&amp;": este ganho vai até a 3 · ","")&amp;IFERROR(VLOOKUP(SUBSTITUTE(SUBSTITUTE(SUBSTITUTE($FE3,"~","~~"),"*","~*"),"?","~?"),'DADOS_ENTIDADES'!$AI$2:$AL$35,3,FALSE),"")))</f>
        <v/>
      </c>
      <c r="IW3" s="161">
        <f>IF($FF3="","",IFERROR(VLOOKUP(SUBSTITUTE(SUBSTITUTE(SUBSTITUTE($FF3,"~","~~"),"*","~*"),"?","~?"),'DADOS_ENTIDADES'!$AI$2:$AL$35,3,FALSE),""))</f>
        <v/>
      </c>
      <c r="IX3" s="161">
        <f>IF($FG3="","",IFERROR(VLOOKUP(SUBSTITUTE(SUBSTITUTE(SUBSTITUTE($FG3,"~","~~"),"*","~*"),"?","~?"),'DADOS_ENTIDADES'!$AI$2:$AL$35,3,FALSE),""))</f>
        <v/>
      </c>
      <c r="IY3" s="161">
        <f>IF($FH3="","",IFERROR(VLOOKUP(SUBSTITUTE(SUBSTITUTE(SUBSTITUTE($FH3,"~","~~"),"*","~*"),"?","~?"),'DADOS_ENTIDADES'!$AI$2:$AL$35,3,FALSE),""))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IFERROR(MATCH(SUBSTITUTE(SUBSTITUTE(SUBSTITUTE($MU3,"~","~~"),"*","~*"),"?","~?"),'DADOS_FORMAS'!$FZ$2:$FZ$21,0),0)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IF($MS3=0,0,IF($NJ3=0,0,INDEX('DADOS_FORMAS'!$GB$2:$GB$21,$NJ3)))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IF($NJ3=0,0,IF(INDEX('DADOS_FORMAS'!$GA$2:$GA$21,$NJ3)="",0,IF((COUNTIF(INDEX($EL$2:$EP$13,$MO3,0),INDEX('DADOS_FORMAS'!$GA$2:$GA$21,$NJ3))+COUNTIF(INDEX($QV$2:$QY$13,$MO3,0),INDEX('DADOS_FORMAS'!$GA$2:$GA$21,$NJ3)))=0,1,0)))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IFERROR(N(AND(INDEX('DADOS_FORMAS'!$AO$2:$AO$21,MATCH(SUBSTITUTE(SUBSTITUTE(SUBSTITUTE($MU3,"~","~~"),"*","~*"),"?","~?"),'DADOS_FORMAS'!$AH$2:$AH$21,0))="Acerto",$OH3=1)),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IF($NJ3=0,0,INDEX('DADOS_FORMAS'!$GC$2:$GC$21,$NJ3))</f>
        <v/>
      </c>
      <c r="OG3" s="161">
        <f>IF($NJ3=0,0,INDEX('DADOS_FORMAS'!$GD$2:$GD$21,$NJ3))</f>
        <v/>
      </c>
      <c r="OH3" s="161">
        <f>IF($NJ3=0,0,INDEX('DADOS_FORMAS'!$GF$2:$GF$21,$NJ3))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IF(IFERROR(INDEX('DADOS_FORMAS'!$AS$2:$AS$21,MATCH(SUBSTITUTE(SUBSTITUTE(SUBSTITUTE($MU3,"~","~~"),"*","~*"),"?","~?"),'DADOS_FORMAS'!$AH$2:$AH$21,0)),"")="",0,IFERROR(N(VLOOKUP(SUBSTITUTE(SUBSTITUTE(SUBSTITUTE(IFERROR(INDEX('DADOS_FORMAS'!$AS$2:$AS$21,MATCH(SUBSTITUTE(SUBSTITUTE(SUBSTITUTE($MU3,"~","~~"),"*","~*"),"?","~?"),'DADOS_FORMAS'!$AH$2:$AH$21,0)),""),"~","~~"),"*","~*"),"?","~?"),'DADOS_RESTRICOES'!$M$2:$Q$54,3,FALSE)=1),0))</f>
        <v/>
      </c>
      <c r="OT3" s="161">
        <f>COUNTIF($OI3:$OJ3,2)+IF(IFERROR(INDEX('DADOS_FORMAS'!$AS$2:$AS$21,MATCH(SUBSTITUTE(SUBSTITUTE(SUBSTITUTE($MU3,"~","~~"),"*","~*"),"?","~?"),'DADOS_FORMAS'!$AH$2:$AH$21,0)),"")="",0,IFERROR(N(VLOOKUP(SUBSTITUTE(SUBSTITUTE(SUBSTITUTE(IFERROR(INDEX('DADOS_FORMAS'!$AS$2:$AS$21,MATCH(SUBSTITUTE(SUBSTITUTE(SUBSTITUTE($MU3,"~","~~"),"*","~*"),"?","~?"),'DADOS_FORMAS'!$AH$2:$AH$21,0)),""),"~","~~"),"*","~*"),"?","~?"),'DADOS_RESTRICOES'!$M$2:$Q$54,3,FALSE)=2),0))</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",TRUE,IF($ND3=0,"",TEXTJOIN(" · ",TRUE,IF($MQ3&gt;$NE3,"Este lugar abre no nível "&amp;$MQ3,""),IF($MS3&gt;$NF3,"Classe "&amp;$MS3&amp;": o nível "&amp;$NE3&amp;" libera até a "&amp;$NF3,""),IF($NX3=1,"A Forma "&amp;$MU3&amp;" pede "&amp;INDEX('DADOS_FORMAS'!$GA$2:$GA$21,$NJ3)&amp;" aberta",""),IF(AND($MS3=0,$NJ3&gt;0,IF($NJ3=0,0,INDEX('DADOS_FORMAS'!$GJ$2:$GJ$21,$NJ3))=0),$MU3&amp;"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Corpo")&gt;0,$OF3=0,OR($RO3="Cone",$RO3="Linha")),"Corpo a Corpo não entra em "&amp;$MU3,""),IF(AND(COUNTIF($OK3:$OL3,"Corpo a Corpo")&gt;0,$RP3="Corpo a Corpo"),"A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"&amp;$NC3,""))),IF(AND($MU3&lt;&gt;"",COUNTIF('DADOS_FORMAS'!$AH$2:$AH$21,SUBSTITUTE(SUBSTITUTE(SUBSTITUTE($MU3,"~","~~"),"*","~*"),"?","~?"))=0),"Forma não cadastrada ou com erro: "&amp;$MU3,""),IF(AND(IFERROR(INDEX('DADOS_FORMAS'!$AS$2:$AS$21,MATCH(SUBSTITUTE(SUBSTITUTE(SUBSTITUTE($MU3,"~","~~"),"*","~*"),"?","~?"),'DADOS_FORMAS'!$AH$2:$AH$21,0)),"")&lt;&gt;"",OR(IFERROR(VLOOKUP(SUBSTITUTE(SUBSTITUTE(SUBSTITUTE(IFERROR(INDEX('DADOS_FORMAS'!$AS$2:$AS$21,MATCH(SUBSTITUTE(SUBSTITUTE(SUBSTITUTE($MU3,"~","~~"),"*","~*"),"?","~?"),'DADOS_FORMAS'!$AH$2:$AH$21,0)),""),"~","~~"),"*","~*"),"?","~?"),'DADOS_RESTRICOES'!$M$2:$Q$54,2,FALSE),"")=$OK3,IFERROR(VLOOKUP(SUBSTITUTE(SUBSTITUTE(SUBSTITUTE(IFERROR(INDEX('DADOS_FORMAS'!$AS$2:$AS$21,MATCH(SUBSTITUTE(SUBSTITUTE(SUBSTITUTE($MU3,"~","~~"),"*","~*"),"?","~?"),'DADOS_FORMAS'!$AH$2:$AH$21,0)),""),"~","~~"),"*","~*"),"?","~?"),'DADOS_RESTRICOES'!$M$2:$Q$54,2,FALSE),"")=$OL3)),"Restrição repetida, contando a embutida",""),IF(IF(IFERROR(INDEX('DADOS_FORMAS'!$AS$2:$AS$21,MATCH(SUBSTITUTE(SUBSTITUTE(SUBSTITUTE($MU3,"~","~~"),"*","~*"),"?","~?"),'DADOS_FORMAS'!$AH$2:$AH$21,0)),"")="",0,IFERROR(N(VLOOKUP(SUBSTITUTE(SUBSTITUTE(SUBSTITUTE(IFERROR(INDEX('DADOS_FORMAS'!$AS$2:$AS$21,MATCH(SUBSTITUTE(SUBSTITUTE(SUBSTITUTE($MU3,"~","~~"),"*","~*"),"?","~?"),'DADOS_FORMAS'!$AH$2:$AH$21,0)),""),"~","~~"),"*","~*"),"?","~?"),'DADOS_RESTRICOES'!$M$2:$Q$54,4,FALSE)=1),0))+IF($NB3="",0,IFERROR(N(VLOOKUP(SUBSTITUTE(SUBSTITUTE(SUBSTITUTE($NB3,"~","~~"),"*","~*"),"?","~?"),'DADOS_RESTRICOES'!$M$2:$Q$54,4,FALSE)=1),0))+IF($NC3="",0,IFERROR(N(VLOOKUP(SUBSTITUTE(SUBSTITUTE(SUBSTITUTE($NC3,"~","~~"),"*","~*"),"?","~?"),'DADOS_RESTRICOES'!$M$2:$Q$54,4,FALSE)=1),0))&gt;1,"Duas Restrições de frequência, contando a embutida",""),IF(AND(IFERROR(VLOOKUP(SUBSTITUTE(SUBSTITUTE(SUBSTITUTE(IFERROR(INDEX('DADOS_FORMAS'!$AS$2:$AS$21,MATCH(SUBSTITUTE(SUBSTITUTE(SUBSTITUTE($MU3,"~","~~"),"*","~*"),"?","~?"),'DADOS_FORMAS'!$AH$2:$AH$21,0)),""),"~","~~"),"*","~*"),"?","~?"),'DADOS_RESTRICOES'!$M$2:$Q$54,2,FALSE),"")="Tudo ou Nada",$OH3=0),"Tudo ou Nada exige TR",""),IF(AND(IFERROR(VLOOKUP(SUBSTITUTE(SUBSTITUTE(SUBSTITUTE(IFERROR(INDEX('DADOS_FORMAS'!$AS$2:$AS$21,MATCH(SUBSTITUTE(SUBSTITUTE(SUBSTITUTE($MU3,"~","~~"),"*","~*"),"?","~?"),'DADOS_FORMAS'!$AH$2:$AH$21,0)),""),"~","~~"),"*","~*"),"?","~?"),'DADOS_RESTRICOES'!$M$2:$Q$54,2,FALSE),"")="Corpo a Corpo",OR($RO3="Cone",$RO3="Linha")),"Corpo a Corpo não entra em Cone/Linha","")))</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dela",IF(COUNTIF($RQ3:$RS3,"Atrasar")&gt;0,"Sua Ação Completa",IF(COUNTIF($RK3:$RN3,"Rápido")&gt;0,"Sua Bônus",IF(COUNTIF($RK3:$RN3,"Reação")&gt;0,"Sua Reação","Sua Padrão")))&amp;" + a básica dela"&amp;IF(COUNTIF($RK3:$RN3,"Reação")&gt;0," e a coletiva","")&amp;IF(COUNTIF($RQ3:$RS3,"Carregar")&gt;0," · em dois turnos","")))</f>
        <v/>
      </c>
      <c r="QC3" s="161">
        <f>IF($MW3&lt;&gt;"",$MW3,IF($NJ3=0,"",INDEX('DADOS_FORMAS'!$GE$2:$GE$21,$NJ3)))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IF($NJ3=0,0,CHOOSE(1+INDEX('DADOS_FORMAS'!$GG$2:$GG$21,$NJ3),0,$QF3,$QG3,$QF3+$QG3))</f>
        <v/>
      </c>
      <c r="QI3" s="161">
        <f>IF($NJ3=0,0,CHOOSE(1+INDEX('DADOS_FORMAS'!$GH$2:$GH$21,$NJ3),0,$QF3,$QG3,$QF3+$QG3))</f>
        <v/>
      </c>
      <c r="QJ3" s="161">
        <f>IF(OR($ND3=0,$NJ3=0),"",INDEX('DADOS_FORMAS'!$HU$2:$HZ$81,($NJ3-1)*4+IF($MS3=0,1,IF($MS3&lt;=5,2,IF($MS3=6,3,4))),1+MIN(5,$QH3))&amp;INDEX('DADOS_FORMAS'!$IA$2:$IF$81,($NJ3-1)*4+IF($MS3=0,1,IF($MS3&lt;=5,2,IF($MS3=6,3,4))),1+MIN(5,$QI3))&amp;IF(INDEX('DADOS_FORMAS'!$GI$2:$GI$21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c r="RO3">
        <f>IFERROR(INDEX('DADOS_FORMAS'!$BJ$2:$BJ$21,MATCH(SUBSTITUTE(SUBSTITUTE(SUBSTITUTE($MU3,"~","~~"),"*","~*"),"?","~?"),'DADOS_FORMAS'!$AH$2:$AH$21,0)),"")</f>
        <v/>
      </c>
      <c r="RP3">
        <f>IFERROR(VLOOKUP(SUBSTITUTE(SUBSTITUTE(SUBSTITUTE(IFERROR(INDEX('DADOS_FORMAS'!$AS$2:$AS$21,MATCH(SUBSTITUTE(SUBSTITUTE(SUBSTITUTE($MU3,"~","~~"),"*","~*"),"?","~?"),'DADOS_FORMAS'!$AH$2:$AH$21,0)),""),"~","~~"),"*","~*"),"?","~?"),'DADOS_RESTRICOES'!$M$2:$Q$54,2,FALSE),"")</f>
        <v/>
      </c>
      <c r="RQ3">
        <f>$OK3</f>
        <v/>
      </c>
      <c r="RR3">
        <f>$OL3</f>
        <v/>
      </c>
      <c r="RS3">
        <f>$RP3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IF(IFERROR(VLOOKUP(SUBSTITUTE(SUBSTITUTE(SUBSTITUTE($DF4,"~","~~"),"*","~*"),"?","~?"),'DADOS_ENTIDADES'!$M$2:$P$16,2,FALSE),0)=1,1,0)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IF(AND(IFERROR(VLOOKUP(SUBSTITUTE(SUBSTITUTE(SUBSTITUTE($DF4,"~","~~"),"*","~*"),"?","~?"),'DADOS_ENTIDADES'!$M$2:$P$16,3,FALSE),0)=1,$DI4="Com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IF(IFERROR(VLOOKUP(SUBSTITUTE(SUBSTITUTE(SUBSTITUTE($DF4,"~","~~"),"*","~*"),"?","~?"),'DADOS_ENTIDADES'!$M$2:$P$16,4,FALSE),0)=1,"RESERVA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IFERROR(VLOOKUP(SUBSTITUTE(SUBSTITUTE(SUBSTITUTE($EX4,"~","~~"),"*","~*"),"?","~?"),'DADOS_ENTIDADES'!$AI$2:$AL$35,2,FALSE),0)</f>
        <v/>
      </c>
      <c r="IH4" s="161">
        <f>IFERROR(VLOOKUP(SUBSTITUTE(SUBSTITUTE(SUBSTITUTE($EY4,"~","~~"),"*","~*"),"?","~?"),'DADOS_ENTIDADES'!$AI$2:$AL$35,2,FALSE),0)</f>
        <v/>
      </c>
      <c r="II4" s="161">
        <f>IFERROR(VLOOKUP(SUBSTITUTE(SUBSTITUTE(SUBSTITUTE($EZ4,"~","~~"),"*","~*"),"?","~?"),'DADOS_ENTIDADES'!$AI$2:$AL$35,2,FALSE),0)</f>
        <v/>
      </c>
      <c r="IJ4" s="161">
        <f>IFERROR(VLOOKUP(SUBSTITUTE(SUBSTITUTE(SUBSTITUTE($FA4,"~","~~"),"*","~*"),"?","~?"),'DADOS_ENTIDADES'!$AI$2:$AL$35,2,FALSE),0)</f>
        <v/>
      </c>
      <c r="IK4" s="161">
        <f>IFERROR(VLOOKUP(SUBSTITUTE(SUBSTITUTE(SUBSTITUTE($FB4,"~","~~"),"*","~*"),"?","~?"),'DADOS_ENTIDADES'!$AI$2:$AL$35,2,FALSE),0)</f>
        <v/>
      </c>
      <c r="IL4" s="161">
        <f>IFERROR(VLOOKUP(SUBSTITUTE(SUBSTITUTE(SUBSTITUTE($FC4,"~","~~"),"*","~*"),"?","~?"),'DADOS_ENTIDADES'!$AI$2:$AL$35,2,FALSE),0)</f>
        <v/>
      </c>
      <c r="IM4" s="161">
        <f>IFERROR(VLOOKUP(SUBSTITUTE(SUBSTITUTE(SUBSTITUTE($FD4,"~","~~"),"*","~*"),"?","~?"),'DADOS_ENTIDADES'!$AI$2:$AL$35,2,FALSE),0)</f>
        <v/>
      </c>
      <c r="IN4" s="161">
        <f>IFERROR(VLOOKUP(SUBSTITUTE(SUBSTITUTE(SUBSTITUTE($FE4,"~","~~"),"*","~*"),"?","~?"),'DADOS_ENTIDADES'!$AI$2:$AL$35,2,FALSE),0)</f>
        <v/>
      </c>
      <c r="IO4" s="161">
        <f>IF($EX4="","",IF(1&gt;$FO4,"⚠ Este talento abre no nível 1",IF($IG4&gt;1,"⚠ Categoria "&amp;$IG4&amp;": este ganho vai até a 1 · ","")&amp;IFERROR(VLOOKUP(SUBSTITUTE(SUBSTITUTE(SUBSTITUTE($EX4,"~","~~"),"*","~*"),"?","~?"),'DADOS_ENTIDADES'!$AI$2:$AL$35,3,FALSE),"")))</f>
        <v/>
      </c>
      <c r="IP4" s="161">
        <f>IF($EY4="","",IF(6&gt;$FO4,"⚠ Este talento abre no nível 6",IF($IH4&gt;1,"⚠ Categoria "&amp;$IH4&amp;": este ganho vai até a 1 · ","")&amp;IFERROR(VLOOKUP(SUBSTITUTE(SUBSTITUTE(SUBSTITUTE($EY4,"~","~~"),"*","~*"),"?","~?"),'DADOS_ENTIDADES'!$AI$2:$AL$35,3,FALSE),"")))</f>
        <v/>
      </c>
      <c r="IQ4" s="161">
        <f>IF($EZ4="","",IF(10&gt;$FO4,"⚠ Este talento abre no nível 10",IF($II4&gt;2,"⚠ Categoria "&amp;$II4&amp;": este ganho vai até a 2 · ","")&amp;IFERROR(VLOOKUP(SUBSTITUTE(SUBSTITUTE(SUBSTITUTE($EZ4,"~","~~"),"*","~*"),"?","~?"),'DADOS_ENTIDADES'!$AI$2:$AL$35,3,FALSE),"")))</f>
        <v/>
      </c>
      <c r="IR4" s="161">
        <f>IF($FA4="","",IF(14&gt;$FO4,"⚠ Este talento abre no nível 14",IF($IJ4&gt;3,"⚠ Categoria "&amp;$IJ4&amp;": este ganho vai até a 3 · ","")&amp;IFERROR(VLOOKUP(SUBSTITUTE(SUBSTITUTE(SUBSTITUTE($FA4,"~","~~"),"*","~*"),"?","~?"),'DADOS_ENTIDADES'!$AI$2:$AL$35,3,FALSE),"")))</f>
        <v/>
      </c>
      <c r="IS4" s="161">
        <f>IF($FB4="","",IF(18&gt;$FO4,"⚠ Este talento abre no nível 18",IF($IK4&gt;3,"⚠ Categoria "&amp;$IK4&amp;": este ganho vai até a 3 · ","")&amp;IFERROR(VLOOKUP(SUBSTITUTE(SUBSTITUTE(SUBSTITUTE($FB4,"~","~~"),"*","~*"),"?","~?"),'DADOS_ENTIDADES'!$AI$2:$AL$35,3,FALSE),"")))</f>
        <v/>
      </c>
      <c r="IT4" s="161">
        <f>IF($FC4="","",IF(22&gt;$FO4,"⚠ Este talento abre no nível 22",IF($IL4&gt;3,"⚠ Categoria "&amp;$IL4&amp;": este ganho vai até a 3 · ","")&amp;IFERROR(VLOOKUP(SUBSTITUTE(SUBSTITUTE(SUBSTITUTE($FC4,"~","~~"),"*","~*"),"?","~?"),'DADOS_ENTIDADES'!$AI$2:$AL$35,3,FALSE),"")))</f>
        <v/>
      </c>
      <c r="IU4" s="161">
        <f>IF($FD4="","",IF(26&gt;$FO4,"⚠ Este talento abre no nível 26",IF($IM4&gt;3,"⚠ Categoria "&amp;$IM4&amp;": este ganho vai até a 3 · ","")&amp;IFERROR(VLOOKUP(SUBSTITUTE(SUBSTITUTE(SUBSTITUTE($FD4,"~","~~"),"*","~*"),"?","~?"),'DADOS_ENTIDADES'!$AI$2:$AL$35,3,FALSE),"")))</f>
        <v/>
      </c>
      <c r="IV4" s="161">
        <f>IF($FE4="","",IF(30&gt;$FO4,"⚠ Este talento abre no nível 30",IF($IN4&gt;3,"⚠ Categoria "&amp;$IN4&amp;": este ganho vai até a 3 · ","")&amp;IFERROR(VLOOKUP(SUBSTITUTE(SUBSTITUTE(SUBSTITUTE($FE4,"~","~~"),"*","~*"),"?","~?"),'DADOS_ENTIDADES'!$AI$2:$AL$35,3,FALSE),"")))</f>
        <v/>
      </c>
      <c r="IW4" s="161">
        <f>IF($FF4="","",IFERROR(VLOOKUP(SUBSTITUTE(SUBSTITUTE(SUBSTITUTE($FF4,"~","~~"),"*","~*"),"?","~?"),'DADOS_ENTIDADES'!$AI$2:$AL$35,3,FALSE),""))</f>
        <v/>
      </c>
      <c r="IX4" s="161">
        <f>IF($FG4="","",IFERROR(VLOOKUP(SUBSTITUTE(SUBSTITUTE(SUBSTITUTE($FG4,"~","~~"),"*","~*"),"?","~?"),'DADOS_ENTIDADES'!$AI$2:$AL$35,3,FALSE),""))</f>
        <v/>
      </c>
      <c r="IY4" s="161">
        <f>IF($FH4="","",IFERROR(VLOOKUP(SUBSTITUTE(SUBSTITUTE(SUBSTITUTE($FH4,"~","~~"),"*","~*"),"?","~?"),'DADOS_ENTIDADES'!$AI$2:$AL$35,3,FALSE),""))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IFERROR(MATCH(SUBSTITUTE(SUBSTITUTE(SUBSTITUTE($MU4,"~","~~"),"*","~*"),"?","~?"),'DADOS_FORMAS'!$FZ$2:$FZ$21,0),0)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IF($MS4=0,0,IF($NJ4=0,0,INDEX('DADOS_FORMAS'!$GB$2:$GB$21,$NJ4)))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IF($NJ4=0,0,IF(INDEX('DADOS_FORMAS'!$GA$2:$GA$21,$NJ4)="",0,IF((COUNTIF(INDEX($EL$2:$EP$13,$MO4,0),INDEX('DADOS_FORMAS'!$GA$2:$GA$21,$NJ4))+COUNTIF(INDEX($QV$2:$QY$13,$MO4,0),INDEX('DADOS_FORMAS'!$GA$2:$GA$21,$NJ4)))=0,1,0)))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IFERROR(N(AND(INDEX('DADOS_FORMAS'!$AO$2:$AO$21,MATCH(SUBSTITUTE(SUBSTITUTE(SUBSTITUTE($MU4,"~","~~"),"*","~*"),"?","~?"),'DADOS_FORMAS'!$AH$2:$AH$21,0))="Acerto",$OH4=1)),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IF($NJ4=0,0,INDEX('DADOS_FORMAS'!$GC$2:$GC$21,$NJ4))</f>
        <v/>
      </c>
      <c r="OG4" s="161">
        <f>IF($NJ4=0,0,INDEX('DADOS_FORMAS'!$GD$2:$GD$21,$NJ4))</f>
        <v/>
      </c>
      <c r="OH4" s="161">
        <f>IF($NJ4=0,0,INDEX('DADOS_FORMAS'!$GF$2:$GF$21,$NJ4))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IF(IFERROR(INDEX('DADOS_FORMAS'!$AS$2:$AS$21,MATCH(SUBSTITUTE(SUBSTITUTE(SUBSTITUTE($MU4,"~","~~"),"*","~*"),"?","~?"),'DADOS_FORMAS'!$AH$2:$AH$21,0)),"")="",0,IFERROR(N(VLOOKUP(SUBSTITUTE(SUBSTITUTE(SUBSTITUTE(IFERROR(INDEX('DADOS_FORMAS'!$AS$2:$AS$21,MATCH(SUBSTITUTE(SUBSTITUTE(SUBSTITUTE($MU4,"~","~~"),"*","~*"),"?","~?"),'DADOS_FORMAS'!$AH$2:$AH$21,0)),""),"~","~~"),"*","~*"),"?","~?"),'DADOS_RESTRICOES'!$M$2:$Q$54,3,FALSE)=1),0))</f>
        <v/>
      </c>
      <c r="OT4" s="161">
        <f>COUNTIF($OI4:$OJ4,2)+IF(IFERROR(INDEX('DADOS_FORMAS'!$AS$2:$AS$21,MATCH(SUBSTITUTE(SUBSTITUTE(SUBSTITUTE($MU4,"~","~~"),"*","~*"),"?","~?"),'DADOS_FORMAS'!$AH$2:$AH$21,0)),"")="",0,IFERROR(N(VLOOKUP(SUBSTITUTE(SUBSTITUTE(SUBSTITUTE(IFERROR(INDEX('DADOS_FORMAS'!$AS$2:$AS$21,MATCH(SUBSTITUTE(SUBSTITUTE(SUBSTITUTE($MU4,"~","~~"),"*","~*"),"?","~?"),'DADOS_FORMAS'!$AH$2:$AH$21,0)),""),"~","~~"),"*","~*"),"?","~?"),'DADOS_RESTRICOES'!$M$2:$Q$54,3,FALSE)=2),0))</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",TRUE,IF($ND4=0,"",TEXTJOIN(" · ",TRUE,IF($MQ4&gt;$NE4,"Este lugar abre no nível "&amp;$MQ4,""),IF($MS4&gt;$NF4,"Classe "&amp;$MS4&amp;": o nível "&amp;$NE4&amp;" libera até a "&amp;$NF4,""),IF($NX4=1,"A Forma "&amp;$MU4&amp;" pede "&amp;INDEX('DADOS_FORMAS'!$GA$2:$GA$21,$NJ4)&amp;" aberta",""),IF(AND($MS4=0,$NJ4&gt;0,IF($NJ4=0,0,INDEX('DADOS_FORMAS'!$GJ$2:$GJ$21,$NJ4))=0),$MU4&amp;"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Corpo")&gt;0,$OF4=0,OR($RO4="Cone",$RO4="Linha")),"Corpo a Corpo não entra em "&amp;$MU4,""),IF(AND(COUNTIF($OK4:$OL4,"Corpo a Corpo")&gt;0,$RP4="Corpo a Corpo"),"A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"&amp;$NC4,""))),IF(AND($MU4&lt;&gt;"",COUNTIF('DADOS_FORMAS'!$AH$2:$AH$21,SUBSTITUTE(SUBSTITUTE(SUBSTITUTE($MU4,"~","~~"),"*","~*"),"?","~?"))=0),"Forma não cadastrada ou com erro: "&amp;$MU4,""),IF(AND(IFERROR(INDEX('DADOS_FORMAS'!$AS$2:$AS$21,MATCH(SUBSTITUTE(SUBSTITUTE(SUBSTITUTE($MU4,"~","~~"),"*","~*"),"?","~?"),'DADOS_FORMAS'!$AH$2:$AH$21,0)),"")&lt;&gt;"",OR(IFERROR(VLOOKUP(SUBSTITUTE(SUBSTITUTE(SUBSTITUTE(IFERROR(INDEX('DADOS_FORMAS'!$AS$2:$AS$21,MATCH(SUBSTITUTE(SUBSTITUTE(SUBSTITUTE($MU4,"~","~~"),"*","~*"),"?","~?"),'DADOS_FORMAS'!$AH$2:$AH$21,0)),""),"~","~~"),"*","~*"),"?","~?"),'DADOS_RESTRICOES'!$M$2:$Q$54,2,FALSE),"")=$OK4,IFERROR(VLOOKUP(SUBSTITUTE(SUBSTITUTE(SUBSTITUTE(IFERROR(INDEX('DADOS_FORMAS'!$AS$2:$AS$21,MATCH(SUBSTITUTE(SUBSTITUTE(SUBSTITUTE($MU4,"~","~~"),"*","~*"),"?","~?"),'DADOS_FORMAS'!$AH$2:$AH$21,0)),""),"~","~~"),"*","~*"),"?","~?"),'DADOS_RESTRICOES'!$M$2:$Q$54,2,FALSE),"")=$OL4)),"Restrição repetida, contando a embutida",""),IF(IF(IFERROR(INDEX('DADOS_FORMAS'!$AS$2:$AS$21,MATCH(SUBSTITUTE(SUBSTITUTE(SUBSTITUTE($MU4,"~","~~"),"*","~*"),"?","~?"),'DADOS_FORMAS'!$AH$2:$AH$21,0)),"")="",0,IFERROR(N(VLOOKUP(SUBSTITUTE(SUBSTITUTE(SUBSTITUTE(IFERROR(INDEX('DADOS_FORMAS'!$AS$2:$AS$21,MATCH(SUBSTITUTE(SUBSTITUTE(SUBSTITUTE($MU4,"~","~~"),"*","~*"),"?","~?"),'DADOS_FORMAS'!$AH$2:$AH$21,0)),""),"~","~~"),"*","~*"),"?","~?"),'DADOS_RESTRICOES'!$M$2:$Q$54,4,FALSE)=1),0))+IF($NB4="",0,IFERROR(N(VLOOKUP(SUBSTITUTE(SUBSTITUTE(SUBSTITUTE($NB4,"~","~~"),"*","~*"),"?","~?"),'DADOS_RESTRICOES'!$M$2:$Q$54,4,FALSE)=1),0))+IF($NC4="",0,IFERROR(N(VLOOKUP(SUBSTITUTE(SUBSTITUTE(SUBSTITUTE($NC4,"~","~~"),"*","~*"),"?","~?"),'DADOS_RESTRICOES'!$M$2:$Q$54,4,FALSE)=1),0))&gt;1,"Duas Restrições de frequência, contando a embutida",""),IF(AND(IFERROR(VLOOKUP(SUBSTITUTE(SUBSTITUTE(SUBSTITUTE(IFERROR(INDEX('DADOS_FORMAS'!$AS$2:$AS$21,MATCH(SUBSTITUTE(SUBSTITUTE(SUBSTITUTE($MU4,"~","~~"),"*","~*"),"?","~?"),'DADOS_FORMAS'!$AH$2:$AH$21,0)),""),"~","~~"),"*","~*"),"?","~?"),'DADOS_RESTRICOES'!$M$2:$Q$54,2,FALSE),"")="Tudo ou Nada",$OH4=0),"Tudo ou Nada exige TR",""),IF(AND(IFERROR(VLOOKUP(SUBSTITUTE(SUBSTITUTE(SUBSTITUTE(IFERROR(INDEX('DADOS_FORMAS'!$AS$2:$AS$21,MATCH(SUBSTITUTE(SUBSTITUTE(SUBSTITUTE($MU4,"~","~~"),"*","~*"),"?","~?"),'DADOS_FORMAS'!$AH$2:$AH$21,0)),""),"~","~~"),"*","~*"),"?","~?"),'DADOS_RESTRICOES'!$M$2:$Q$54,2,FALSE),"")="Corpo a Corpo",OR($RO4="Cone",$RO4="Linha")),"Corpo a Corpo não entra em Cone/Linha","")))</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dela",IF(COUNTIF($RQ4:$RS4,"Atrasar")&gt;0,"Sua Ação Completa",IF(COUNTIF($RK4:$RN4,"Rápido")&gt;0,"Sua Bônus",IF(COUNTIF($RK4:$RN4,"Reação")&gt;0,"Sua Reação","Sua Padrão")))&amp;" + a básica dela"&amp;IF(COUNTIF($RK4:$RN4,"Reação")&gt;0," e a coletiva","")&amp;IF(COUNTIF($RQ4:$RS4,"Carregar")&gt;0," · em dois turnos","")))</f>
        <v/>
      </c>
      <c r="QC4" s="161">
        <f>IF($MW4&lt;&gt;"",$MW4,IF($NJ4=0,"",INDEX('DADOS_FORMAS'!$GE$2:$GE$21,$NJ4)))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IF($NJ4=0,0,CHOOSE(1+INDEX('DADOS_FORMAS'!$GG$2:$GG$21,$NJ4),0,$QF4,$QG4,$QF4+$QG4))</f>
        <v/>
      </c>
      <c r="QI4" s="161">
        <f>IF($NJ4=0,0,CHOOSE(1+INDEX('DADOS_FORMAS'!$GH$2:$GH$21,$NJ4),0,$QF4,$QG4,$QF4+$QG4))</f>
        <v/>
      </c>
      <c r="QJ4" s="161">
        <f>IF(OR($ND4=0,$NJ4=0),"",INDEX('DADOS_FORMAS'!$HU$2:$HZ$81,($NJ4-1)*4+IF($MS4=0,1,IF($MS4&lt;=5,2,IF($MS4=6,3,4))),1+MIN(5,$QH4))&amp;INDEX('DADOS_FORMAS'!$IA$2:$IF$81,($NJ4-1)*4+IF($MS4=0,1,IF($MS4&lt;=5,2,IF($MS4=6,3,4))),1+MIN(5,$QI4))&amp;IF(INDEX('DADOS_FORMAS'!$GI$2:$GI$21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c r="RO4">
        <f>IFERROR(INDEX('DADOS_FORMAS'!$BJ$2:$BJ$21,MATCH(SUBSTITUTE(SUBSTITUTE(SUBSTITUTE($MU4,"~","~~"),"*","~*"),"?","~?"),'DADOS_FORMAS'!$AH$2:$AH$21,0)),"")</f>
        <v/>
      </c>
      <c r="RP4">
        <f>IFERROR(VLOOKUP(SUBSTITUTE(SUBSTITUTE(SUBSTITUTE(IFERROR(INDEX('DADOS_FORMAS'!$AS$2:$AS$21,MATCH(SUBSTITUTE(SUBSTITUTE(SUBSTITUTE($MU4,"~","~~"),"*","~*"),"?","~?"),'DADOS_FORMAS'!$AH$2:$AH$21,0)),""),"~","~~"),"*","~*"),"?","~?"),'DADOS_RESTRICOES'!$M$2:$Q$54,2,FALSE),"")</f>
        <v/>
      </c>
      <c r="RQ4">
        <f>$OK4</f>
        <v/>
      </c>
      <c r="RR4">
        <f>$OL4</f>
        <v/>
      </c>
      <c r="RS4">
        <f>$RP4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IF(IFERROR(VLOOKUP(SUBSTITUTE(SUBSTITUTE(SUBSTITUTE($DF5,"~","~~"),"*","~*"),"?","~?"),'DADOS_ENTIDADES'!$M$2:$P$16,2,FALSE),0)=1,1,0)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IF(AND(IFERROR(VLOOKUP(SUBSTITUTE(SUBSTITUTE(SUBSTITUTE($DF5,"~","~~"),"*","~*"),"?","~?"),'DADOS_ENTIDADES'!$M$2:$P$16,3,FALSE),0)=1,$DI5="Com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IF(IFERROR(VLOOKUP(SUBSTITUTE(SUBSTITUTE(SUBSTITUTE($DF5,"~","~~"),"*","~*"),"?","~?"),'DADOS_ENTIDADES'!$M$2:$P$16,4,FALSE),0)=1,"RESERVA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IFERROR(VLOOKUP(SUBSTITUTE(SUBSTITUTE(SUBSTITUTE($EX5,"~","~~"),"*","~*"),"?","~?"),'DADOS_ENTIDADES'!$AI$2:$AL$35,2,FALSE),0)</f>
        <v/>
      </c>
      <c r="IH5" s="161">
        <f>IFERROR(VLOOKUP(SUBSTITUTE(SUBSTITUTE(SUBSTITUTE($EY5,"~","~~"),"*","~*"),"?","~?"),'DADOS_ENTIDADES'!$AI$2:$AL$35,2,FALSE),0)</f>
        <v/>
      </c>
      <c r="II5" s="161">
        <f>IFERROR(VLOOKUP(SUBSTITUTE(SUBSTITUTE(SUBSTITUTE($EZ5,"~","~~"),"*","~*"),"?","~?"),'DADOS_ENTIDADES'!$AI$2:$AL$35,2,FALSE),0)</f>
        <v/>
      </c>
      <c r="IJ5" s="161">
        <f>IFERROR(VLOOKUP(SUBSTITUTE(SUBSTITUTE(SUBSTITUTE($FA5,"~","~~"),"*","~*"),"?","~?"),'DADOS_ENTIDADES'!$AI$2:$AL$35,2,FALSE),0)</f>
        <v/>
      </c>
      <c r="IK5" s="161">
        <f>IFERROR(VLOOKUP(SUBSTITUTE(SUBSTITUTE(SUBSTITUTE($FB5,"~","~~"),"*","~*"),"?","~?"),'DADOS_ENTIDADES'!$AI$2:$AL$35,2,FALSE),0)</f>
        <v/>
      </c>
      <c r="IL5" s="161">
        <f>IFERROR(VLOOKUP(SUBSTITUTE(SUBSTITUTE(SUBSTITUTE($FC5,"~","~~"),"*","~*"),"?","~?"),'DADOS_ENTIDADES'!$AI$2:$AL$35,2,FALSE),0)</f>
        <v/>
      </c>
      <c r="IM5" s="161">
        <f>IFERROR(VLOOKUP(SUBSTITUTE(SUBSTITUTE(SUBSTITUTE($FD5,"~","~~"),"*","~*"),"?","~?"),'DADOS_ENTIDADES'!$AI$2:$AL$35,2,FALSE),0)</f>
        <v/>
      </c>
      <c r="IN5" s="161">
        <f>IFERROR(VLOOKUP(SUBSTITUTE(SUBSTITUTE(SUBSTITUTE($FE5,"~","~~"),"*","~*"),"?","~?"),'DADOS_ENTIDADES'!$AI$2:$AL$35,2,FALSE),0)</f>
        <v/>
      </c>
      <c r="IO5" s="161">
        <f>IF($EX5="","",IF(1&gt;$FO5,"⚠ Este talento abre no nível 1",IF($IG5&gt;1,"⚠ Categoria "&amp;$IG5&amp;": este ganho vai até a 1 · ","")&amp;IFERROR(VLOOKUP(SUBSTITUTE(SUBSTITUTE(SUBSTITUTE($EX5,"~","~~"),"*","~*"),"?","~?"),'DADOS_ENTIDADES'!$AI$2:$AL$35,3,FALSE),"")))</f>
        <v/>
      </c>
      <c r="IP5" s="161">
        <f>IF($EY5="","",IF(6&gt;$FO5,"⚠ Este talento abre no nível 6",IF($IH5&gt;1,"⚠ Categoria "&amp;$IH5&amp;": este ganho vai até a 1 · ","")&amp;IFERROR(VLOOKUP(SUBSTITUTE(SUBSTITUTE(SUBSTITUTE($EY5,"~","~~"),"*","~*"),"?","~?"),'DADOS_ENTIDADES'!$AI$2:$AL$35,3,FALSE),"")))</f>
        <v/>
      </c>
      <c r="IQ5" s="161">
        <f>IF($EZ5="","",IF(10&gt;$FO5,"⚠ Este talento abre no nível 10",IF($II5&gt;2,"⚠ Categoria "&amp;$II5&amp;": este ganho vai até a 2 · ","")&amp;IFERROR(VLOOKUP(SUBSTITUTE(SUBSTITUTE(SUBSTITUTE($EZ5,"~","~~"),"*","~*"),"?","~?"),'DADOS_ENTIDADES'!$AI$2:$AL$35,3,FALSE),"")))</f>
        <v/>
      </c>
      <c r="IR5" s="161">
        <f>IF($FA5="","",IF(14&gt;$FO5,"⚠ Este talento abre no nível 14",IF($IJ5&gt;3,"⚠ Categoria "&amp;$IJ5&amp;": este ganho vai até a 3 · ","")&amp;IFERROR(VLOOKUP(SUBSTITUTE(SUBSTITUTE(SUBSTITUTE($FA5,"~","~~"),"*","~*"),"?","~?"),'DADOS_ENTIDADES'!$AI$2:$AL$35,3,FALSE),"")))</f>
        <v/>
      </c>
      <c r="IS5" s="161">
        <f>IF($FB5="","",IF(18&gt;$FO5,"⚠ Este talento abre no nível 18",IF($IK5&gt;3,"⚠ Categoria "&amp;$IK5&amp;": este ganho vai até a 3 · ","")&amp;IFERROR(VLOOKUP(SUBSTITUTE(SUBSTITUTE(SUBSTITUTE($FB5,"~","~~"),"*","~*"),"?","~?"),'DADOS_ENTIDADES'!$AI$2:$AL$35,3,FALSE),"")))</f>
        <v/>
      </c>
      <c r="IT5" s="161">
        <f>IF($FC5="","",IF(22&gt;$FO5,"⚠ Este talento abre no nível 22",IF($IL5&gt;3,"⚠ Categoria "&amp;$IL5&amp;": este ganho vai até a 3 · ","")&amp;IFERROR(VLOOKUP(SUBSTITUTE(SUBSTITUTE(SUBSTITUTE($FC5,"~","~~"),"*","~*"),"?","~?"),'DADOS_ENTIDADES'!$AI$2:$AL$35,3,FALSE),"")))</f>
        <v/>
      </c>
      <c r="IU5" s="161">
        <f>IF($FD5="","",IF(26&gt;$FO5,"⚠ Este talento abre no nível 26",IF($IM5&gt;3,"⚠ Categoria "&amp;$IM5&amp;": este ganho vai até a 3 · ","")&amp;IFERROR(VLOOKUP(SUBSTITUTE(SUBSTITUTE(SUBSTITUTE($FD5,"~","~~"),"*","~*"),"?","~?"),'DADOS_ENTIDADES'!$AI$2:$AL$35,3,FALSE),"")))</f>
        <v/>
      </c>
      <c r="IV5" s="161">
        <f>IF($FE5="","",IF(30&gt;$FO5,"⚠ Este talento abre no nível 30",IF($IN5&gt;3,"⚠ Categoria "&amp;$IN5&amp;": este ganho vai até a 3 · ","")&amp;IFERROR(VLOOKUP(SUBSTITUTE(SUBSTITUTE(SUBSTITUTE($FE5,"~","~~"),"*","~*"),"?","~?"),'DADOS_ENTIDADES'!$AI$2:$AL$35,3,FALSE),"")))</f>
        <v/>
      </c>
      <c r="IW5" s="161">
        <f>IF($FF5="","",IFERROR(VLOOKUP(SUBSTITUTE(SUBSTITUTE(SUBSTITUTE($FF5,"~","~~"),"*","~*"),"?","~?"),'DADOS_ENTIDADES'!$AI$2:$AL$35,3,FALSE),""))</f>
        <v/>
      </c>
      <c r="IX5" s="161">
        <f>IF($FG5="","",IFERROR(VLOOKUP(SUBSTITUTE(SUBSTITUTE(SUBSTITUTE($FG5,"~","~~"),"*","~*"),"?","~?"),'DADOS_ENTIDADES'!$AI$2:$AL$35,3,FALSE),""))</f>
        <v/>
      </c>
      <c r="IY5" s="161">
        <f>IF($FH5="","",IFERROR(VLOOKUP(SUBSTITUTE(SUBSTITUTE(SUBSTITUTE($FH5,"~","~~"),"*","~*"),"?","~?"),'DADOS_ENTIDADES'!$AI$2:$AL$35,3,FALSE),""))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IFERROR(MATCH(SUBSTITUTE(SUBSTITUTE(SUBSTITUTE($MU5,"~","~~"),"*","~*"),"?","~?"),'DADOS_FORMAS'!$FZ$2:$FZ$21,0),0)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IF($MS5=0,0,IF($NJ5=0,0,INDEX('DADOS_FORMAS'!$GB$2:$GB$21,$NJ5)))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IF($NJ5=0,0,IF(INDEX('DADOS_FORMAS'!$GA$2:$GA$21,$NJ5)="",0,IF((COUNTIF(INDEX($EL$2:$EP$13,$MO5,0),INDEX('DADOS_FORMAS'!$GA$2:$GA$21,$NJ5))+COUNTIF(INDEX($QV$2:$QY$13,$MO5,0),INDEX('DADOS_FORMAS'!$GA$2:$GA$21,$NJ5)))=0,1,0)))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IFERROR(N(AND(INDEX('DADOS_FORMAS'!$AO$2:$AO$21,MATCH(SUBSTITUTE(SUBSTITUTE(SUBSTITUTE($MU5,"~","~~"),"*","~*"),"?","~?"),'DADOS_FORMAS'!$AH$2:$AH$21,0))="Acerto",$OH5=1)),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IF($NJ5=0,0,INDEX('DADOS_FORMAS'!$GC$2:$GC$21,$NJ5))</f>
        <v/>
      </c>
      <c r="OG5" s="161">
        <f>IF($NJ5=0,0,INDEX('DADOS_FORMAS'!$GD$2:$GD$21,$NJ5))</f>
        <v/>
      </c>
      <c r="OH5" s="161">
        <f>IF($NJ5=0,0,INDEX('DADOS_FORMAS'!$GF$2:$GF$21,$NJ5))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IF(IFERROR(INDEX('DADOS_FORMAS'!$AS$2:$AS$21,MATCH(SUBSTITUTE(SUBSTITUTE(SUBSTITUTE($MU5,"~","~~"),"*","~*"),"?","~?"),'DADOS_FORMAS'!$AH$2:$AH$21,0)),"")="",0,IFERROR(N(VLOOKUP(SUBSTITUTE(SUBSTITUTE(SUBSTITUTE(IFERROR(INDEX('DADOS_FORMAS'!$AS$2:$AS$21,MATCH(SUBSTITUTE(SUBSTITUTE(SUBSTITUTE($MU5,"~","~~"),"*","~*"),"?","~?"),'DADOS_FORMAS'!$AH$2:$AH$21,0)),""),"~","~~"),"*","~*"),"?","~?"),'DADOS_RESTRICOES'!$M$2:$Q$54,3,FALSE)=1),0))</f>
        <v/>
      </c>
      <c r="OT5" s="161">
        <f>COUNTIF($OI5:$OJ5,2)+IF(IFERROR(INDEX('DADOS_FORMAS'!$AS$2:$AS$21,MATCH(SUBSTITUTE(SUBSTITUTE(SUBSTITUTE($MU5,"~","~~"),"*","~*"),"?","~?"),'DADOS_FORMAS'!$AH$2:$AH$21,0)),"")="",0,IFERROR(N(VLOOKUP(SUBSTITUTE(SUBSTITUTE(SUBSTITUTE(IFERROR(INDEX('DADOS_FORMAS'!$AS$2:$AS$21,MATCH(SUBSTITUTE(SUBSTITUTE(SUBSTITUTE($MU5,"~","~~"),"*","~*"),"?","~?"),'DADOS_FORMAS'!$AH$2:$AH$21,0)),""),"~","~~"),"*","~*"),"?","~?"),'DADOS_RESTRICOES'!$M$2:$Q$54,3,FALSE)=2),0))</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",TRUE,IF($ND5=0,"",TEXTJOIN(" · ",TRUE,IF($MQ5&gt;$NE5,"Este lugar abre no nível "&amp;$MQ5,""),IF($MS5&gt;$NF5,"Classe "&amp;$MS5&amp;": o nível "&amp;$NE5&amp;" libera até a "&amp;$NF5,""),IF($NX5=1,"A Forma "&amp;$MU5&amp;" pede "&amp;INDEX('DADOS_FORMAS'!$GA$2:$GA$21,$NJ5)&amp;" aberta",""),IF(AND($MS5=0,$NJ5&gt;0,IF($NJ5=0,0,INDEX('DADOS_FORMAS'!$GJ$2:$GJ$21,$NJ5))=0),$MU5&amp;"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Corpo")&gt;0,$OF5=0,OR($RO5="Cone",$RO5="Linha")),"Corpo a Corpo não entra em "&amp;$MU5,""),IF(AND(COUNTIF($OK5:$OL5,"Corpo a Corpo")&gt;0,$RP5="Corpo a Corpo"),"A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"&amp;$NC5,""))),IF(AND($MU5&lt;&gt;"",COUNTIF('DADOS_FORMAS'!$AH$2:$AH$21,SUBSTITUTE(SUBSTITUTE(SUBSTITUTE($MU5,"~","~~"),"*","~*"),"?","~?"))=0),"Forma não cadastrada ou com erro: "&amp;$MU5,""),IF(AND(IFERROR(INDEX('DADOS_FORMAS'!$AS$2:$AS$21,MATCH(SUBSTITUTE(SUBSTITUTE(SUBSTITUTE($MU5,"~","~~"),"*","~*"),"?","~?"),'DADOS_FORMAS'!$AH$2:$AH$21,0)),"")&lt;&gt;"",OR(IFERROR(VLOOKUP(SUBSTITUTE(SUBSTITUTE(SUBSTITUTE(IFERROR(INDEX('DADOS_FORMAS'!$AS$2:$AS$21,MATCH(SUBSTITUTE(SUBSTITUTE(SUBSTITUTE($MU5,"~","~~"),"*","~*"),"?","~?"),'DADOS_FORMAS'!$AH$2:$AH$21,0)),""),"~","~~"),"*","~*"),"?","~?"),'DADOS_RESTRICOES'!$M$2:$Q$54,2,FALSE),"")=$OK5,IFERROR(VLOOKUP(SUBSTITUTE(SUBSTITUTE(SUBSTITUTE(IFERROR(INDEX('DADOS_FORMAS'!$AS$2:$AS$21,MATCH(SUBSTITUTE(SUBSTITUTE(SUBSTITUTE($MU5,"~","~~"),"*","~*"),"?","~?"),'DADOS_FORMAS'!$AH$2:$AH$21,0)),""),"~","~~"),"*","~*"),"?","~?"),'DADOS_RESTRICOES'!$M$2:$Q$54,2,FALSE),"")=$OL5)),"Restrição repetida, contando a embutida",""),IF(IF(IFERROR(INDEX('DADOS_FORMAS'!$AS$2:$AS$21,MATCH(SUBSTITUTE(SUBSTITUTE(SUBSTITUTE($MU5,"~","~~"),"*","~*"),"?","~?"),'DADOS_FORMAS'!$AH$2:$AH$21,0)),"")="",0,IFERROR(N(VLOOKUP(SUBSTITUTE(SUBSTITUTE(SUBSTITUTE(IFERROR(INDEX('DADOS_FORMAS'!$AS$2:$AS$21,MATCH(SUBSTITUTE(SUBSTITUTE(SUBSTITUTE($MU5,"~","~~"),"*","~*"),"?","~?"),'DADOS_FORMAS'!$AH$2:$AH$21,0)),""),"~","~~"),"*","~*"),"?","~?"),'DADOS_RESTRICOES'!$M$2:$Q$54,4,FALSE)=1),0))+IF($NB5="",0,IFERROR(N(VLOOKUP(SUBSTITUTE(SUBSTITUTE(SUBSTITUTE($NB5,"~","~~"),"*","~*"),"?","~?"),'DADOS_RESTRICOES'!$M$2:$Q$54,4,FALSE)=1),0))+IF($NC5="",0,IFERROR(N(VLOOKUP(SUBSTITUTE(SUBSTITUTE(SUBSTITUTE($NC5,"~","~~"),"*","~*"),"?","~?"),'DADOS_RESTRICOES'!$M$2:$Q$54,4,FALSE)=1),0))&gt;1,"Duas Restrições de frequência, contando a embutida",""),IF(AND(IFERROR(VLOOKUP(SUBSTITUTE(SUBSTITUTE(SUBSTITUTE(IFERROR(INDEX('DADOS_FORMAS'!$AS$2:$AS$21,MATCH(SUBSTITUTE(SUBSTITUTE(SUBSTITUTE($MU5,"~","~~"),"*","~*"),"?","~?"),'DADOS_FORMAS'!$AH$2:$AH$21,0)),""),"~","~~"),"*","~*"),"?","~?"),'DADOS_RESTRICOES'!$M$2:$Q$54,2,FALSE),"")="Tudo ou Nada",$OH5=0),"Tudo ou Nada exige TR",""),IF(AND(IFERROR(VLOOKUP(SUBSTITUTE(SUBSTITUTE(SUBSTITUTE(IFERROR(INDEX('DADOS_FORMAS'!$AS$2:$AS$21,MATCH(SUBSTITUTE(SUBSTITUTE(SUBSTITUTE($MU5,"~","~~"),"*","~*"),"?","~?"),'DADOS_FORMAS'!$AH$2:$AH$21,0)),""),"~","~~"),"*","~*"),"?","~?"),'DADOS_RESTRICOES'!$M$2:$Q$54,2,FALSE),"")="Corpo a Corpo",OR($RO5="Cone",$RO5="Linha")),"Corpo a Corpo não entra em Cone/Linha","")))</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dela",IF(COUNTIF($RQ5:$RS5,"Atrasar")&gt;0,"Sua Ação Completa",IF(COUNTIF($RK5:$RN5,"Rápido")&gt;0,"Sua Bônus",IF(COUNTIF($RK5:$RN5,"Reação")&gt;0,"Sua Reação","Sua Padrão")))&amp;" + a básica dela"&amp;IF(COUNTIF($RK5:$RN5,"Reação")&gt;0," e a coletiva","")&amp;IF(COUNTIF($RQ5:$RS5,"Carregar")&gt;0," · em dois turnos","")))</f>
        <v/>
      </c>
      <c r="QC5" s="161">
        <f>IF($MW5&lt;&gt;"",$MW5,IF($NJ5=0,"",INDEX('DADOS_FORMAS'!$GE$2:$GE$21,$NJ5)))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IF($NJ5=0,0,CHOOSE(1+INDEX('DADOS_FORMAS'!$GG$2:$GG$21,$NJ5),0,$QF5,$QG5,$QF5+$QG5))</f>
        <v/>
      </c>
      <c r="QI5" s="161">
        <f>IF($NJ5=0,0,CHOOSE(1+INDEX('DADOS_FORMAS'!$GH$2:$GH$21,$NJ5),0,$QF5,$QG5,$QF5+$QG5))</f>
        <v/>
      </c>
      <c r="QJ5" s="161">
        <f>IF(OR($ND5=0,$NJ5=0),"",INDEX('DADOS_FORMAS'!$HU$2:$HZ$81,($NJ5-1)*4+IF($MS5=0,1,IF($MS5&lt;=5,2,IF($MS5=6,3,4))),1+MIN(5,$QH5))&amp;INDEX('DADOS_FORMAS'!$IA$2:$IF$81,($NJ5-1)*4+IF($MS5=0,1,IF($MS5&lt;=5,2,IF($MS5=6,3,4))),1+MIN(5,$QI5))&amp;IF(INDEX('DADOS_FORMAS'!$GI$2:$GI$21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c r="RO5">
        <f>IFERROR(INDEX('DADOS_FORMAS'!$BJ$2:$BJ$21,MATCH(SUBSTITUTE(SUBSTITUTE(SUBSTITUTE($MU5,"~","~~"),"*","~*"),"?","~?"),'DADOS_FORMAS'!$AH$2:$AH$21,0)),"")</f>
        <v/>
      </c>
      <c r="RP5">
        <f>IFERROR(VLOOKUP(SUBSTITUTE(SUBSTITUTE(SUBSTITUTE(IFERROR(INDEX('DADOS_FORMAS'!$AS$2:$AS$21,MATCH(SUBSTITUTE(SUBSTITUTE(SUBSTITUTE($MU5,"~","~~"),"*","~*"),"?","~?"),'DADOS_FORMAS'!$AH$2:$AH$21,0)),""),"~","~~"),"*","~*"),"?","~?"),'DADOS_RESTRICOES'!$M$2:$Q$54,2,FALSE),"")</f>
        <v/>
      </c>
      <c r="RQ5">
        <f>$OK5</f>
        <v/>
      </c>
      <c r="RR5">
        <f>$OL5</f>
        <v/>
      </c>
      <c r="RS5">
        <f>$RP5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IF(IFERROR(VLOOKUP(SUBSTITUTE(SUBSTITUTE(SUBSTITUTE($DF6,"~","~~"),"*","~*"),"?","~?"),'DADOS_ENTIDADES'!$M$2:$P$16,2,FALSE),0)=1,1,0)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IF(AND(IFERROR(VLOOKUP(SUBSTITUTE(SUBSTITUTE(SUBSTITUTE($DF6,"~","~~"),"*","~*"),"?","~?"),'DADOS_ENTIDADES'!$M$2:$P$16,3,FALSE),0)=1,$DI6="Com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IF(IFERROR(VLOOKUP(SUBSTITUTE(SUBSTITUTE(SUBSTITUTE($DF6,"~","~~"),"*","~*"),"?","~?"),'DADOS_ENTIDADES'!$M$2:$P$16,4,FALSE),0)=1,"RESERVA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IFERROR(VLOOKUP(SUBSTITUTE(SUBSTITUTE(SUBSTITUTE($EX6,"~","~~"),"*","~*"),"?","~?"),'DADOS_ENTIDADES'!$AI$2:$AL$35,2,FALSE),0)</f>
        <v/>
      </c>
      <c r="IH6" s="161">
        <f>IFERROR(VLOOKUP(SUBSTITUTE(SUBSTITUTE(SUBSTITUTE($EY6,"~","~~"),"*","~*"),"?","~?"),'DADOS_ENTIDADES'!$AI$2:$AL$35,2,FALSE),0)</f>
        <v/>
      </c>
      <c r="II6" s="161">
        <f>IFERROR(VLOOKUP(SUBSTITUTE(SUBSTITUTE(SUBSTITUTE($EZ6,"~","~~"),"*","~*"),"?","~?"),'DADOS_ENTIDADES'!$AI$2:$AL$35,2,FALSE),0)</f>
        <v/>
      </c>
      <c r="IJ6" s="161">
        <f>IFERROR(VLOOKUP(SUBSTITUTE(SUBSTITUTE(SUBSTITUTE($FA6,"~","~~"),"*","~*"),"?","~?"),'DADOS_ENTIDADES'!$AI$2:$AL$35,2,FALSE),0)</f>
        <v/>
      </c>
      <c r="IK6" s="161">
        <f>IFERROR(VLOOKUP(SUBSTITUTE(SUBSTITUTE(SUBSTITUTE($FB6,"~","~~"),"*","~*"),"?","~?"),'DADOS_ENTIDADES'!$AI$2:$AL$35,2,FALSE),0)</f>
        <v/>
      </c>
      <c r="IL6" s="161">
        <f>IFERROR(VLOOKUP(SUBSTITUTE(SUBSTITUTE(SUBSTITUTE($FC6,"~","~~"),"*","~*"),"?","~?"),'DADOS_ENTIDADES'!$AI$2:$AL$35,2,FALSE),0)</f>
        <v/>
      </c>
      <c r="IM6" s="161">
        <f>IFERROR(VLOOKUP(SUBSTITUTE(SUBSTITUTE(SUBSTITUTE($FD6,"~","~~"),"*","~*"),"?","~?"),'DADOS_ENTIDADES'!$AI$2:$AL$35,2,FALSE),0)</f>
        <v/>
      </c>
      <c r="IN6" s="161">
        <f>IFERROR(VLOOKUP(SUBSTITUTE(SUBSTITUTE(SUBSTITUTE($FE6,"~","~~"),"*","~*"),"?","~?"),'DADOS_ENTIDADES'!$AI$2:$AL$35,2,FALSE),0)</f>
        <v/>
      </c>
      <c r="IO6" s="161">
        <f>IF($EX6="","",IF(1&gt;$FO6,"⚠ Este talento abre no nível 1",IF($IG6&gt;1,"⚠ Categoria "&amp;$IG6&amp;": este ganho vai até a 1 · ","")&amp;IFERROR(VLOOKUP(SUBSTITUTE(SUBSTITUTE(SUBSTITUTE($EX6,"~","~~"),"*","~*"),"?","~?"),'DADOS_ENTIDADES'!$AI$2:$AL$35,3,FALSE),"")))</f>
        <v/>
      </c>
      <c r="IP6" s="161">
        <f>IF($EY6="","",IF(6&gt;$FO6,"⚠ Este talento abre no nível 6",IF($IH6&gt;1,"⚠ Categoria "&amp;$IH6&amp;": este ganho vai até a 1 · ","")&amp;IFERROR(VLOOKUP(SUBSTITUTE(SUBSTITUTE(SUBSTITUTE($EY6,"~","~~"),"*","~*"),"?","~?"),'DADOS_ENTIDADES'!$AI$2:$AL$35,3,FALSE),"")))</f>
        <v/>
      </c>
      <c r="IQ6" s="161">
        <f>IF($EZ6="","",IF(10&gt;$FO6,"⚠ Este talento abre no nível 10",IF($II6&gt;2,"⚠ Categoria "&amp;$II6&amp;": este ganho vai até a 2 · ","")&amp;IFERROR(VLOOKUP(SUBSTITUTE(SUBSTITUTE(SUBSTITUTE($EZ6,"~","~~"),"*","~*"),"?","~?"),'DADOS_ENTIDADES'!$AI$2:$AL$35,3,FALSE),"")))</f>
        <v/>
      </c>
      <c r="IR6" s="161">
        <f>IF($FA6="","",IF(14&gt;$FO6,"⚠ Este talento abre no nível 14",IF($IJ6&gt;3,"⚠ Categoria "&amp;$IJ6&amp;": este ganho vai até a 3 · ","")&amp;IFERROR(VLOOKUP(SUBSTITUTE(SUBSTITUTE(SUBSTITUTE($FA6,"~","~~"),"*","~*"),"?","~?"),'DADOS_ENTIDADES'!$AI$2:$AL$35,3,FALSE),"")))</f>
        <v/>
      </c>
      <c r="IS6" s="161">
        <f>IF($FB6="","",IF(18&gt;$FO6,"⚠ Este talento abre no nível 18",IF($IK6&gt;3,"⚠ Categoria "&amp;$IK6&amp;": este ganho vai até a 3 · ","")&amp;IFERROR(VLOOKUP(SUBSTITUTE(SUBSTITUTE(SUBSTITUTE($FB6,"~","~~"),"*","~*"),"?","~?"),'DADOS_ENTIDADES'!$AI$2:$AL$35,3,FALSE),"")))</f>
        <v/>
      </c>
      <c r="IT6" s="161">
        <f>IF($FC6="","",IF(22&gt;$FO6,"⚠ Este talento abre no nível 22",IF($IL6&gt;3,"⚠ Categoria "&amp;$IL6&amp;": este ganho vai até a 3 · ","")&amp;IFERROR(VLOOKUP(SUBSTITUTE(SUBSTITUTE(SUBSTITUTE($FC6,"~","~~"),"*","~*"),"?","~?"),'DADOS_ENTIDADES'!$AI$2:$AL$35,3,FALSE),"")))</f>
        <v/>
      </c>
      <c r="IU6" s="161">
        <f>IF($FD6="","",IF(26&gt;$FO6,"⚠ Este talento abre no nível 26",IF($IM6&gt;3,"⚠ Categoria "&amp;$IM6&amp;": este ganho vai até a 3 · ","")&amp;IFERROR(VLOOKUP(SUBSTITUTE(SUBSTITUTE(SUBSTITUTE($FD6,"~","~~"),"*","~*"),"?","~?"),'DADOS_ENTIDADES'!$AI$2:$AL$35,3,FALSE),"")))</f>
        <v/>
      </c>
      <c r="IV6" s="161">
        <f>IF($FE6="","",IF(30&gt;$FO6,"⚠ Este talento abre no nível 30",IF($IN6&gt;3,"⚠ Categoria "&amp;$IN6&amp;": este ganho vai até a 3 · ","")&amp;IFERROR(VLOOKUP(SUBSTITUTE(SUBSTITUTE(SUBSTITUTE($FE6,"~","~~"),"*","~*"),"?","~?"),'DADOS_ENTIDADES'!$AI$2:$AL$35,3,FALSE),"")))</f>
        <v/>
      </c>
      <c r="IW6" s="161">
        <f>IF($FF6="","",IFERROR(VLOOKUP(SUBSTITUTE(SUBSTITUTE(SUBSTITUTE($FF6,"~","~~"),"*","~*"),"?","~?"),'DADOS_ENTIDADES'!$AI$2:$AL$35,3,FALSE),""))</f>
        <v/>
      </c>
      <c r="IX6" s="161">
        <f>IF($FG6="","",IFERROR(VLOOKUP(SUBSTITUTE(SUBSTITUTE(SUBSTITUTE($FG6,"~","~~"),"*","~*"),"?","~?"),'DADOS_ENTIDADES'!$AI$2:$AL$35,3,FALSE),""))</f>
        <v/>
      </c>
      <c r="IY6" s="161">
        <f>IF($FH6="","",IFERROR(VLOOKUP(SUBSTITUTE(SUBSTITUTE(SUBSTITUTE($FH6,"~","~~"),"*","~*"),"?","~?"),'DADOS_ENTIDADES'!$AI$2:$AL$35,3,FALSE),""))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IFERROR(MATCH(SUBSTITUTE(SUBSTITUTE(SUBSTITUTE($MU6,"~","~~"),"*","~*"),"?","~?"),'DADOS_FORMAS'!$FZ$2:$FZ$21,0),0)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IF($MS6=0,0,IF($NJ6=0,0,INDEX('DADOS_FORMAS'!$GB$2:$GB$21,$NJ6)))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IF($NJ6=0,0,IF(INDEX('DADOS_FORMAS'!$GA$2:$GA$21,$NJ6)="",0,IF((COUNTIF(INDEX($EL$2:$EP$13,$MO6,0),INDEX('DADOS_FORMAS'!$GA$2:$GA$21,$NJ6))+COUNTIF(INDEX($QV$2:$QY$13,$MO6,0),INDEX('DADOS_FORMAS'!$GA$2:$GA$21,$NJ6)))=0,1,0)))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IFERROR(N(AND(INDEX('DADOS_FORMAS'!$AO$2:$AO$21,MATCH(SUBSTITUTE(SUBSTITUTE(SUBSTITUTE($MU6,"~","~~"),"*","~*"),"?","~?"),'DADOS_FORMAS'!$AH$2:$AH$21,0))="Acerto",$OH6=1)),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IF($NJ6=0,0,INDEX('DADOS_FORMAS'!$GC$2:$GC$21,$NJ6))</f>
        <v/>
      </c>
      <c r="OG6" s="161">
        <f>IF($NJ6=0,0,INDEX('DADOS_FORMAS'!$GD$2:$GD$21,$NJ6))</f>
        <v/>
      </c>
      <c r="OH6" s="161">
        <f>IF($NJ6=0,0,INDEX('DADOS_FORMAS'!$GF$2:$GF$21,$NJ6))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IF(IFERROR(INDEX('DADOS_FORMAS'!$AS$2:$AS$21,MATCH(SUBSTITUTE(SUBSTITUTE(SUBSTITUTE($MU6,"~","~~"),"*","~*"),"?","~?"),'DADOS_FORMAS'!$AH$2:$AH$21,0)),"")="",0,IFERROR(N(VLOOKUP(SUBSTITUTE(SUBSTITUTE(SUBSTITUTE(IFERROR(INDEX('DADOS_FORMAS'!$AS$2:$AS$21,MATCH(SUBSTITUTE(SUBSTITUTE(SUBSTITUTE($MU6,"~","~~"),"*","~*"),"?","~?"),'DADOS_FORMAS'!$AH$2:$AH$21,0)),""),"~","~~"),"*","~*"),"?","~?"),'DADOS_RESTRICOES'!$M$2:$Q$54,3,FALSE)=1),0))</f>
        <v/>
      </c>
      <c r="OT6" s="161">
        <f>COUNTIF($OI6:$OJ6,2)+IF(IFERROR(INDEX('DADOS_FORMAS'!$AS$2:$AS$21,MATCH(SUBSTITUTE(SUBSTITUTE(SUBSTITUTE($MU6,"~","~~"),"*","~*"),"?","~?"),'DADOS_FORMAS'!$AH$2:$AH$21,0)),"")="",0,IFERROR(N(VLOOKUP(SUBSTITUTE(SUBSTITUTE(SUBSTITUTE(IFERROR(INDEX('DADOS_FORMAS'!$AS$2:$AS$21,MATCH(SUBSTITUTE(SUBSTITUTE(SUBSTITUTE($MU6,"~","~~"),"*","~*"),"?","~?"),'DADOS_FORMAS'!$AH$2:$AH$21,0)),""),"~","~~"),"*","~*"),"?","~?"),'DADOS_RESTRICOES'!$M$2:$Q$54,3,FALSE)=2),0))</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",TRUE,IF($ND6=0,"",TEXTJOIN(" · ",TRUE,IF($MQ6&gt;$NE6,"Este lugar abre no nível "&amp;$MQ6,""),IF($MS6&gt;$NF6,"Classe "&amp;$MS6&amp;": o nível "&amp;$NE6&amp;" libera até a "&amp;$NF6,""),IF($NX6=1,"A Forma "&amp;$MU6&amp;" pede "&amp;INDEX('DADOS_FORMAS'!$GA$2:$GA$21,$NJ6)&amp;" aberta",""),IF(AND($MS6=0,$NJ6&gt;0,IF($NJ6=0,0,INDEX('DADOS_FORMAS'!$GJ$2:$GJ$21,$NJ6))=0),$MU6&amp;"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Corpo")&gt;0,$OF6=0,OR($RO6="Cone",$RO6="Linha")),"Corpo a Corpo não entra em "&amp;$MU6,""),IF(AND(COUNTIF($OK6:$OL6,"Corpo a Corpo")&gt;0,$RP6="Corpo a Corpo"),"A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"&amp;$NC6,""))),IF(AND($MU6&lt;&gt;"",COUNTIF('DADOS_FORMAS'!$AH$2:$AH$21,SUBSTITUTE(SUBSTITUTE(SUBSTITUTE($MU6,"~","~~"),"*","~*"),"?","~?"))=0),"Forma não cadastrada ou com erro: "&amp;$MU6,""),IF(AND(IFERROR(INDEX('DADOS_FORMAS'!$AS$2:$AS$21,MATCH(SUBSTITUTE(SUBSTITUTE(SUBSTITUTE($MU6,"~","~~"),"*","~*"),"?","~?"),'DADOS_FORMAS'!$AH$2:$AH$21,0)),"")&lt;&gt;"",OR(IFERROR(VLOOKUP(SUBSTITUTE(SUBSTITUTE(SUBSTITUTE(IFERROR(INDEX('DADOS_FORMAS'!$AS$2:$AS$21,MATCH(SUBSTITUTE(SUBSTITUTE(SUBSTITUTE($MU6,"~","~~"),"*","~*"),"?","~?"),'DADOS_FORMAS'!$AH$2:$AH$21,0)),""),"~","~~"),"*","~*"),"?","~?"),'DADOS_RESTRICOES'!$M$2:$Q$54,2,FALSE),"")=$OK6,IFERROR(VLOOKUP(SUBSTITUTE(SUBSTITUTE(SUBSTITUTE(IFERROR(INDEX('DADOS_FORMAS'!$AS$2:$AS$21,MATCH(SUBSTITUTE(SUBSTITUTE(SUBSTITUTE($MU6,"~","~~"),"*","~*"),"?","~?"),'DADOS_FORMAS'!$AH$2:$AH$21,0)),""),"~","~~"),"*","~*"),"?","~?"),'DADOS_RESTRICOES'!$M$2:$Q$54,2,FALSE),"")=$OL6)),"Restrição repetida, contando a embutida",""),IF(IF(IFERROR(INDEX('DADOS_FORMAS'!$AS$2:$AS$21,MATCH(SUBSTITUTE(SUBSTITUTE(SUBSTITUTE($MU6,"~","~~"),"*","~*"),"?","~?"),'DADOS_FORMAS'!$AH$2:$AH$21,0)),"")="",0,IFERROR(N(VLOOKUP(SUBSTITUTE(SUBSTITUTE(SUBSTITUTE(IFERROR(INDEX('DADOS_FORMAS'!$AS$2:$AS$21,MATCH(SUBSTITUTE(SUBSTITUTE(SUBSTITUTE($MU6,"~","~~"),"*","~*"),"?","~?"),'DADOS_FORMAS'!$AH$2:$AH$21,0)),""),"~","~~"),"*","~*"),"?","~?"),'DADOS_RESTRICOES'!$M$2:$Q$54,4,FALSE)=1),0))+IF($NB6="",0,IFERROR(N(VLOOKUP(SUBSTITUTE(SUBSTITUTE(SUBSTITUTE($NB6,"~","~~"),"*","~*"),"?","~?"),'DADOS_RESTRICOES'!$M$2:$Q$54,4,FALSE)=1),0))+IF($NC6="",0,IFERROR(N(VLOOKUP(SUBSTITUTE(SUBSTITUTE(SUBSTITUTE($NC6,"~","~~"),"*","~*"),"?","~?"),'DADOS_RESTRICOES'!$M$2:$Q$54,4,FALSE)=1),0))&gt;1,"Duas Restrições de frequência, contando a embutida",""),IF(AND(IFERROR(VLOOKUP(SUBSTITUTE(SUBSTITUTE(SUBSTITUTE(IFERROR(INDEX('DADOS_FORMAS'!$AS$2:$AS$21,MATCH(SUBSTITUTE(SUBSTITUTE(SUBSTITUTE($MU6,"~","~~"),"*","~*"),"?","~?"),'DADOS_FORMAS'!$AH$2:$AH$21,0)),""),"~","~~"),"*","~*"),"?","~?"),'DADOS_RESTRICOES'!$M$2:$Q$54,2,FALSE),"")="Tudo ou Nada",$OH6=0),"Tudo ou Nada exige TR",""),IF(AND(IFERROR(VLOOKUP(SUBSTITUTE(SUBSTITUTE(SUBSTITUTE(IFERROR(INDEX('DADOS_FORMAS'!$AS$2:$AS$21,MATCH(SUBSTITUTE(SUBSTITUTE(SUBSTITUTE($MU6,"~","~~"),"*","~*"),"?","~?"),'DADOS_FORMAS'!$AH$2:$AH$21,0)),""),"~","~~"),"*","~*"),"?","~?"),'DADOS_RESTRICOES'!$M$2:$Q$54,2,FALSE),"")="Corpo a Corpo",OR($RO6="Cone",$RO6="Linha")),"Corpo a Corpo não entra em Cone/Linha","")))</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dela",IF(COUNTIF($RQ6:$RS6,"Atrasar")&gt;0,"Sua Ação Completa",IF(COUNTIF($RK6:$RN6,"Rápido")&gt;0,"Sua Bônus",IF(COUNTIF($RK6:$RN6,"Reação")&gt;0,"Sua Reação","Sua Padrão")))&amp;" + a básica dela"&amp;IF(COUNTIF($RK6:$RN6,"Reação")&gt;0," e a coletiva","")&amp;IF(COUNTIF($RQ6:$RS6,"Carregar")&gt;0," · em dois turnos","")))</f>
        <v/>
      </c>
      <c r="QC6" s="161">
        <f>IF($MW6&lt;&gt;"",$MW6,IF($NJ6=0,"",INDEX('DADOS_FORMAS'!$GE$2:$GE$21,$NJ6)))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IF($NJ6=0,0,CHOOSE(1+INDEX('DADOS_FORMAS'!$GG$2:$GG$21,$NJ6),0,$QF6,$QG6,$QF6+$QG6))</f>
        <v/>
      </c>
      <c r="QI6" s="161">
        <f>IF($NJ6=0,0,CHOOSE(1+INDEX('DADOS_FORMAS'!$GH$2:$GH$21,$NJ6),0,$QF6,$QG6,$QF6+$QG6))</f>
        <v/>
      </c>
      <c r="QJ6" s="161">
        <f>IF(OR($ND6=0,$NJ6=0),"",INDEX('DADOS_FORMAS'!$HU$2:$HZ$81,($NJ6-1)*4+IF($MS6=0,1,IF($MS6&lt;=5,2,IF($MS6=6,3,4))),1+MIN(5,$QH6))&amp;INDEX('DADOS_FORMAS'!$IA$2:$IF$81,($NJ6-1)*4+IF($MS6=0,1,IF($MS6&lt;=5,2,IF($MS6=6,3,4))),1+MIN(5,$QI6))&amp;IF(INDEX('DADOS_FORMAS'!$GI$2:$GI$21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c r="RO6">
        <f>IFERROR(INDEX('DADOS_FORMAS'!$BJ$2:$BJ$21,MATCH(SUBSTITUTE(SUBSTITUTE(SUBSTITUTE($MU6,"~","~~"),"*","~*"),"?","~?"),'DADOS_FORMAS'!$AH$2:$AH$21,0)),"")</f>
        <v/>
      </c>
      <c r="RP6">
        <f>IFERROR(VLOOKUP(SUBSTITUTE(SUBSTITUTE(SUBSTITUTE(IFERROR(INDEX('DADOS_FORMAS'!$AS$2:$AS$21,MATCH(SUBSTITUTE(SUBSTITUTE(SUBSTITUTE($MU6,"~","~~"),"*","~*"),"?","~?"),'DADOS_FORMAS'!$AH$2:$AH$21,0)),""),"~","~~"),"*","~*"),"?","~?"),'DADOS_RESTRICOES'!$M$2:$Q$54,2,FALSE),"")</f>
        <v/>
      </c>
      <c r="RQ6">
        <f>$OK6</f>
        <v/>
      </c>
      <c r="RR6">
        <f>$OL6</f>
        <v/>
      </c>
      <c r="RS6">
        <f>$RP6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IF(IFERROR(VLOOKUP(SUBSTITUTE(SUBSTITUTE(SUBSTITUTE($DF7,"~","~~"),"*","~*"),"?","~?"),'DADOS_ENTIDADES'!$M$2:$P$16,2,FALSE),0)=1,1,0)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IF(AND(IFERROR(VLOOKUP(SUBSTITUTE(SUBSTITUTE(SUBSTITUTE($DF7,"~","~~"),"*","~*"),"?","~?"),'DADOS_ENTIDADES'!$M$2:$P$16,3,FALSE),0)=1,$DI7="Com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IF(IFERROR(VLOOKUP(SUBSTITUTE(SUBSTITUTE(SUBSTITUTE($DF7,"~","~~"),"*","~*"),"?","~?"),'DADOS_ENTIDADES'!$M$2:$P$16,4,FALSE),0)=1,"RESERVA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IFERROR(VLOOKUP(SUBSTITUTE(SUBSTITUTE(SUBSTITUTE($EX7,"~","~~"),"*","~*"),"?","~?"),'DADOS_ENTIDADES'!$AI$2:$AL$35,2,FALSE),0)</f>
        <v/>
      </c>
      <c r="IH7" s="161">
        <f>IFERROR(VLOOKUP(SUBSTITUTE(SUBSTITUTE(SUBSTITUTE($EY7,"~","~~"),"*","~*"),"?","~?"),'DADOS_ENTIDADES'!$AI$2:$AL$35,2,FALSE),0)</f>
        <v/>
      </c>
      <c r="II7" s="161">
        <f>IFERROR(VLOOKUP(SUBSTITUTE(SUBSTITUTE(SUBSTITUTE($EZ7,"~","~~"),"*","~*"),"?","~?"),'DADOS_ENTIDADES'!$AI$2:$AL$35,2,FALSE),0)</f>
        <v/>
      </c>
      <c r="IJ7" s="161">
        <f>IFERROR(VLOOKUP(SUBSTITUTE(SUBSTITUTE(SUBSTITUTE($FA7,"~","~~"),"*","~*"),"?","~?"),'DADOS_ENTIDADES'!$AI$2:$AL$35,2,FALSE),0)</f>
        <v/>
      </c>
      <c r="IK7" s="161">
        <f>IFERROR(VLOOKUP(SUBSTITUTE(SUBSTITUTE(SUBSTITUTE($FB7,"~","~~"),"*","~*"),"?","~?"),'DADOS_ENTIDADES'!$AI$2:$AL$35,2,FALSE),0)</f>
        <v/>
      </c>
      <c r="IL7" s="161">
        <f>IFERROR(VLOOKUP(SUBSTITUTE(SUBSTITUTE(SUBSTITUTE($FC7,"~","~~"),"*","~*"),"?","~?"),'DADOS_ENTIDADES'!$AI$2:$AL$35,2,FALSE),0)</f>
        <v/>
      </c>
      <c r="IM7" s="161">
        <f>IFERROR(VLOOKUP(SUBSTITUTE(SUBSTITUTE(SUBSTITUTE($FD7,"~","~~"),"*","~*"),"?","~?"),'DADOS_ENTIDADES'!$AI$2:$AL$35,2,FALSE),0)</f>
        <v/>
      </c>
      <c r="IN7" s="161">
        <f>IFERROR(VLOOKUP(SUBSTITUTE(SUBSTITUTE(SUBSTITUTE($FE7,"~","~~"),"*","~*"),"?","~?"),'DADOS_ENTIDADES'!$AI$2:$AL$35,2,FALSE),0)</f>
        <v/>
      </c>
      <c r="IO7" s="161">
        <f>IF($EX7="","",IF(1&gt;$FO7,"⚠ Este talento abre no nível 1",IF($IG7&gt;1,"⚠ Categoria "&amp;$IG7&amp;": este ganho vai até a 1 · ","")&amp;IFERROR(VLOOKUP(SUBSTITUTE(SUBSTITUTE(SUBSTITUTE($EX7,"~","~~"),"*","~*"),"?","~?"),'DADOS_ENTIDADES'!$AI$2:$AL$35,3,FALSE),"")))</f>
        <v/>
      </c>
      <c r="IP7" s="161">
        <f>IF($EY7="","",IF(6&gt;$FO7,"⚠ Este talento abre no nível 6",IF($IH7&gt;1,"⚠ Categoria "&amp;$IH7&amp;": este ganho vai até a 1 · ","")&amp;IFERROR(VLOOKUP(SUBSTITUTE(SUBSTITUTE(SUBSTITUTE($EY7,"~","~~"),"*","~*"),"?","~?"),'DADOS_ENTIDADES'!$AI$2:$AL$35,3,FALSE),"")))</f>
        <v/>
      </c>
      <c r="IQ7" s="161">
        <f>IF($EZ7="","",IF(10&gt;$FO7,"⚠ Este talento abre no nível 10",IF($II7&gt;2,"⚠ Categoria "&amp;$II7&amp;": este ganho vai até a 2 · ","")&amp;IFERROR(VLOOKUP(SUBSTITUTE(SUBSTITUTE(SUBSTITUTE($EZ7,"~","~~"),"*","~*"),"?","~?"),'DADOS_ENTIDADES'!$AI$2:$AL$35,3,FALSE),"")))</f>
        <v/>
      </c>
      <c r="IR7" s="161">
        <f>IF($FA7="","",IF(14&gt;$FO7,"⚠ Este talento abre no nível 14",IF($IJ7&gt;3,"⚠ Categoria "&amp;$IJ7&amp;": este ganho vai até a 3 · ","")&amp;IFERROR(VLOOKUP(SUBSTITUTE(SUBSTITUTE(SUBSTITUTE($FA7,"~","~~"),"*","~*"),"?","~?"),'DADOS_ENTIDADES'!$AI$2:$AL$35,3,FALSE),"")))</f>
        <v/>
      </c>
      <c r="IS7" s="161">
        <f>IF($FB7="","",IF(18&gt;$FO7,"⚠ Este talento abre no nível 18",IF($IK7&gt;3,"⚠ Categoria "&amp;$IK7&amp;": este ganho vai até a 3 · ","")&amp;IFERROR(VLOOKUP(SUBSTITUTE(SUBSTITUTE(SUBSTITUTE($FB7,"~","~~"),"*","~*"),"?","~?"),'DADOS_ENTIDADES'!$AI$2:$AL$35,3,FALSE),"")))</f>
        <v/>
      </c>
      <c r="IT7" s="161">
        <f>IF($FC7="","",IF(22&gt;$FO7,"⚠ Este talento abre no nível 22",IF($IL7&gt;3,"⚠ Categoria "&amp;$IL7&amp;": este ganho vai até a 3 · ","")&amp;IFERROR(VLOOKUP(SUBSTITUTE(SUBSTITUTE(SUBSTITUTE($FC7,"~","~~"),"*","~*"),"?","~?"),'DADOS_ENTIDADES'!$AI$2:$AL$35,3,FALSE),"")))</f>
        <v/>
      </c>
      <c r="IU7" s="161">
        <f>IF($FD7="","",IF(26&gt;$FO7,"⚠ Este talento abre no nível 26",IF($IM7&gt;3,"⚠ Categoria "&amp;$IM7&amp;": este ganho vai até a 3 · ","")&amp;IFERROR(VLOOKUP(SUBSTITUTE(SUBSTITUTE(SUBSTITUTE($FD7,"~","~~"),"*","~*"),"?","~?"),'DADOS_ENTIDADES'!$AI$2:$AL$35,3,FALSE),"")))</f>
        <v/>
      </c>
      <c r="IV7" s="161">
        <f>IF($FE7="","",IF(30&gt;$FO7,"⚠ Este talento abre no nível 30",IF($IN7&gt;3,"⚠ Categoria "&amp;$IN7&amp;": este ganho vai até a 3 · ","")&amp;IFERROR(VLOOKUP(SUBSTITUTE(SUBSTITUTE(SUBSTITUTE($FE7,"~","~~"),"*","~*"),"?","~?"),'DADOS_ENTIDADES'!$AI$2:$AL$35,3,FALSE),"")))</f>
        <v/>
      </c>
      <c r="IW7" s="161">
        <f>IF($FF7="","",IFERROR(VLOOKUP(SUBSTITUTE(SUBSTITUTE(SUBSTITUTE($FF7,"~","~~"),"*","~*"),"?","~?"),'DADOS_ENTIDADES'!$AI$2:$AL$35,3,FALSE),""))</f>
        <v/>
      </c>
      <c r="IX7" s="161">
        <f>IF($FG7="","",IFERROR(VLOOKUP(SUBSTITUTE(SUBSTITUTE(SUBSTITUTE($FG7,"~","~~"),"*","~*"),"?","~?"),'DADOS_ENTIDADES'!$AI$2:$AL$35,3,FALSE),""))</f>
        <v/>
      </c>
      <c r="IY7" s="161">
        <f>IF($FH7="","",IFERROR(VLOOKUP(SUBSTITUTE(SUBSTITUTE(SUBSTITUTE($FH7,"~","~~"),"*","~*"),"?","~?"),'DADOS_ENTIDADES'!$AI$2:$AL$35,3,FALSE),""))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IFERROR(MATCH(SUBSTITUTE(SUBSTITUTE(SUBSTITUTE($MU7,"~","~~"),"*","~*"),"?","~?"),'DADOS_FORMAS'!$FZ$2:$FZ$21,0),0)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IF($MS7=0,0,IF($NJ7=0,0,INDEX('DADOS_FORMAS'!$GB$2:$GB$21,$NJ7)))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IF($NJ7=0,0,IF(INDEX('DADOS_FORMAS'!$GA$2:$GA$21,$NJ7)="",0,IF((COUNTIF(INDEX($EL$2:$EP$13,$MO7,0),INDEX('DADOS_FORMAS'!$GA$2:$GA$21,$NJ7))+COUNTIF(INDEX($QV$2:$QY$13,$MO7,0),INDEX('DADOS_FORMAS'!$GA$2:$GA$21,$NJ7)))=0,1,0)))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IFERROR(N(AND(INDEX('DADOS_FORMAS'!$AO$2:$AO$21,MATCH(SUBSTITUTE(SUBSTITUTE(SUBSTITUTE($MU7,"~","~~"),"*","~*"),"?","~?"),'DADOS_FORMAS'!$AH$2:$AH$21,0))="Acerto",$OH7=1)),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IF($NJ7=0,0,INDEX('DADOS_FORMAS'!$GC$2:$GC$21,$NJ7))</f>
        <v/>
      </c>
      <c r="OG7" s="161">
        <f>IF($NJ7=0,0,INDEX('DADOS_FORMAS'!$GD$2:$GD$21,$NJ7))</f>
        <v/>
      </c>
      <c r="OH7" s="161">
        <f>IF($NJ7=0,0,INDEX('DADOS_FORMAS'!$GF$2:$GF$21,$NJ7))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IF(IFERROR(INDEX('DADOS_FORMAS'!$AS$2:$AS$21,MATCH(SUBSTITUTE(SUBSTITUTE(SUBSTITUTE($MU7,"~","~~"),"*","~*"),"?","~?"),'DADOS_FORMAS'!$AH$2:$AH$21,0)),"")="",0,IFERROR(N(VLOOKUP(SUBSTITUTE(SUBSTITUTE(SUBSTITUTE(IFERROR(INDEX('DADOS_FORMAS'!$AS$2:$AS$21,MATCH(SUBSTITUTE(SUBSTITUTE(SUBSTITUTE($MU7,"~","~~"),"*","~*"),"?","~?"),'DADOS_FORMAS'!$AH$2:$AH$21,0)),""),"~","~~"),"*","~*"),"?","~?"),'DADOS_RESTRICOES'!$M$2:$Q$54,3,FALSE)=1),0))</f>
        <v/>
      </c>
      <c r="OT7" s="161">
        <f>COUNTIF($OI7:$OJ7,2)+IF(IFERROR(INDEX('DADOS_FORMAS'!$AS$2:$AS$21,MATCH(SUBSTITUTE(SUBSTITUTE(SUBSTITUTE($MU7,"~","~~"),"*","~*"),"?","~?"),'DADOS_FORMAS'!$AH$2:$AH$21,0)),"")="",0,IFERROR(N(VLOOKUP(SUBSTITUTE(SUBSTITUTE(SUBSTITUTE(IFERROR(INDEX('DADOS_FORMAS'!$AS$2:$AS$21,MATCH(SUBSTITUTE(SUBSTITUTE(SUBSTITUTE($MU7,"~","~~"),"*","~*"),"?","~?"),'DADOS_FORMAS'!$AH$2:$AH$21,0)),""),"~","~~"),"*","~*"),"?","~?"),'DADOS_RESTRICOES'!$M$2:$Q$54,3,FALSE)=2),0))</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",TRUE,IF($ND7=0,"",TEXTJOIN(" · ",TRUE,IF($MQ7&gt;$NE7,"Este lugar abre no nível "&amp;$MQ7,""),IF($MS7&gt;$NF7,"Classe "&amp;$MS7&amp;": o nível "&amp;$NE7&amp;" libera até a "&amp;$NF7,""),IF($NX7=1,"A Forma "&amp;$MU7&amp;" pede "&amp;INDEX('DADOS_FORMAS'!$GA$2:$GA$21,$NJ7)&amp;" aberta",""),IF(AND($MS7=0,$NJ7&gt;0,IF($NJ7=0,0,INDEX('DADOS_FORMAS'!$GJ$2:$GJ$21,$NJ7))=0),$MU7&amp;"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Corpo")&gt;0,$OF7=0,OR($RO7="Cone",$RO7="Linha")),"Corpo a Corpo não entra em "&amp;$MU7,""),IF(AND(COUNTIF($OK7:$OL7,"Corpo a Corpo")&gt;0,$RP7="Corpo a Corpo"),"A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"&amp;$NC7,""))),IF(AND($MU7&lt;&gt;"",COUNTIF('DADOS_FORMAS'!$AH$2:$AH$21,SUBSTITUTE(SUBSTITUTE(SUBSTITUTE($MU7,"~","~~"),"*","~*"),"?","~?"))=0),"Forma não cadastrada ou com erro: "&amp;$MU7,""),IF(AND(IFERROR(INDEX('DADOS_FORMAS'!$AS$2:$AS$21,MATCH(SUBSTITUTE(SUBSTITUTE(SUBSTITUTE($MU7,"~","~~"),"*","~*"),"?","~?"),'DADOS_FORMAS'!$AH$2:$AH$21,0)),"")&lt;&gt;"",OR(IFERROR(VLOOKUP(SUBSTITUTE(SUBSTITUTE(SUBSTITUTE(IFERROR(INDEX('DADOS_FORMAS'!$AS$2:$AS$21,MATCH(SUBSTITUTE(SUBSTITUTE(SUBSTITUTE($MU7,"~","~~"),"*","~*"),"?","~?"),'DADOS_FORMAS'!$AH$2:$AH$21,0)),""),"~","~~"),"*","~*"),"?","~?"),'DADOS_RESTRICOES'!$M$2:$Q$54,2,FALSE),"")=$OK7,IFERROR(VLOOKUP(SUBSTITUTE(SUBSTITUTE(SUBSTITUTE(IFERROR(INDEX('DADOS_FORMAS'!$AS$2:$AS$21,MATCH(SUBSTITUTE(SUBSTITUTE(SUBSTITUTE($MU7,"~","~~"),"*","~*"),"?","~?"),'DADOS_FORMAS'!$AH$2:$AH$21,0)),""),"~","~~"),"*","~*"),"?","~?"),'DADOS_RESTRICOES'!$M$2:$Q$54,2,FALSE),"")=$OL7)),"Restrição repetida, contando a embutida",""),IF(IF(IFERROR(INDEX('DADOS_FORMAS'!$AS$2:$AS$21,MATCH(SUBSTITUTE(SUBSTITUTE(SUBSTITUTE($MU7,"~","~~"),"*","~*"),"?","~?"),'DADOS_FORMAS'!$AH$2:$AH$21,0)),"")="",0,IFERROR(N(VLOOKUP(SUBSTITUTE(SUBSTITUTE(SUBSTITUTE(IFERROR(INDEX('DADOS_FORMAS'!$AS$2:$AS$21,MATCH(SUBSTITUTE(SUBSTITUTE(SUBSTITUTE($MU7,"~","~~"),"*","~*"),"?","~?"),'DADOS_FORMAS'!$AH$2:$AH$21,0)),""),"~","~~"),"*","~*"),"?","~?"),'DADOS_RESTRICOES'!$M$2:$Q$54,4,FALSE)=1),0))+IF($NB7="",0,IFERROR(N(VLOOKUP(SUBSTITUTE(SUBSTITUTE(SUBSTITUTE($NB7,"~","~~"),"*","~*"),"?","~?"),'DADOS_RESTRICOES'!$M$2:$Q$54,4,FALSE)=1),0))+IF($NC7="",0,IFERROR(N(VLOOKUP(SUBSTITUTE(SUBSTITUTE(SUBSTITUTE($NC7,"~","~~"),"*","~*"),"?","~?"),'DADOS_RESTRICOES'!$M$2:$Q$54,4,FALSE)=1),0))&gt;1,"Duas Restrições de frequência, contando a embutida",""),IF(AND(IFERROR(VLOOKUP(SUBSTITUTE(SUBSTITUTE(SUBSTITUTE(IFERROR(INDEX('DADOS_FORMAS'!$AS$2:$AS$21,MATCH(SUBSTITUTE(SUBSTITUTE(SUBSTITUTE($MU7,"~","~~"),"*","~*"),"?","~?"),'DADOS_FORMAS'!$AH$2:$AH$21,0)),""),"~","~~"),"*","~*"),"?","~?"),'DADOS_RESTRICOES'!$M$2:$Q$54,2,FALSE),"")="Tudo ou Nada",$OH7=0),"Tudo ou Nada exige TR",""),IF(AND(IFERROR(VLOOKUP(SUBSTITUTE(SUBSTITUTE(SUBSTITUTE(IFERROR(INDEX('DADOS_FORMAS'!$AS$2:$AS$21,MATCH(SUBSTITUTE(SUBSTITUTE(SUBSTITUTE($MU7,"~","~~"),"*","~*"),"?","~?"),'DADOS_FORMAS'!$AH$2:$AH$21,0)),""),"~","~~"),"*","~*"),"?","~?"),'DADOS_RESTRICOES'!$M$2:$Q$54,2,FALSE),"")="Corpo a Corpo",OR($RO7="Cone",$RO7="Linha")),"Corpo a Corpo não entra em Cone/Linha","")))</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dela",IF(COUNTIF($RQ7:$RS7,"Atrasar")&gt;0,"Sua Ação Completa",IF(COUNTIF($RK7:$RN7,"Rápido")&gt;0,"Sua Bônus",IF(COUNTIF($RK7:$RN7,"Reação")&gt;0,"Sua Reação","Sua Padrão")))&amp;" + a básica dela"&amp;IF(COUNTIF($RK7:$RN7,"Reação")&gt;0," e a coletiva","")&amp;IF(COUNTIF($RQ7:$RS7,"Carregar")&gt;0," · em dois turnos","")))</f>
        <v/>
      </c>
      <c r="QC7" s="161">
        <f>IF($MW7&lt;&gt;"",$MW7,IF($NJ7=0,"",INDEX('DADOS_FORMAS'!$GE$2:$GE$21,$NJ7)))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IF($NJ7=0,0,CHOOSE(1+INDEX('DADOS_FORMAS'!$GG$2:$GG$21,$NJ7),0,$QF7,$QG7,$QF7+$QG7))</f>
        <v/>
      </c>
      <c r="QI7" s="161">
        <f>IF($NJ7=0,0,CHOOSE(1+INDEX('DADOS_FORMAS'!$GH$2:$GH$21,$NJ7),0,$QF7,$QG7,$QF7+$QG7))</f>
        <v/>
      </c>
      <c r="QJ7" s="161">
        <f>IF(OR($ND7=0,$NJ7=0),"",INDEX('DADOS_FORMAS'!$HU$2:$HZ$81,($NJ7-1)*4+IF($MS7=0,1,IF($MS7&lt;=5,2,IF($MS7=6,3,4))),1+MIN(5,$QH7))&amp;INDEX('DADOS_FORMAS'!$IA$2:$IF$81,($NJ7-1)*4+IF($MS7=0,1,IF($MS7&lt;=5,2,IF($MS7=6,3,4))),1+MIN(5,$QI7))&amp;IF(INDEX('DADOS_FORMAS'!$GI$2:$GI$21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c r="RO7">
        <f>IFERROR(INDEX('DADOS_FORMAS'!$BJ$2:$BJ$21,MATCH(SUBSTITUTE(SUBSTITUTE(SUBSTITUTE($MU7,"~","~~"),"*","~*"),"?","~?"),'DADOS_FORMAS'!$AH$2:$AH$21,0)),"")</f>
        <v/>
      </c>
      <c r="RP7">
        <f>IFERROR(VLOOKUP(SUBSTITUTE(SUBSTITUTE(SUBSTITUTE(IFERROR(INDEX('DADOS_FORMAS'!$AS$2:$AS$21,MATCH(SUBSTITUTE(SUBSTITUTE(SUBSTITUTE($MU7,"~","~~"),"*","~*"),"?","~?"),'DADOS_FORMAS'!$AH$2:$AH$21,0)),""),"~","~~"),"*","~*"),"?","~?"),'DADOS_RESTRICOES'!$M$2:$Q$54,2,FALSE),"")</f>
        <v/>
      </c>
      <c r="RQ7">
        <f>$OK7</f>
        <v/>
      </c>
      <c r="RR7">
        <f>$OL7</f>
        <v/>
      </c>
      <c r="RS7">
        <f>$RP7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IF(IFERROR(VLOOKUP(SUBSTITUTE(SUBSTITUTE(SUBSTITUTE($DF8,"~","~~"),"*","~*"),"?","~?"),'DADOS_ENTIDADES'!$M$2:$P$16,2,FALSE),0)=1,1,0)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IF(AND(IFERROR(VLOOKUP(SUBSTITUTE(SUBSTITUTE(SUBSTITUTE($DF8,"~","~~"),"*","~*"),"?","~?"),'DADOS_ENTIDADES'!$M$2:$P$16,3,FALSE),0)=1,$DI8="Com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IF(IFERROR(VLOOKUP(SUBSTITUTE(SUBSTITUTE(SUBSTITUTE($DF8,"~","~~"),"*","~*"),"?","~?"),'DADOS_ENTIDADES'!$M$2:$P$16,4,FALSE),0)=1,"RESERVA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IFERROR(VLOOKUP(SUBSTITUTE(SUBSTITUTE(SUBSTITUTE($EX8,"~","~~"),"*","~*"),"?","~?"),'DADOS_ENTIDADES'!$AI$2:$AL$35,2,FALSE),0)</f>
        <v/>
      </c>
      <c r="IH8" s="161">
        <f>IFERROR(VLOOKUP(SUBSTITUTE(SUBSTITUTE(SUBSTITUTE($EY8,"~","~~"),"*","~*"),"?","~?"),'DADOS_ENTIDADES'!$AI$2:$AL$35,2,FALSE),0)</f>
        <v/>
      </c>
      <c r="II8" s="161">
        <f>IFERROR(VLOOKUP(SUBSTITUTE(SUBSTITUTE(SUBSTITUTE($EZ8,"~","~~"),"*","~*"),"?","~?"),'DADOS_ENTIDADES'!$AI$2:$AL$35,2,FALSE),0)</f>
        <v/>
      </c>
      <c r="IJ8" s="161">
        <f>IFERROR(VLOOKUP(SUBSTITUTE(SUBSTITUTE(SUBSTITUTE($FA8,"~","~~"),"*","~*"),"?","~?"),'DADOS_ENTIDADES'!$AI$2:$AL$35,2,FALSE),0)</f>
        <v/>
      </c>
      <c r="IK8" s="161">
        <f>IFERROR(VLOOKUP(SUBSTITUTE(SUBSTITUTE(SUBSTITUTE($FB8,"~","~~"),"*","~*"),"?","~?"),'DADOS_ENTIDADES'!$AI$2:$AL$35,2,FALSE),0)</f>
        <v/>
      </c>
      <c r="IL8" s="161">
        <f>IFERROR(VLOOKUP(SUBSTITUTE(SUBSTITUTE(SUBSTITUTE($FC8,"~","~~"),"*","~*"),"?","~?"),'DADOS_ENTIDADES'!$AI$2:$AL$35,2,FALSE),0)</f>
        <v/>
      </c>
      <c r="IM8" s="161">
        <f>IFERROR(VLOOKUP(SUBSTITUTE(SUBSTITUTE(SUBSTITUTE($FD8,"~","~~"),"*","~*"),"?","~?"),'DADOS_ENTIDADES'!$AI$2:$AL$35,2,FALSE),0)</f>
        <v/>
      </c>
      <c r="IN8" s="161">
        <f>IFERROR(VLOOKUP(SUBSTITUTE(SUBSTITUTE(SUBSTITUTE($FE8,"~","~~"),"*","~*"),"?","~?"),'DADOS_ENTIDADES'!$AI$2:$AL$35,2,FALSE),0)</f>
        <v/>
      </c>
      <c r="IO8" s="161">
        <f>IF($EX8="","",IF(1&gt;$FO8,"⚠ Este talento abre no nível 1",IF($IG8&gt;1,"⚠ Categoria "&amp;$IG8&amp;": este ganho vai até a 1 · ","")&amp;IFERROR(VLOOKUP(SUBSTITUTE(SUBSTITUTE(SUBSTITUTE($EX8,"~","~~"),"*","~*"),"?","~?"),'DADOS_ENTIDADES'!$AI$2:$AL$35,3,FALSE),"")))</f>
        <v/>
      </c>
      <c r="IP8" s="161">
        <f>IF($EY8="","",IF(6&gt;$FO8,"⚠ Este talento abre no nível 6",IF($IH8&gt;1,"⚠ Categoria "&amp;$IH8&amp;": este ganho vai até a 1 · ","")&amp;IFERROR(VLOOKUP(SUBSTITUTE(SUBSTITUTE(SUBSTITUTE($EY8,"~","~~"),"*","~*"),"?","~?"),'DADOS_ENTIDADES'!$AI$2:$AL$35,3,FALSE),"")))</f>
        <v/>
      </c>
      <c r="IQ8" s="161">
        <f>IF($EZ8="","",IF(10&gt;$FO8,"⚠ Este talento abre no nível 10",IF($II8&gt;2,"⚠ Categoria "&amp;$II8&amp;": este ganho vai até a 2 · ","")&amp;IFERROR(VLOOKUP(SUBSTITUTE(SUBSTITUTE(SUBSTITUTE($EZ8,"~","~~"),"*","~*"),"?","~?"),'DADOS_ENTIDADES'!$AI$2:$AL$35,3,FALSE),"")))</f>
        <v/>
      </c>
      <c r="IR8" s="161">
        <f>IF($FA8="","",IF(14&gt;$FO8,"⚠ Este talento abre no nível 14",IF($IJ8&gt;3,"⚠ Categoria "&amp;$IJ8&amp;": este ganho vai até a 3 · ","")&amp;IFERROR(VLOOKUP(SUBSTITUTE(SUBSTITUTE(SUBSTITUTE($FA8,"~","~~"),"*","~*"),"?","~?"),'DADOS_ENTIDADES'!$AI$2:$AL$35,3,FALSE),"")))</f>
        <v/>
      </c>
      <c r="IS8" s="161">
        <f>IF($FB8="","",IF(18&gt;$FO8,"⚠ Este talento abre no nível 18",IF($IK8&gt;3,"⚠ Categoria "&amp;$IK8&amp;": este ganho vai até a 3 · ","")&amp;IFERROR(VLOOKUP(SUBSTITUTE(SUBSTITUTE(SUBSTITUTE($FB8,"~","~~"),"*","~*"),"?","~?"),'DADOS_ENTIDADES'!$AI$2:$AL$35,3,FALSE),"")))</f>
        <v/>
      </c>
      <c r="IT8" s="161">
        <f>IF($FC8="","",IF(22&gt;$FO8,"⚠ Este talento abre no nível 22",IF($IL8&gt;3,"⚠ Categoria "&amp;$IL8&amp;": este ganho vai até a 3 · ","")&amp;IFERROR(VLOOKUP(SUBSTITUTE(SUBSTITUTE(SUBSTITUTE($FC8,"~","~~"),"*","~*"),"?","~?"),'DADOS_ENTIDADES'!$AI$2:$AL$35,3,FALSE),"")))</f>
        <v/>
      </c>
      <c r="IU8" s="161">
        <f>IF($FD8="","",IF(26&gt;$FO8,"⚠ Este talento abre no nível 26",IF($IM8&gt;3,"⚠ Categoria "&amp;$IM8&amp;": este ganho vai até a 3 · ","")&amp;IFERROR(VLOOKUP(SUBSTITUTE(SUBSTITUTE(SUBSTITUTE($FD8,"~","~~"),"*","~*"),"?","~?"),'DADOS_ENTIDADES'!$AI$2:$AL$35,3,FALSE),"")))</f>
        <v/>
      </c>
      <c r="IV8" s="161">
        <f>IF($FE8="","",IF(30&gt;$FO8,"⚠ Este talento abre no nível 30",IF($IN8&gt;3,"⚠ Categoria "&amp;$IN8&amp;": este ganho vai até a 3 · ","")&amp;IFERROR(VLOOKUP(SUBSTITUTE(SUBSTITUTE(SUBSTITUTE($FE8,"~","~~"),"*","~*"),"?","~?"),'DADOS_ENTIDADES'!$AI$2:$AL$35,3,FALSE),"")))</f>
        <v/>
      </c>
      <c r="IW8" s="161">
        <f>IF($FF8="","",IFERROR(VLOOKUP(SUBSTITUTE(SUBSTITUTE(SUBSTITUTE($FF8,"~","~~"),"*","~*"),"?","~?"),'DADOS_ENTIDADES'!$AI$2:$AL$35,3,FALSE),""))</f>
        <v/>
      </c>
      <c r="IX8" s="161">
        <f>IF($FG8="","",IFERROR(VLOOKUP(SUBSTITUTE(SUBSTITUTE(SUBSTITUTE($FG8,"~","~~"),"*","~*"),"?","~?"),'DADOS_ENTIDADES'!$AI$2:$AL$35,3,FALSE),""))</f>
        <v/>
      </c>
      <c r="IY8" s="161">
        <f>IF($FH8="","",IFERROR(VLOOKUP(SUBSTITUTE(SUBSTITUTE(SUBSTITUTE($FH8,"~","~~"),"*","~*"),"?","~?"),'DADOS_ENTIDADES'!$AI$2:$AL$35,3,FALSE),""))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IFERROR(MATCH(SUBSTITUTE(SUBSTITUTE(SUBSTITUTE($MU8,"~","~~"),"*","~*"),"?","~?"),'DADOS_FORMAS'!$FZ$2:$FZ$21,0),0)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IF($MS8=0,0,IF($NJ8=0,0,INDEX('DADOS_FORMAS'!$GB$2:$GB$21,$NJ8)))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IF($NJ8=0,0,IF(INDEX('DADOS_FORMAS'!$GA$2:$GA$21,$NJ8)="",0,IF((COUNTIF(INDEX($EL$2:$EP$13,$MO8,0),INDEX('DADOS_FORMAS'!$GA$2:$GA$21,$NJ8))+COUNTIF(INDEX($QV$2:$QY$13,$MO8,0),INDEX('DADOS_FORMAS'!$GA$2:$GA$21,$NJ8)))=0,1,0)))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IFERROR(N(AND(INDEX('DADOS_FORMAS'!$AO$2:$AO$21,MATCH(SUBSTITUTE(SUBSTITUTE(SUBSTITUTE($MU8,"~","~~"),"*","~*"),"?","~?"),'DADOS_FORMAS'!$AH$2:$AH$21,0))="Acerto",$OH8=1)),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IF($NJ8=0,0,INDEX('DADOS_FORMAS'!$GC$2:$GC$21,$NJ8))</f>
        <v/>
      </c>
      <c r="OG8" s="161">
        <f>IF($NJ8=0,0,INDEX('DADOS_FORMAS'!$GD$2:$GD$21,$NJ8))</f>
        <v/>
      </c>
      <c r="OH8" s="161">
        <f>IF($NJ8=0,0,INDEX('DADOS_FORMAS'!$GF$2:$GF$21,$NJ8))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IF(IFERROR(INDEX('DADOS_FORMAS'!$AS$2:$AS$21,MATCH(SUBSTITUTE(SUBSTITUTE(SUBSTITUTE($MU8,"~","~~"),"*","~*"),"?","~?"),'DADOS_FORMAS'!$AH$2:$AH$21,0)),"")="",0,IFERROR(N(VLOOKUP(SUBSTITUTE(SUBSTITUTE(SUBSTITUTE(IFERROR(INDEX('DADOS_FORMAS'!$AS$2:$AS$21,MATCH(SUBSTITUTE(SUBSTITUTE(SUBSTITUTE($MU8,"~","~~"),"*","~*"),"?","~?"),'DADOS_FORMAS'!$AH$2:$AH$21,0)),""),"~","~~"),"*","~*"),"?","~?"),'DADOS_RESTRICOES'!$M$2:$Q$54,3,FALSE)=1),0))</f>
        <v/>
      </c>
      <c r="OT8" s="161">
        <f>COUNTIF($OI8:$OJ8,2)+IF(IFERROR(INDEX('DADOS_FORMAS'!$AS$2:$AS$21,MATCH(SUBSTITUTE(SUBSTITUTE(SUBSTITUTE($MU8,"~","~~"),"*","~*"),"?","~?"),'DADOS_FORMAS'!$AH$2:$AH$21,0)),"")="",0,IFERROR(N(VLOOKUP(SUBSTITUTE(SUBSTITUTE(SUBSTITUTE(IFERROR(INDEX('DADOS_FORMAS'!$AS$2:$AS$21,MATCH(SUBSTITUTE(SUBSTITUTE(SUBSTITUTE($MU8,"~","~~"),"*","~*"),"?","~?"),'DADOS_FORMAS'!$AH$2:$AH$21,0)),""),"~","~~"),"*","~*"),"?","~?"),'DADOS_RESTRICOES'!$M$2:$Q$54,3,FALSE)=2),0))</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",TRUE,IF($ND8=0,"",TEXTJOIN(" · ",TRUE,IF($MQ8&gt;$NE8,"Este lugar abre no nível "&amp;$MQ8,""),IF($MS8&gt;$NF8,"Classe "&amp;$MS8&amp;": o nível "&amp;$NE8&amp;" libera até a "&amp;$NF8,""),IF($NX8=1,"A Forma "&amp;$MU8&amp;" pede "&amp;INDEX('DADOS_FORMAS'!$GA$2:$GA$21,$NJ8)&amp;" aberta",""),IF(AND($MS8=0,$NJ8&gt;0,IF($NJ8=0,0,INDEX('DADOS_FORMAS'!$GJ$2:$GJ$21,$NJ8))=0),$MU8&amp;"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Corpo")&gt;0,$OF8=0,OR($RO8="Cone",$RO8="Linha")),"Corpo a Corpo não entra em "&amp;$MU8,""),IF(AND(COUNTIF($OK8:$OL8,"Corpo a Corpo")&gt;0,$RP8="Corpo a Corpo"),"A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"&amp;$NC8,""))),IF(AND($MU8&lt;&gt;"",COUNTIF('DADOS_FORMAS'!$AH$2:$AH$21,SUBSTITUTE(SUBSTITUTE(SUBSTITUTE($MU8,"~","~~"),"*","~*"),"?","~?"))=0),"Forma não cadastrada ou com erro: "&amp;$MU8,""),IF(AND(IFERROR(INDEX('DADOS_FORMAS'!$AS$2:$AS$21,MATCH(SUBSTITUTE(SUBSTITUTE(SUBSTITUTE($MU8,"~","~~"),"*","~*"),"?","~?"),'DADOS_FORMAS'!$AH$2:$AH$21,0)),"")&lt;&gt;"",OR(IFERROR(VLOOKUP(SUBSTITUTE(SUBSTITUTE(SUBSTITUTE(IFERROR(INDEX('DADOS_FORMAS'!$AS$2:$AS$21,MATCH(SUBSTITUTE(SUBSTITUTE(SUBSTITUTE($MU8,"~","~~"),"*","~*"),"?","~?"),'DADOS_FORMAS'!$AH$2:$AH$21,0)),""),"~","~~"),"*","~*"),"?","~?"),'DADOS_RESTRICOES'!$M$2:$Q$54,2,FALSE),"")=$OK8,IFERROR(VLOOKUP(SUBSTITUTE(SUBSTITUTE(SUBSTITUTE(IFERROR(INDEX('DADOS_FORMAS'!$AS$2:$AS$21,MATCH(SUBSTITUTE(SUBSTITUTE(SUBSTITUTE($MU8,"~","~~"),"*","~*"),"?","~?"),'DADOS_FORMAS'!$AH$2:$AH$21,0)),""),"~","~~"),"*","~*"),"?","~?"),'DADOS_RESTRICOES'!$M$2:$Q$54,2,FALSE),"")=$OL8)),"Restrição repetida, contando a embutida",""),IF(IF(IFERROR(INDEX('DADOS_FORMAS'!$AS$2:$AS$21,MATCH(SUBSTITUTE(SUBSTITUTE(SUBSTITUTE($MU8,"~","~~"),"*","~*"),"?","~?"),'DADOS_FORMAS'!$AH$2:$AH$21,0)),"")="",0,IFERROR(N(VLOOKUP(SUBSTITUTE(SUBSTITUTE(SUBSTITUTE(IFERROR(INDEX('DADOS_FORMAS'!$AS$2:$AS$21,MATCH(SUBSTITUTE(SUBSTITUTE(SUBSTITUTE($MU8,"~","~~"),"*","~*"),"?","~?"),'DADOS_FORMAS'!$AH$2:$AH$21,0)),""),"~","~~"),"*","~*"),"?","~?"),'DADOS_RESTRICOES'!$M$2:$Q$54,4,FALSE)=1),0))+IF($NB8="",0,IFERROR(N(VLOOKUP(SUBSTITUTE(SUBSTITUTE(SUBSTITUTE($NB8,"~","~~"),"*","~*"),"?","~?"),'DADOS_RESTRICOES'!$M$2:$Q$54,4,FALSE)=1),0))+IF($NC8="",0,IFERROR(N(VLOOKUP(SUBSTITUTE(SUBSTITUTE(SUBSTITUTE($NC8,"~","~~"),"*","~*"),"?","~?"),'DADOS_RESTRICOES'!$M$2:$Q$54,4,FALSE)=1),0))&gt;1,"Duas Restrições de frequência, contando a embutida",""),IF(AND(IFERROR(VLOOKUP(SUBSTITUTE(SUBSTITUTE(SUBSTITUTE(IFERROR(INDEX('DADOS_FORMAS'!$AS$2:$AS$21,MATCH(SUBSTITUTE(SUBSTITUTE(SUBSTITUTE($MU8,"~","~~"),"*","~*"),"?","~?"),'DADOS_FORMAS'!$AH$2:$AH$21,0)),""),"~","~~"),"*","~*"),"?","~?"),'DADOS_RESTRICOES'!$M$2:$Q$54,2,FALSE),"")="Tudo ou Nada",$OH8=0),"Tudo ou Nada exige TR",""),IF(AND(IFERROR(VLOOKUP(SUBSTITUTE(SUBSTITUTE(SUBSTITUTE(IFERROR(INDEX('DADOS_FORMAS'!$AS$2:$AS$21,MATCH(SUBSTITUTE(SUBSTITUTE(SUBSTITUTE($MU8,"~","~~"),"*","~*"),"?","~?"),'DADOS_FORMAS'!$AH$2:$AH$21,0)),""),"~","~~"),"*","~*"),"?","~?"),'DADOS_RESTRICOES'!$M$2:$Q$54,2,FALSE),"")="Corpo a Corpo",OR($RO8="Cone",$RO8="Linha")),"Corpo a Corpo não entra em Cone/Linha","")))</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dela",IF(COUNTIF($RQ8:$RS8,"Atrasar")&gt;0,"Sua Ação Completa",IF(COUNTIF($RK8:$RN8,"Rápido")&gt;0,"Sua Bônus",IF(COUNTIF($RK8:$RN8,"Reação")&gt;0,"Sua Reação","Sua Padrão")))&amp;" + a básica dela"&amp;IF(COUNTIF($RK8:$RN8,"Reação")&gt;0," e a coletiva","")&amp;IF(COUNTIF($RQ8:$RS8,"Carregar")&gt;0," · em dois turnos","")))</f>
        <v/>
      </c>
      <c r="QC8" s="161">
        <f>IF($MW8&lt;&gt;"",$MW8,IF($NJ8=0,"",INDEX('DADOS_FORMAS'!$GE$2:$GE$21,$NJ8)))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IF($NJ8=0,0,CHOOSE(1+INDEX('DADOS_FORMAS'!$GG$2:$GG$21,$NJ8),0,$QF8,$QG8,$QF8+$QG8))</f>
        <v/>
      </c>
      <c r="QI8" s="161">
        <f>IF($NJ8=0,0,CHOOSE(1+INDEX('DADOS_FORMAS'!$GH$2:$GH$21,$NJ8),0,$QF8,$QG8,$QF8+$QG8))</f>
        <v/>
      </c>
      <c r="QJ8" s="161">
        <f>IF(OR($ND8=0,$NJ8=0),"",INDEX('DADOS_FORMAS'!$HU$2:$HZ$81,($NJ8-1)*4+IF($MS8=0,1,IF($MS8&lt;=5,2,IF($MS8=6,3,4))),1+MIN(5,$QH8))&amp;INDEX('DADOS_FORMAS'!$IA$2:$IF$81,($NJ8-1)*4+IF($MS8=0,1,IF($MS8&lt;=5,2,IF($MS8=6,3,4))),1+MIN(5,$QI8))&amp;IF(INDEX('DADOS_FORMAS'!$GI$2:$GI$21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c r="RO8">
        <f>IFERROR(INDEX('DADOS_FORMAS'!$BJ$2:$BJ$21,MATCH(SUBSTITUTE(SUBSTITUTE(SUBSTITUTE($MU8,"~","~~"),"*","~*"),"?","~?"),'DADOS_FORMAS'!$AH$2:$AH$21,0)),"")</f>
        <v/>
      </c>
      <c r="RP8">
        <f>IFERROR(VLOOKUP(SUBSTITUTE(SUBSTITUTE(SUBSTITUTE(IFERROR(INDEX('DADOS_FORMAS'!$AS$2:$AS$21,MATCH(SUBSTITUTE(SUBSTITUTE(SUBSTITUTE($MU8,"~","~~"),"*","~*"),"?","~?"),'DADOS_FORMAS'!$AH$2:$AH$21,0)),""),"~","~~"),"*","~*"),"?","~?"),'DADOS_RESTRICOES'!$M$2:$Q$54,2,FALSE),"")</f>
        <v/>
      </c>
      <c r="RQ8">
        <f>$OK8</f>
        <v/>
      </c>
      <c r="RR8">
        <f>$OL8</f>
        <v/>
      </c>
      <c r="RS8">
        <f>$RP8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IF(IFERROR(VLOOKUP(SUBSTITUTE(SUBSTITUTE(SUBSTITUTE($DF9,"~","~~"),"*","~*"),"?","~?"),'DADOS_ENTIDADES'!$M$2:$P$16,2,FALSE),0)=1,1,0)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IF(AND(IFERROR(VLOOKUP(SUBSTITUTE(SUBSTITUTE(SUBSTITUTE($DF9,"~","~~"),"*","~*"),"?","~?"),'DADOS_ENTIDADES'!$M$2:$P$16,3,FALSE),0)=1,$DI9="Com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IF(IFERROR(VLOOKUP(SUBSTITUTE(SUBSTITUTE(SUBSTITUTE($DF9,"~","~~"),"*","~*"),"?","~?"),'DADOS_ENTIDADES'!$M$2:$P$16,4,FALSE),0)=1,"RESERVA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IFERROR(VLOOKUP(SUBSTITUTE(SUBSTITUTE(SUBSTITUTE($EX9,"~","~~"),"*","~*"),"?","~?"),'DADOS_ENTIDADES'!$AI$2:$AL$35,2,FALSE),0)</f>
        <v/>
      </c>
      <c r="IH9" s="161">
        <f>IFERROR(VLOOKUP(SUBSTITUTE(SUBSTITUTE(SUBSTITUTE($EY9,"~","~~"),"*","~*"),"?","~?"),'DADOS_ENTIDADES'!$AI$2:$AL$35,2,FALSE),0)</f>
        <v/>
      </c>
      <c r="II9" s="161">
        <f>IFERROR(VLOOKUP(SUBSTITUTE(SUBSTITUTE(SUBSTITUTE($EZ9,"~","~~"),"*","~*"),"?","~?"),'DADOS_ENTIDADES'!$AI$2:$AL$35,2,FALSE),0)</f>
        <v/>
      </c>
      <c r="IJ9" s="161">
        <f>IFERROR(VLOOKUP(SUBSTITUTE(SUBSTITUTE(SUBSTITUTE($FA9,"~","~~"),"*","~*"),"?","~?"),'DADOS_ENTIDADES'!$AI$2:$AL$35,2,FALSE),0)</f>
        <v/>
      </c>
      <c r="IK9" s="161">
        <f>IFERROR(VLOOKUP(SUBSTITUTE(SUBSTITUTE(SUBSTITUTE($FB9,"~","~~"),"*","~*"),"?","~?"),'DADOS_ENTIDADES'!$AI$2:$AL$35,2,FALSE),0)</f>
        <v/>
      </c>
      <c r="IL9" s="161">
        <f>IFERROR(VLOOKUP(SUBSTITUTE(SUBSTITUTE(SUBSTITUTE($FC9,"~","~~"),"*","~*"),"?","~?"),'DADOS_ENTIDADES'!$AI$2:$AL$35,2,FALSE),0)</f>
        <v/>
      </c>
      <c r="IM9" s="161">
        <f>IFERROR(VLOOKUP(SUBSTITUTE(SUBSTITUTE(SUBSTITUTE($FD9,"~","~~"),"*","~*"),"?","~?"),'DADOS_ENTIDADES'!$AI$2:$AL$35,2,FALSE),0)</f>
        <v/>
      </c>
      <c r="IN9" s="161">
        <f>IFERROR(VLOOKUP(SUBSTITUTE(SUBSTITUTE(SUBSTITUTE($FE9,"~","~~"),"*","~*"),"?","~?"),'DADOS_ENTIDADES'!$AI$2:$AL$35,2,FALSE),0)</f>
        <v/>
      </c>
      <c r="IO9" s="161">
        <f>IF($EX9="","",IF(1&gt;$FO9,"⚠ Este talento abre no nível 1",IF($IG9&gt;1,"⚠ Categoria "&amp;$IG9&amp;": este ganho vai até a 1 · ","")&amp;IFERROR(VLOOKUP(SUBSTITUTE(SUBSTITUTE(SUBSTITUTE($EX9,"~","~~"),"*","~*"),"?","~?"),'DADOS_ENTIDADES'!$AI$2:$AL$35,3,FALSE),"")))</f>
        <v/>
      </c>
      <c r="IP9" s="161">
        <f>IF($EY9="","",IF(6&gt;$FO9,"⚠ Este talento abre no nível 6",IF($IH9&gt;1,"⚠ Categoria "&amp;$IH9&amp;": este ganho vai até a 1 · ","")&amp;IFERROR(VLOOKUP(SUBSTITUTE(SUBSTITUTE(SUBSTITUTE($EY9,"~","~~"),"*","~*"),"?","~?"),'DADOS_ENTIDADES'!$AI$2:$AL$35,3,FALSE),"")))</f>
        <v/>
      </c>
      <c r="IQ9" s="161">
        <f>IF($EZ9="","",IF(10&gt;$FO9,"⚠ Este talento abre no nível 10",IF($II9&gt;2,"⚠ Categoria "&amp;$II9&amp;": este ganho vai até a 2 · ","")&amp;IFERROR(VLOOKUP(SUBSTITUTE(SUBSTITUTE(SUBSTITUTE($EZ9,"~","~~"),"*","~*"),"?","~?"),'DADOS_ENTIDADES'!$AI$2:$AL$35,3,FALSE),"")))</f>
        <v/>
      </c>
      <c r="IR9" s="161">
        <f>IF($FA9="","",IF(14&gt;$FO9,"⚠ Este talento abre no nível 14",IF($IJ9&gt;3,"⚠ Categoria "&amp;$IJ9&amp;": este ganho vai até a 3 · ","")&amp;IFERROR(VLOOKUP(SUBSTITUTE(SUBSTITUTE(SUBSTITUTE($FA9,"~","~~"),"*","~*"),"?","~?"),'DADOS_ENTIDADES'!$AI$2:$AL$35,3,FALSE),"")))</f>
        <v/>
      </c>
      <c r="IS9" s="161">
        <f>IF($FB9="","",IF(18&gt;$FO9,"⚠ Este talento abre no nível 18",IF($IK9&gt;3,"⚠ Categoria "&amp;$IK9&amp;": este ganho vai até a 3 · ","")&amp;IFERROR(VLOOKUP(SUBSTITUTE(SUBSTITUTE(SUBSTITUTE($FB9,"~","~~"),"*","~*"),"?","~?"),'DADOS_ENTIDADES'!$AI$2:$AL$35,3,FALSE),"")))</f>
        <v/>
      </c>
      <c r="IT9" s="161">
        <f>IF($FC9="","",IF(22&gt;$FO9,"⚠ Este talento abre no nível 22",IF($IL9&gt;3,"⚠ Categoria "&amp;$IL9&amp;": este ganho vai até a 3 · ","")&amp;IFERROR(VLOOKUP(SUBSTITUTE(SUBSTITUTE(SUBSTITUTE($FC9,"~","~~"),"*","~*"),"?","~?"),'DADOS_ENTIDADES'!$AI$2:$AL$35,3,FALSE),"")))</f>
        <v/>
      </c>
      <c r="IU9" s="161">
        <f>IF($FD9="","",IF(26&gt;$FO9,"⚠ Este talento abre no nível 26",IF($IM9&gt;3,"⚠ Categoria "&amp;$IM9&amp;": este ganho vai até a 3 · ","")&amp;IFERROR(VLOOKUP(SUBSTITUTE(SUBSTITUTE(SUBSTITUTE($FD9,"~","~~"),"*","~*"),"?","~?"),'DADOS_ENTIDADES'!$AI$2:$AL$35,3,FALSE),"")))</f>
        <v/>
      </c>
      <c r="IV9" s="161">
        <f>IF($FE9="","",IF(30&gt;$FO9,"⚠ Este talento abre no nível 30",IF($IN9&gt;3,"⚠ Categoria "&amp;$IN9&amp;": este ganho vai até a 3 · ","")&amp;IFERROR(VLOOKUP(SUBSTITUTE(SUBSTITUTE(SUBSTITUTE($FE9,"~","~~"),"*","~*"),"?","~?"),'DADOS_ENTIDADES'!$AI$2:$AL$35,3,FALSE),"")))</f>
        <v/>
      </c>
      <c r="IW9" s="161">
        <f>IF($FF9="","",IFERROR(VLOOKUP(SUBSTITUTE(SUBSTITUTE(SUBSTITUTE($FF9,"~","~~"),"*","~*"),"?","~?"),'DADOS_ENTIDADES'!$AI$2:$AL$35,3,FALSE),""))</f>
        <v/>
      </c>
      <c r="IX9" s="161">
        <f>IF($FG9="","",IFERROR(VLOOKUP(SUBSTITUTE(SUBSTITUTE(SUBSTITUTE($FG9,"~","~~"),"*","~*"),"?","~?"),'DADOS_ENTIDADES'!$AI$2:$AL$35,3,FALSE),""))</f>
        <v/>
      </c>
      <c r="IY9" s="161">
        <f>IF($FH9="","",IFERROR(VLOOKUP(SUBSTITUTE(SUBSTITUTE(SUBSTITUTE($FH9,"~","~~"),"*","~*"),"?","~?"),'DADOS_ENTIDADES'!$AI$2:$AL$35,3,FALSE),""))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IFERROR(MATCH(SUBSTITUTE(SUBSTITUTE(SUBSTITUTE($MU9,"~","~~"),"*","~*"),"?","~?"),'DADOS_FORMAS'!$FZ$2:$FZ$21,0),0)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IF($MS9=0,0,IF($NJ9=0,0,INDEX('DADOS_FORMAS'!$GB$2:$GB$21,$NJ9)))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IF($NJ9=0,0,IF(INDEX('DADOS_FORMAS'!$GA$2:$GA$21,$NJ9)="",0,IF((COUNTIF(INDEX($EL$2:$EP$13,$MO9,0),INDEX('DADOS_FORMAS'!$GA$2:$GA$21,$NJ9))+COUNTIF(INDEX($QV$2:$QY$13,$MO9,0),INDEX('DADOS_FORMAS'!$GA$2:$GA$21,$NJ9)))=0,1,0)))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IFERROR(N(AND(INDEX('DADOS_FORMAS'!$AO$2:$AO$21,MATCH(SUBSTITUTE(SUBSTITUTE(SUBSTITUTE($MU9,"~","~~"),"*","~*"),"?","~?"),'DADOS_FORMAS'!$AH$2:$AH$21,0))="Acerto",$OH9=1)),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IF($NJ9=0,0,INDEX('DADOS_FORMAS'!$GC$2:$GC$21,$NJ9))</f>
        <v/>
      </c>
      <c r="OG9" s="161">
        <f>IF($NJ9=0,0,INDEX('DADOS_FORMAS'!$GD$2:$GD$21,$NJ9))</f>
        <v/>
      </c>
      <c r="OH9" s="161">
        <f>IF($NJ9=0,0,INDEX('DADOS_FORMAS'!$GF$2:$GF$21,$NJ9))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IF(IFERROR(INDEX('DADOS_FORMAS'!$AS$2:$AS$21,MATCH(SUBSTITUTE(SUBSTITUTE(SUBSTITUTE($MU9,"~","~~"),"*","~*"),"?","~?"),'DADOS_FORMAS'!$AH$2:$AH$21,0)),"")="",0,IFERROR(N(VLOOKUP(SUBSTITUTE(SUBSTITUTE(SUBSTITUTE(IFERROR(INDEX('DADOS_FORMAS'!$AS$2:$AS$21,MATCH(SUBSTITUTE(SUBSTITUTE(SUBSTITUTE($MU9,"~","~~"),"*","~*"),"?","~?"),'DADOS_FORMAS'!$AH$2:$AH$21,0)),""),"~","~~"),"*","~*"),"?","~?"),'DADOS_RESTRICOES'!$M$2:$Q$54,3,FALSE)=1),0))</f>
        <v/>
      </c>
      <c r="OT9" s="161">
        <f>COUNTIF($OI9:$OJ9,2)+IF(IFERROR(INDEX('DADOS_FORMAS'!$AS$2:$AS$21,MATCH(SUBSTITUTE(SUBSTITUTE(SUBSTITUTE($MU9,"~","~~"),"*","~*"),"?","~?"),'DADOS_FORMAS'!$AH$2:$AH$21,0)),"")="",0,IFERROR(N(VLOOKUP(SUBSTITUTE(SUBSTITUTE(SUBSTITUTE(IFERROR(INDEX('DADOS_FORMAS'!$AS$2:$AS$21,MATCH(SUBSTITUTE(SUBSTITUTE(SUBSTITUTE($MU9,"~","~~"),"*","~*"),"?","~?"),'DADOS_FORMAS'!$AH$2:$AH$21,0)),""),"~","~~"),"*","~*"),"?","~?"),'DADOS_RESTRICOES'!$M$2:$Q$54,3,FALSE)=2),0))</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",TRUE,IF($ND9=0,"",TEXTJOIN(" · ",TRUE,IF($MQ9&gt;$NE9,"Este lugar abre no nível "&amp;$MQ9,""),IF($MS9&gt;$NF9,"Classe "&amp;$MS9&amp;": o nível "&amp;$NE9&amp;" libera até a "&amp;$NF9,""),IF($NX9=1,"A Forma "&amp;$MU9&amp;" pede "&amp;INDEX('DADOS_FORMAS'!$GA$2:$GA$21,$NJ9)&amp;" aberta",""),IF(AND($MS9=0,$NJ9&gt;0,IF($NJ9=0,0,INDEX('DADOS_FORMAS'!$GJ$2:$GJ$21,$NJ9))=0),$MU9&amp;"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Corpo")&gt;0,$OF9=0,OR($RO9="Cone",$RO9="Linha")),"Corpo a Corpo não entra em "&amp;$MU9,""),IF(AND(COUNTIF($OK9:$OL9,"Corpo a Corpo")&gt;0,$RP9="Corpo a Corpo"),"A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"&amp;$NC9,""))),IF(AND($MU9&lt;&gt;"",COUNTIF('DADOS_FORMAS'!$AH$2:$AH$21,SUBSTITUTE(SUBSTITUTE(SUBSTITUTE($MU9,"~","~~"),"*","~*"),"?","~?"))=0),"Forma não cadastrada ou com erro: "&amp;$MU9,""),IF(AND(IFERROR(INDEX('DADOS_FORMAS'!$AS$2:$AS$21,MATCH(SUBSTITUTE(SUBSTITUTE(SUBSTITUTE($MU9,"~","~~"),"*","~*"),"?","~?"),'DADOS_FORMAS'!$AH$2:$AH$21,0)),"")&lt;&gt;"",OR(IFERROR(VLOOKUP(SUBSTITUTE(SUBSTITUTE(SUBSTITUTE(IFERROR(INDEX('DADOS_FORMAS'!$AS$2:$AS$21,MATCH(SUBSTITUTE(SUBSTITUTE(SUBSTITUTE($MU9,"~","~~"),"*","~*"),"?","~?"),'DADOS_FORMAS'!$AH$2:$AH$21,0)),""),"~","~~"),"*","~*"),"?","~?"),'DADOS_RESTRICOES'!$M$2:$Q$54,2,FALSE),"")=$OK9,IFERROR(VLOOKUP(SUBSTITUTE(SUBSTITUTE(SUBSTITUTE(IFERROR(INDEX('DADOS_FORMAS'!$AS$2:$AS$21,MATCH(SUBSTITUTE(SUBSTITUTE(SUBSTITUTE($MU9,"~","~~"),"*","~*"),"?","~?"),'DADOS_FORMAS'!$AH$2:$AH$21,0)),""),"~","~~"),"*","~*"),"?","~?"),'DADOS_RESTRICOES'!$M$2:$Q$54,2,FALSE),"")=$OL9)),"Restrição repetida, contando a embutida",""),IF(IF(IFERROR(INDEX('DADOS_FORMAS'!$AS$2:$AS$21,MATCH(SUBSTITUTE(SUBSTITUTE(SUBSTITUTE($MU9,"~","~~"),"*","~*"),"?","~?"),'DADOS_FORMAS'!$AH$2:$AH$21,0)),"")="",0,IFERROR(N(VLOOKUP(SUBSTITUTE(SUBSTITUTE(SUBSTITUTE(IFERROR(INDEX('DADOS_FORMAS'!$AS$2:$AS$21,MATCH(SUBSTITUTE(SUBSTITUTE(SUBSTITUTE($MU9,"~","~~"),"*","~*"),"?","~?"),'DADOS_FORMAS'!$AH$2:$AH$21,0)),""),"~","~~"),"*","~*"),"?","~?"),'DADOS_RESTRICOES'!$M$2:$Q$54,4,FALSE)=1),0))+IF($NB9="",0,IFERROR(N(VLOOKUP(SUBSTITUTE(SUBSTITUTE(SUBSTITUTE($NB9,"~","~~"),"*","~*"),"?","~?"),'DADOS_RESTRICOES'!$M$2:$Q$54,4,FALSE)=1),0))+IF($NC9="",0,IFERROR(N(VLOOKUP(SUBSTITUTE(SUBSTITUTE(SUBSTITUTE($NC9,"~","~~"),"*","~*"),"?","~?"),'DADOS_RESTRICOES'!$M$2:$Q$54,4,FALSE)=1),0))&gt;1,"Duas Restrições de frequência, contando a embutida",""),IF(AND(IFERROR(VLOOKUP(SUBSTITUTE(SUBSTITUTE(SUBSTITUTE(IFERROR(INDEX('DADOS_FORMAS'!$AS$2:$AS$21,MATCH(SUBSTITUTE(SUBSTITUTE(SUBSTITUTE($MU9,"~","~~"),"*","~*"),"?","~?"),'DADOS_FORMAS'!$AH$2:$AH$21,0)),""),"~","~~"),"*","~*"),"?","~?"),'DADOS_RESTRICOES'!$M$2:$Q$54,2,FALSE),"")="Tudo ou Nada",$OH9=0),"Tudo ou Nada exige TR",""),IF(AND(IFERROR(VLOOKUP(SUBSTITUTE(SUBSTITUTE(SUBSTITUTE(IFERROR(INDEX('DADOS_FORMAS'!$AS$2:$AS$21,MATCH(SUBSTITUTE(SUBSTITUTE(SUBSTITUTE($MU9,"~","~~"),"*","~*"),"?","~?"),'DADOS_FORMAS'!$AH$2:$AH$21,0)),""),"~","~~"),"*","~*"),"?","~?"),'DADOS_RESTRICOES'!$M$2:$Q$54,2,FALSE),"")="Corpo a Corpo",OR($RO9="Cone",$RO9="Linha")),"Corpo a Corpo não entra em Cone/Linha","")))</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dela",IF(COUNTIF($RQ9:$RS9,"Atrasar")&gt;0,"Sua Ação Completa",IF(COUNTIF($RK9:$RN9,"Rápido")&gt;0,"Sua Bônus",IF(COUNTIF($RK9:$RN9,"Reação")&gt;0,"Sua Reação","Sua Padrão")))&amp;" + a básica dela"&amp;IF(COUNTIF($RK9:$RN9,"Reação")&gt;0," e a coletiva","")&amp;IF(COUNTIF($RQ9:$RS9,"Carregar")&gt;0," · em dois turnos","")))</f>
        <v/>
      </c>
      <c r="QC9" s="161">
        <f>IF($MW9&lt;&gt;"",$MW9,IF($NJ9=0,"",INDEX('DADOS_FORMAS'!$GE$2:$GE$21,$NJ9)))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IF($NJ9=0,0,CHOOSE(1+INDEX('DADOS_FORMAS'!$GG$2:$GG$21,$NJ9),0,$QF9,$QG9,$QF9+$QG9))</f>
        <v/>
      </c>
      <c r="QI9" s="161">
        <f>IF($NJ9=0,0,CHOOSE(1+INDEX('DADOS_FORMAS'!$GH$2:$GH$21,$NJ9),0,$QF9,$QG9,$QF9+$QG9))</f>
        <v/>
      </c>
      <c r="QJ9" s="161">
        <f>IF(OR($ND9=0,$NJ9=0),"",INDEX('DADOS_FORMAS'!$HU$2:$HZ$81,($NJ9-1)*4+IF($MS9=0,1,IF($MS9&lt;=5,2,IF($MS9=6,3,4))),1+MIN(5,$QH9))&amp;INDEX('DADOS_FORMAS'!$IA$2:$IF$81,($NJ9-1)*4+IF($MS9=0,1,IF($MS9&lt;=5,2,IF($MS9=6,3,4))),1+MIN(5,$QI9))&amp;IF(INDEX('DADOS_FORMAS'!$GI$2:$GI$21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c r="RO9">
        <f>IFERROR(INDEX('DADOS_FORMAS'!$BJ$2:$BJ$21,MATCH(SUBSTITUTE(SUBSTITUTE(SUBSTITUTE($MU9,"~","~~"),"*","~*"),"?","~?"),'DADOS_FORMAS'!$AH$2:$AH$21,0)),"")</f>
        <v/>
      </c>
      <c r="RP9">
        <f>IFERROR(VLOOKUP(SUBSTITUTE(SUBSTITUTE(SUBSTITUTE(IFERROR(INDEX('DADOS_FORMAS'!$AS$2:$AS$21,MATCH(SUBSTITUTE(SUBSTITUTE(SUBSTITUTE($MU9,"~","~~"),"*","~*"),"?","~?"),'DADOS_FORMAS'!$AH$2:$AH$21,0)),""),"~","~~"),"*","~*"),"?","~?"),'DADOS_RESTRICOES'!$M$2:$Q$54,2,FALSE),"")</f>
        <v/>
      </c>
      <c r="RQ9">
        <f>$OK9</f>
        <v/>
      </c>
      <c r="RR9">
        <f>$OL9</f>
        <v/>
      </c>
      <c r="RS9">
        <f>$RP9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IF(IFERROR(VLOOKUP(SUBSTITUTE(SUBSTITUTE(SUBSTITUTE($DF10,"~","~~"),"*","~*"),"?","~?"),'DADOS_ENTIDADES'!$M$2:$P$16,2,FALSE),0)=1,1,0)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IF(AND(IFERROR(VLOOKUP(SUBSTITUTE(SUBSTITUTE(SUBSTITUTE($DF10,"~","~~"),"*","~*"),"?","~?"),'DADOS_ENTIDADES'!$M$2:$P$16,3,FALSE),0)=1,$DI10="Com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IF(IFERROR(VLOOKUP(SUBSTITUTE(SUBSTITUTE(SUBSTITUTE($DF10,"~","~~"),"*","~*"),"?","~?"),'DADOS_ENTIDADES'!$M$2:$P$16,4,FALSE),0)=1,"RESERVA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IFERROR(VLOOKUP(SUBSTITUTE(SUBSTITUTE(SUBSTITUTE($EX10,"~","~~"),"*","~*"),"?","~?"),'DADOS_ENTIDADES'!$AI$2:$AL$35,2,FALSE),0)</f>
        <v/>
      </c>
      <c r="IH10" s="161">
        <f>IFERROR(VLOOKUP(SUBSTITUTE(SUBSTITUTE(SUBSTITUTE($EY10,"~","~~"),"*","~*"),"?","~?"),'DADOS_ENTIDADES'!$AI$2:$AL$35,2,FALSE),0)</f>
        <v/>
      </c>
      <c r="II10" s="161">
        <f>IFERROR(VLOOKUP(SUBSTITUTE(SUBSTITUTE(SUBSTITUTE($EZ10,"~","~~"),"*","~*"),"?","~?"),'DADOS_ENTIDADES'!$AI$2:$AL$35,2,FALSE),0)</f>
        <v/>
      </c>
      <c r="IJ10" s="161">
        <f>IFERROR(VLOOKUP(SUBSTITUTE(SUBSTITUTE(SUBSTITUTE($FA10,"~","~~"),"*","~*"),"?","~?"),'DADOS_ENTIDADES'!$AI$2:$AL$35,2,FALSE),0)</f>
        <v/>
      </c>
      <c r="IK10" s="161">
        <f>IFERROR(VLOOKUP(SUBSTITUTE(SUBSTITUTE(SUBSTITUTE($FB10,"~","~~"),"*","~*"),"?","~?"),'DADOS_ENTIDADES'!$AI$2:$AL$35,2,FALSE),0)</f>
        <v/>
      </c>
      <c r="IL10" s="161">
        <f>IFERROR(VLOOKUP(SUBSTITUTE(SUBSTITUTE(SUBSTITUTE($FC10,"~","~~"),"*","~*"),"?","~?"),'DADOS_ENTIDADES'!$AI$2:$AL$35,2,FALSE),0)</f>
        <v/>
      </c>
      <c r="IM10" s="161">
        <f>IFERROR(VLOOKUP(SUBSTITUTE(SUBSTITUTE(SUBSTITUTE($FD10,"~","~~"),"*","~*"),"?","~?"),'DADOS_ENTIDADES'!$AI$2:$AL$35,2,FALSE),0)</f>
        <v/>
      </c>
      <c r="IN10" s="161">
        <f>IFERROR(VLOOKUP(SUBSTITUTE(SUBSTITUTE(SUBSTITUTE($FE10,"~","~~"),"*","~*"),"?","~?"),'DADOS_ENTIDADES'!$AI$2:$AL$35,2,FALSE),0)</f>
        <v/>
      </c>
      <c r="IO10" s="161">
        <f>IF($EX10="","",IF(1&gt;$FO10,"⚠ Este talento abre no nível 1",IF($IG10&gt;1,"⚠ Categoria "&amp;$IG10&amp;": este ganho vai até a 1 · ","")&amp;IFERROR(VLOOKUP(SUBSTITUTE(SUBSTITUTE(SUBSTITUTE($EX10,"~","~~"),"*","~*"),"?","~?"),'DADOS_ENTIDADES'!$AI$2:$AL$35,3,FALSE),"")))</f>
        <v/>
      </c>
      <c r="IP10" s="161">
        <f>IF($EY10="","",IF(6&gt;$FO10,"⚠ Este talento abre no nível 6",IF($IH10&gt;1,"⚠ Categoria "&amp;$IH10&amp;": este ganho vai até a 1 · ","")&amp;IFERROR(VLOOKUP(SUBSTITUTE(SUBSTITUTE(SUBSTITUTE($EY10,"~","~~"),"*","~*"),"?","~?"),'DADOS_ENTIDADES'!$AI$2:$AL$35,3,FALSE),"")))</f>
        <v/>
      </c>
      <c r="IQ10" s="161">
        <f>IF($EZ10="","",IF(10&gt;$FO10,"⚠ Este talento abre no nível 10",IF($II10&gt;2,"⚠ Categoria "&amp;$II10&amp;": este ganho vai até a 2 · ","")&amp;IFERROR(VLOOKUP(SUBSTITUTE(SUBSTITUTE(SUBSTITUTE($EZ10,"~","~~"),"*","~*"),"?","~?"),'DADOS_ENTIDADES'!$AI$2:$AL$35,3,FALSE),"")))</f>
        <v/>
      </c>
      <c r="IR10" s="161">
        <f>IF($FA10="","",IF(14&gt;$FO10,"⚠ Este talento abre no nível 14",IF($IJ10&gt;3,"⚠ Categoria "&amp;$IJ10&amp;": este ganho vai até a 3 · ","")&amp;IFERROR(VLOOKUP(SUBSTITUTE(SUBSTITUTE(SUBSTITUTE($FA10,"~","~~"),"*","~*"),"?","~?"),'DADOS_ENTIDADES'!$AI$2:$AL$35,3,FALSE),"")))</f>
        <v/>
      </c>
      <c r="IS10" s="161">
        <f>IF($FB10="","",IF(18&gt;$FO10,"⚠ Este talento abre no nível 18",IF($IK10&gt;3,"⚠ Categoria "&amp;$IK10&amp;": este ganho vai até a 3 · ","")&amp;IFERROR(VLOOKUP(SUBSTITUTE(SUBSTITUTE(SUBSTITUTE($FB10,"~","~~"),"*","~*"),"?","~?"),'DADOS_ENTIDADES'!$AI$2:$AL$35,3,FALSE),"")))</f>
        <v/>
      </c>
      <c r="IT10" s="161">
        <f>IF($FC10="","",IF(22&gt;$FO10,"⚠ Este talento abre no nível 22",IF($IL10&gt;3,"⚠ Categoria "&amp;$IL10&amp;": este ganho vai até a 3 · ","")&amp;IFERROR(VLOOKUP(SUBSTITUTE(SUBSTITUTE(SUBSTITUTE($FC10,"~","~~"),"*","~*"),"?","~?"),'DADOS_ENTIDADES'!$AI$2:$AL$35,3,FALSE),"")))</f>
        <v/>
      </c>
      <c r="IU10" s="161">
        <f>IF($FD10="","",IF(26&gt;$FO10,"⚠ Este talento abre no nível 26",IF($IM10&gt;3,"⚠ Categoria "&amp;$IM10&amp;": este ganho vai até a 3 · ","")&amp;IFERROR(VLOOKUP(SUBSTITUTE(SUBSTITUTE(SUBSTITUTE($FD10,"~","~~"),"*","~*"),"?","~?"),'DADOS_ENTIDADES'!$AI$2:$AL$35,3,FALSE),"")))</f>
        <v/>
      </c>
      <c r="IV10" s="161">
        <f>IF($FE10="","",IF(30&gt;$FO10,"⚠ Este talento abre no nível 30",IF($IN10&gt;3,"⚠ Categoria "&amp;$IN10&amp;": este ganho vai até a 3 · ","")&amp;IFERROR(VLOOKUP(SUBSTITUTE(SUBSTITUTE(SUBSTITUTE($FE10,"~","~~"),"*","~*"),"?","~?"),'DADOS_ENTIDADES'!$AI$2:$AL$35,3,FALSE),"")))</f>
        <v/>
      </c>
      <c r="IW10" s="161">
        <f>IF($FF10="","",IFERROR(VLOOKUP(SUBSTITUTE(SUBSTITUTE(SUBSTITUTE($FF10,"~","~~"),"*","~*"),"?","~?"),'DADOS_ENTIDADES'!$AI$2:$AL$35,3,FALSE),""))</f>
        <v/>
      </c>
      <c r="IX10" s="161">
        <f>IF($FG10="","",IFERROR(VLOOKUP(SUBSTITUTE(SUBSTITUTE(SUBSTITUTE($FG10,"~","~~"),"*","~*"),"?","~?"),'DADOS_ENTIDADES'!$AI$2:$AL$35,3,FALSE),""))</f>
        <v/>
      </c>
      <c r="IY10" s="161">
        <f>IF($FH10="","",IFERROR(VLOOKUP(SUBSTITUTE(SUBSTITUTE(SUBSTITUTE($FH10,"~","~~"),"*","~*"),"?","~?"),'DADOS_ENTIDADES'!$AI$2:$AL$35,3,FALSE),""))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IFERROR(MATCH(SUBSTITUTE(SUBSTITUTE(SUBSTITUTE($MU10,"~","~~"),"*","~*"),"?","~?"),'DADOS_FORMAS'!$FZ$2:$FZ$21,0),0)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IF($MS10=0,0,IF($NJ10=0,0,INDEX('DADOS_FORMAS'!$GB$2:$GB$21,$NJ10)))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IF($NJ10=0,0,IF(INDEX('DADOS_FORMAS'!$GA$2:$GA$21,$NJ10)="",0,IF((COUNTIF(INDEX($EL$2:$EP$13,$MO10,0),INDEX('DADOS_FORMAS'!$GA$2:$GA$21,$NJ10))+COUNTIF(INDEX($QV$2:$QY$13,$MO10,0),INDEX('DADOS_FORMAS'!$GA$2:$GA$21,$NJ10)))=0,1,0)))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IFERROR(N(AND(INDEX('DADOS_FORMAS'!$AO$2:$AO$21,MATCH(SUBSTITUTE(SUBSTITUTE(SUBSTITUTE($MU10,"~","~~"),"*","~*"),"?","~?"),'DADOS_FORMAS'!$AH$2:$AH$21,0))="Acerto",$OH10=1)),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IF($NJ10=0,0,INDEX('DADOS_FORMAS'!$GC$2:$GC$21,$NJ10))</f>
        <v/>
      </c>
      <c r="OG10" s="161">
        <f>IF($NJ10=0,0,INDEX('DADOS_FORMAS'!$GD$2:$GD$21,$NJ10))</f>
        <v/>
      </c>
      <c r="OH10" s="161">
        <f>IF($NJ10=0,0,INDEX('DADOS_FORMAS'!$GF$2:$GF$21,$NJ10))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IF(IFERROR(INDEX('DADOS_FORMAS'!$AS$2:$AS$21,MATCH(SUBSTITUTE(SUBSTITUTE(SUBSTITUTE($MU10,"~","~~"),"*","~*"),"?","~?"),'DADOS_FORMAS'!$AH$2:$AH$21,0)),"")="",0,IFERROR(N(VLOOKUP(SUBSTITUTE(SUBSTITUTE(SUBSTITUTE(IFERROR(INDEX('DADOS_FORMAS'!$AS$2:$AS$21,MATCH(SUBSTITUTE(SUBSTITUTE(SUBSTITUTE($MU10,"~","~~"),"*","~*"),"?","~?"),'DADOS_FORMAS'!$AH$2:$AH$21,0)),""),"~","~~"),"*","~*"),"?","~?"),'DADOS_RESTRICOES'!$M$2:$Q$54,3,FALSE)=1),0))</f>
        <v/>
      </c>
      <c r="OT10" s="161">
        <f>COUNTIF($OI10:$OJ10,2)+IF(IFERROR(INDEX('DADOS_FORMAS'!$AS$2:$AS$21,MATCH(SUBSTITUTE(SUBSTITUTE(SUBSTITUTE($MU10,"~","~~"),"*","~*"),"?","~?"),'DADOS_FORMAS'!$AH$2:$AH$21,0)),"")="",0,IFERROR(N(VLOOKUP(SUBSTITUTE(SUBSTITUTE(SUBSTITUTE(IFERROR(INDEX('DADOS_FORMAS'!$AS$2:$AS$21,MATCH(SUBSTITUTE(SUBSTITUTE(SUBSTITUTE($MU10,"~","~~"),"*","~*"),"?","~?"),'DADOS_FORMAS'!$AH$2:$AH$21,0)),""),"~","~~"),"*","~*"),"?","~?"),'DADOS_RESTRICOES'!$M$2:$Q$54,3,FALSE)=2),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",TRUE,IF($ND10=0,"",TEXTJOIN(" · ",TRUE,IF($MQ10&gt;$NE10,"Este lugar abre no nível "&amp;$MQ10,""),IF($MS10&gt;$NF10,"Classe "&amp;$MS10&amp;": o nível "&amp;$NE10&amp;" libera até a "&amp;$NF10,""),IF($NX10=1,"A Forma "&amp;$MU10&amp;" pede "&amp;INDEX('DADOS_FORMAS'!$GA$2:$GA$21,$NJ10)&amp;" aberta",""),IF(AND($MS10=0,$NJ10&gt;0,IF($NJ10=0,0,INDEX('DADOS_FORMAS'!$GJ$2:$GJ$21,$NJ10))=0),$MU10&amp;"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Corpo")&gt;0,$OF10=0,OR($RO10="Cone",$RO10="Linha")),"Corpo a Corpo não entra em "&amp;$MU10,""),IF(AND(COUNTIF($OK10:$OL10,"Corpo a Corpo")&gt;0,$RP10="Corpo a Corpo"),"A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"&amp;$NC10,""))),IF(AND($MU10&lt;&gt;"",COUNTIF('DADOS_FORMAS'!$AH$2:$AH$21,SUBSTITUTE(SUBSTITUTE(SUBSTITUTE($MU10,"~","~~"),"*","~*"),"?","~?"))=0),"Forma não cadastrada ou com erro: "&amp;$MU10,""),IF(AND(IFERROR(INDEX('DADOS_FORMAS'!$AS$2:$AS$21,MATCH(SUBSTITUTE(SUBSTITUTE(SUBSTITUTE($MU10,"~","~~"),"*","~*"),"?","~?"),'DADOS_FORMAS'!$AH$2:$AH$21,0)),"")&lt;&gt;"",OR(IFERROR(VLOOKUP(SUBSTITUTE(SUBSTITUTE(SUBSTITUTE(IFERROR(INDEX('DADOS_FORMAS'!$AS$2:$AS$21,MATCH(SUBSTITUTE(SUBSTITUTE(SUBSTITUTE($MU10,"~","~~"),"*","~*"),"?","~?"),'DADOS_FORMAS'!$AH$2:$AH$21,0)),""),"~","~~"),"*","~*"),"?","~?"),'DADOS_RESTRICOES'!$M$2:$Q$54,2,FALSE),"")=$OK10,IFERROR(VLOOKUP(SUBSTITUTE(SUBSTITUTE(SUBSTITUTE(IFERROR(INDEX('DADOS_FORMAS'!$AS$2:$AS$21,MATCH(SUBSTITUTE(SUBSTITUTE(SUBSTITUTE($MU10,"~","~~"),"*","~*"),"?","~?"),'DADOS_FORMAS'!$AH$2:$AH$21,0)),""),"~","~~"),"*","~*"),"?","~?"),'DADOS_RESTRICOES'!$M$2:$Q$54,2,FALSE),"")=$OL10)),"Restrição repetida, contando a embutida",""),IF(IF(IFERROR(INDEX('DADOS_FORMAS'!$AS$2:$AS$21,MATCH(SUBSTITUTE(SUBSTITUTE(SUBSTITUTE($MU10,"~","~~"),"*","~*"),"?","~?"),'DADOS_FORMAS'!$AH$2:$AH$21,0)),"")="",0,IFERROR(N(VLOOKUP(SUBSTITUTE(SUBSTITUTE(SUBSTITUTE(IFERROR(INDEX('DADOS_FORMAS'!$AS$2:$AS$21,MATCH(SUBSTITUTE(SUBSTITUTE(SUBSTITUTE($MU10,"~","~~"),"*","~*"),"?","~?"),'DADOS_FORMAS'!$AH$2:$AH$21,0)),""),"~","~~"),"*","~*"),"?","~?"),'DADOS_RESTRICOES'!$M$2:$Q$54,4,FALSE)=1),0))+IF($NB10="",0,IFERROR(N(VLOOKUP(SUBSTITUTE(SUBSTITUTE(SUBSTITUTE($NB10,"~","~~"),"*","~*"),"?","~?"),'DADOS_RESTRICOES'!$M$2:$Q$54,4,FALSE)=1),0))+IF($NC10="",0,IFERROR(N(VLOOKUP(SUBSTITUTE(SUBSTITUTE(SUBSTITUTE($NC10,"~","~~"),"*","~*"),"?","~?"),'DADOS_RESTRICOES'!$M$2:$Q$54,4,FALSE)=1),0))&gt;1,"Duas Restrições de frequência, contando a embutida",""),IF(AND(IFERROR(VLOOKUP(SUBSTITUTE(SUBSTITUTE(SUBSTITUTE(IFERROR(INDEX('DADOS_FORMAS'!$AS$2:$AS$21,MATCH(SUBSTITUTE(SUBSTITUTE(SUBSTITUTE($MU10,"~","~~"),"*","~*"),"?","~?"),'DADOS_FORMAS'!$AH$2:$AH$21,0)),""),"~","~~"),"*","~*"),"?","~?"),'DADOS_RESTRICOES'!$M$2:$Q$54,2,FALSE),"")="Tudo ou Nada",$OH10=0),"Tudo ou Nada exige TR",""),IF(AND(IFERROR(VLOOKUP(SUBSTITUTE(SUBSTITUTE(SUBSTITUTE(IFERROR(INDEX('DADOS_FORMAS'!$AS$2:$AS$21,MATCH(SUBSTITUTE(SUBSTITUTE(SUBSTITUTE($MU10,"~","~~"),"*","~*"),"?","~?"),'DADOS_FORMAS'!$AH$2:$AH$21,0)),""),"~","~~"),"*","~*"),"?","~?"),'DADOS_RESTRICOES'!$M$2:$Q$54,2,FALSE),"")="Corpo a Corpo",OR($RO10="Cone",$RO10="Linha")),"Corpo a Corpo não entra em Cone/Linha","")))</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dela",IF(COUNTIF($RQ10:$RS10,"Atrasar")&gt;0,"Sua Ação Completa",IF(COUNTIF($RK10:$RN10,"Rápido")&gt;0,"Sua Bônus",IF(COUNTIF($RK10:$RN10,"Reação")&gt;0,"Sua Reação","Sua Padrão")))&amp;" + a básica dela"&amp;IF(COUNTIF($RK10:$RN10,"Reação")&gt;0," e a coletiva","")&amp;IF(COUNTIF($RQ10:$RS10,"Carregar")&gt;0," · em dois turnos","")))</f>
        <v/>
      </c>
      <c r="QC10" s="161">
        <f>IF($MW10&lt;&gt;"",$MW10,IF($NJ10=0,"",INDEX('DADOS_FORMAS'!$GE$2:$GE$21,$NJ10)))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IF($NJ10=0,0,CHOOSE(1+INDEX('DADOS_FORMAS'!$GG$2:$GG$21,$NJ10),0,$QF10,$QG10,$QF10+$QG10))</f>
        <v/>
      </c>
      <c r="QI10" s="161">
        <f>IF($NJ10=0,0,CHOOSE(1+INDEX('DADOS_FORMAS'!$GH$2:$GH$21,$NJ10),0,$QF10,$QG10,$QF10+$QG10))</f>
        <v/>
      </c>
      <c r="QJ10" s="161">
        <f>IF(OR($ND10=0,$NJ10=0),"",INDEX('DADOS_FORMAS'!$HU$2:$HZ$81,($NJ10-1)*4+IF($MS10=0,1,IF($MS10&lt;=5,2,IF($MS10=6,3,4))),1+MIN(5,$QH10))&amp;INDEX('DADOS_FORMAS'!$IA$2:$IF$81,($NJ10-1)*4+IF($MS10=0,1,IF($MS10&lt;=5,2,IF($MS10=6,3,4))),1+MIN(5,$QI10))&amp;IF(INDEX('DADOS_FORMAS'!$GI$2:$GI$21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c r="RO10">
        <f>IFERROR(INDEX('DADOS_FORMAS'!$BJ$2:$BJ$21,MATCH(SUBSTITUTE(SUBSTITUTE(SUBSTITUTE($MU10,"~","~~"),"*","~*"),"?","~?"),'DADOS_FORMAS'!$AH$2:$AH$21,0)),"")</f>
        <v/>
      </c>
      <c r="RP10">
        <f>IFERROR(VLOOKUP(SUBSTITUTE(SUBSTITUTE(SUBSTITUTE(IFERROR(INDEX('DADOS_FORMAS'!$AS$2:$AS$21,MATCH(SUBSTITUTE(SUBSTITUTE(SUBSTITUTE($MU10,"~","~~"),"*","~*"),"?","~?"),'DADOS_FORMAS'!$AH$2:$AH$21,0)),""),"~","~~"),"*","~*"),"?","~?"),'DADOS_RESTRICOES'!$M$2:$Q$54,2,FALSE),"")</f>
        <v/>
      </c>
      <c r="RQ10">
        <f>$OK10</f>
        <v/>
      </c>
      <c r="RR10">
        <f>$OL10</f>
        <v/>
      </c>
      <c r="RS10">
        <f>$RP10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IF(IFERROR(VLOOKUP(SUBSTITUTE(SUBSTITUTE(SUBSTITUTE($DF11,"~","~~"),"*","~*"),"?","~?"),'DADOS_ENTIDADES'!$M$2:$P$16,2,FALSE),0)=1,1,0)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IF(AND(IFERROR(VLOOKUP(SUBSTITUTE(SUBSTITUTE(SUBSTITUTE($DF11,"~","~~"),"*","~*"),"?","~?"),'DADOS_ENTIDADES'!$M$2:$P$16,3,FALSE),0)=1,$DI11="Com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IF(IFERROR(VLOOKUP(SUBSTITUTE(SUBSTITUTE(SUBSTITUTE($DF11,"~","~~"),"*","~*"),"?","~?"),'DADOS_ENTIDADES'!$M$2:$P$16,4,FALSE),0)=1,"RESERVA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IFERROR(VLOOKUP(SUBSTITUTE(SUBSTITUTE(SUBSTITUTE($EX11,"~","~~"),"*","~*"),"?","~?"),'DADOS_ENTIDADES'!$AI$2:$AL$35,2,FALSE),0)</f>
        <v/>
      </c>
      <c r="IH11" s="161">
        <f>IFERROR(VLOOKUP(SUBSTITUTE(SUBSTITUTE(SUBSTITUTE($EY11,"~","~~"),"*","~*"),"?","~?"),'DADOS_ENTIDADES'!$AI$2:$AL$35,2,FALSE),0)</f>
        <v/>
      </c>
      <c r="II11" s="161">
        <f>IFERROR(VLOOKUP(SUBSTITUTE(SUBSTITUTE(SUBSTITUTE($EZ11,"~","~~"),"*","~*"),"?","~?"),'DADOS_ENTIDADES'!$AI$2:$AL$35,2,FALSE),0)</f>
        <v/>
      </c>
      <c r="IJ11" s="161">
        <f>IFERROR(VLOOKUP(SUBSTITUTE(SUBSTITUTE(SUBSTITUTE($FA11,"~","~~"),"*","~*"),"?","~?"),'DADOS_ENTIDADES'!$AI$2:$AL$35,2,FALSE),0)</f>
        <v/>
      </c>
      <c r="IK11" s="161">
        <f>IFERROR(VLOOKUP(SUBSTITUTE(SUBSTITUTE(SUBSTITUTE($FB11,"~","~~"),"*","~*"),"?","~?"),'DADOS_ENTIDADES'!$AI$2:$AL$35,2,FALSE),0)</f>
        <v/>
      </c>
      <c r="IL11" s="161">
        <f>IFERROR(VLOOKUP(SUBSTITUTE(SUBSTITUTE(SUBSTITUTE($FC11,"~","~~"),"*","~*"),"?","~?"),'DADOS_ENTIDADES'!$AI$2:$AL$35,2,FALSE),0)</f>
        <v/>
      </c>
      <c r="IM11" s="161">
        <f>IFERROR(VLOOKUP(SUBSTITUTE(SUBSTITUTE(SUBSTITUTE($FD11,"~","~~"),"*","~*"),"?","~?"),'DADOS_ENTIDADES'!$AI$2:$AL$35,2,FALSE),0)</f>
        <v/>
      </c>
      <c r="IN11" s="161">
        <f>IFERROR(VLOOKUP(SUBSTITUTE(SUBSTITUTE(SUBSTITUTE($FE11,"~","~~"),"*","~*"),"?","~?"),'DADOS_ENTIDADES'!$AI$2:$AL$35,2,FALSE),0)</f>
        <v/>
      </c>
      <c r="IO11" s="161">
        <f>IF($EX11="","",IF(1&gt;$FO11,"⚠ Este talento abre no nível 1",IF($IG11&gt;1,"⚠ Categoria "&amp;$IG11&amp;": este ganho vai até a 1 · ","")&amp;IFERROR(VLOOKUP(SUBSTITUTE(SUBSTITUTE(SUBSTITUTE($EX11,"~","~~"),"*","~*"),"?","~?"),'DADOS_ENTIDADES'!$AI$2:$AL$35,3,FALSE),"")))</f>
        <v/>
      </c>
      <c r="IP11" s="161">
        <f>IF($EY11="","",IF(6&gt;$FO11,"⚠ Este talento abre no nível 6",IF($IH11&gt;1,"⚠ Categoria "&amp;$IH11&amp;": este ganho vai até a 1 · ","")&amp;IFERROR(VLOOKUP(SUBSTITUTE(SUBSTITUTE(SUBSTITUTE($EY11,"~","~~"),"*","~*"),"?","~?"),'DADOS_ENTIDADES'!$AI$2:$AL$35,3,FALSE),"")))</f>
        <v/>
      </c>
      <c r="IQ11" s="161">
        <f>IF($EZ11="","",IF(10&gt;$FO11,"⚠ Este talento abre no nível 10",IF($II11&gt;2,"⚠ Categoria "&amp;$II11&amp;": este ganho vai até a 2 · ","")&amp;IFERROR(VLOOKUP(SUBSTITUTE(SUBSTITUTE(SUBSTITUTE($EZ11,"~","~~"),"*","~*"),"?","~?"),'DADOS_ENTIDADES'!$AI$2:$AL$35,3,FALSE),"")))</f>
        <v/>
      </c>
      <c r="IR11" s="161">
        <f>IF($FA11="","",IF(14&gt;$FO11,"⚠ Este talento abre no nível 14",IF($IJ11&gt;3,"⚠ Categoria "&amp;$IJ11&amp;": este ganho vai até a 3 · ","")&amp;IFERROR(VLOOKUP(SUBSTITUTE(SUBSTITUTE(SUBSTITUTE($FA11,"~","~~"),"*","~*"),"?","~?"),'DADOS_ENTIDADES'!$AI$2:$AL$35,3,FALSE),"")))</f>
        <v/>
      </c>
      <c r="IS11" s="161">
        <f>IF($FB11="","",IF(18&gt;$FO11,"⚠ Este talento abre no nível 18",IF($IK11&gt;3,"⚠ Categoria "&amp;$IK11&amp;": este ganho vai até a 3 · ","")&amp;IFERROR(VLOOKUP(SUBSTITUTE(SUBSTITUTE(SUBSTITUTE($FB11,"~","~~"),"*","~*"),"?","~?"),'DADOS_ENTIDADES'!$AI$2:$AL$35,3,FALSE),"")))</f>
        <v/>
      </c>
      <c r="IT11" s="161">
        <f>IF($FC11="","",IF(22&gt;$FO11,"⚠ Este talento abre no nível 22",IF($IL11&gt;3,"⚠ Categoria "&amp;$IL11&amp;": este ganho vai até a 3 · ","")&amp;IFERROR(VLOOKUP(SUBSTITUTE(SUBSTITUTE(SUBSTITUTE($FC11,"~","~~"),"*","~*"),"?","~?"),'DADOS_ENTIDADES'!$AI$2:$AL$35,3,FALSE),"")))</f>
        <v/>
      </c>
      <c r="IU11" s="161">
        <f>IF($FD11="","",IF(26&gt;$FO11,"⚠ Este talento abre no nível 26",IF($IM11&gt;3,"⚠ Categoria "&amp;$IM11&amp;": este ganho vai até a 3 · ","")&amp;IFERROR(VLOOKUP(SUBSTITUTE(SUBSTITUTE(SUBSTITUTE($FD11,"~","~~"),"*","~*"),"?","~?"),'DADOS_ENTIDADES'!$AI$2:$AL$35,3,FALSE),"")))</f>
        <v/>
      </c>
      <c r="IV11" s="161">
        <f>IF($FE11="","",IF(30&gt;$FO11,"⚠ Este talento abre no nível 30",IF($IN11&gt;3,"⚠ Categoria "&amp;$IN11&amp;": este ganho vai até a 3 · ","")&amp;IFERROR(VLOOKUP(SUBSTITUTE(SUBSTITUTE(SUBSTITUTE($FE11,"~","~~"),"*","~*"),"?","~?"),'DADOS_ENTIDADES'!$AI$2:$AL$35,3,FALSE),"")))</f>
        <v/>
      </c>
      <c r="IW11" s="161">
        <f>IF($FF11="","",IFERROR(VLOOKUP(SUBSTITUTE(SUBSTITUTE(SUBSTITUTE($FF11,"~","~~"),"*","~*"),"?","~?"),'DADOS_ENTIDADES'!$AI$2:$AL$35,3,FALSE),""))</f>
        <v/>
      </c>
      <c r="IX11" s="161">
        <f>IF($FG11="","",IFERROR(VLOOKUP(SUBSTITUTE(SUBSTITUTE(SUBSTITUTE($FG11,"~","~~"),"*","~*"),"?","~?"),'DADOS_ENTIDADES'!$AI$2:$AL$35,3,FALSE),""))</f>
        <v/>
      </c>
      <c r="IY11" s="161">
        <f>IF($FH11="","",IFERROR(VLOOKUP(SUBSTITUTE(SUBSTITUTE(SUBSTITUTE($FH11,"~","~~"),"*","~*"),"?","~?"),'DADOS_ENTIDADES'!$AI$2:$AL$35,3,FALSE),""))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IFERROR(MATCH(SUBSTITUTE(SUBSTITUTE(SUBSTITUTE($MU11,"~","~~"),"*","~*"),"?","~?"),'DADOS_FORMAS'!$FZ$2:$FZ$21,0),0)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IF($MS11=0,0,IF($NJ11=0,0,INDEX('DADOS_FORMAS'!$GB$2:$GB$21,$NJ11)))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IF($NJ11=0,0,IF(INDEX('DADOS_FORMAS'!$GA$2:$GA$21,$NJ11)="",0,IF((COUNTIF(INDEX($EL$2:$EP$13,$MO11,0),INDEX('DADOS_FORMAS'!$GA$2:$GA$21,$NJ11))+COUNTIF(INDEX($QV$2:$QY$13,$MO11,0),INDEX('DADOS_FORMAS'!$GA$2:$GA$21,$NJ11)))=0,1,0)))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IFERROR(N(AND(INDEX('DADOS_FORMAS'!$AO$2:$AO$21,MATCH(SUBSTITUTE(SUBSTITUTE(SUBSTITUTE($MU11,"~","~~"),"*","~*"),"?","~?"),'DADOS_FORMAS'!$AH$2:$AH$21,0))="Acerto",$OH11=1)),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IF($NJ11=0,0,INDEX('DADOS_FORMAS'!$GC$2:$GC$21,$NJ11))</f>
        <v/>
      </c>
      <c r="OG11" s="161">
        <f>IF($NJ11=0,0,INDEX('DADOS_FORMAS'!$GD$2:$GD$21,$NJ11))</f>
        <v/>
      </c>
      <c r="OH11" s="161">
        <f>IF($NJ11=0,0,INDEX('DADOS_FORMAS'!$GF$2:$GF$21,$NJ11))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IF(IFERROR(INDEX('DADOS_FORMAS'!$AS$2:$AS$21,MATCH(SUBSTITUTE(SUBSTITUTE(SUBSTITUTE($MU11,"~","~~"),"*","~*"),"?","~?"),'DADOS_FORMAS'!$AH$2:$AH$21,0)),"")="",0,IFERROR(N(VLOOKUP(SUBSTITUTE(SUBSTITUTE(SUBSTITUTE(IFERROR(INDEX('DADOS_FORMAS'!$AS$2:$AS$21,MATCH(SUBSTITUTE(SUBSTITUTE(SUBSTITUTE($MU11,"~","~~"),"*","~*"),"?","~?"),'DADOS_FORMAS'!$AH$2:$AH$21,0)),""),"~","~~"),"*","~*"),"?","~?"),'DADOS_RESTRICOES'!$M$2:$Q$54,3,FALSE)=1),0))</f>
        <v/>
      </c>
      <c r="OT11" s="161">
        <f>COUNTIF($OI11:$OJ11,2)+IF(IFERROR(INDEX('DADOS_FORMAS'!$AS$2:$AS$21,MATCH(SUBSTITUTE(SUBSTITUTE(SUBSTITUTE($MU11,"~","~~"),"*","~*"),"?","~?"),'DADOS_FORMAS'!$AH$2:$AH$21,0)),"")="",0,IFERROR(N(VLOOKUP(SUBSTITUTE(SUBSTITUTE(SUBSTITUTE(IFERROR(INDEX('DADOS_FORMAS'!$AS$2:$AS$21,MATCH(SUBSTITUTE(SUBSTITUTE(SUBSTITUTE($MU11,"~","~~"),"*","~*"),"?","~?"),'DADOS_FORMAS'!$AH$2:$AH$21,0)),""),"~","~~"),"*","~*"),"?","~?"),'DADOS_RESTRICOES'!$M$2:$Q$54,3,FALSE)=2),0))</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",TRUE,IF($ND11=0,"",TEXTJOIN(" · ",TRUE,IF($MQ11&gt;$NE11,"Este lugar abre no nível "&amp;$MQ11,""),IF($MS11&gt;$NF11,"Classe "&amp;$MS11&amp;": o nível "&amp;$NE11&amp;" libera até a "&amp;$NF11,""),IF($NX11=1,"A Forma "&amp;$MU11&amp;" pede "&amp;INDEX('DADOS_FORMAS'!$GA$2:$GA$21,$NJ11)&amp;" aberta",""),IF(AND($MS11=0,$NJ11&gt;0,IF($NJ11=0,0,INDEX('DADOS_FORMAS'!$GJ$2:$GJ$21,$NJ11))=0),$MU11&amp;"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Corpo")&gt;0,$OF11=0,OR($RO11="Cone",$RO11="Linha")),"Corpo a Corpo não entra em "&amp;$MU11,""),IF(AND(COUNTIF($OK11:$OL11,"Corpo a Corpo")&gt;0,$RP11="Corpo a Corpo"),"A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"&amp;$NC11,""))),IF(AND($MU11&lt;&gt;"",COUNTIF('DADOS_FORMAS'!$AH$2:$AH$21,SUBSTITUTE(SUBSTITUTE(SUBSTITUTE($MU11,"~","~~"),"*","~*"),"?","~?"))=0),"Forma não cadastrada ou com erro: "&amp;$MU11,""),IF(AND(IFERROR(INDEX('DADOS_FORMAS'!$AS$2:$AS$21,MATCH(SUBSTITUTE(SUBSTITUTE(SUBSTITUTE($MU11,"~","~~"),"*","~*"),"?","~?"),'DADOS_FORMAS'!$AH$2:$AH$21,0)),"")&lt;&gt;"",OR(IFERROR(VLOOKUP(SUBSTITUTE(SUBSTITUTE(SUBSTITUTE(IFERROR(INDEX('DADOS_FORMAS'!$AS$2:$AS$21,MATCH(SUBSTITUTE(SUBSTITUTE(SUBSTITUTE($MU11,"~","~~"),"*","~*"),"?","~?"),'DADOS_FORMAS'!$AH$2:$AH$21,0)),""),"~","~~"),"*","~*"),"?","~?"),'DADOS_RESTRICOES'!$M$2:$Q$54,2,FALSE),"")=$OK11,IFERROR(VLOOKUP(SUBSTITUTE(SUBSTITUTE(SUBSTITUTE(IFERROR(INDEX('DADOS_FORMAS'!$AS$2:$AS$21,MATCH(SUBSTITUTE(SUBSTITUTE(SUBSTITUTE($MU11,"~","~~"),"*","~*"),"?","~?"),'DADOS_FORMAS'!$AH$2:$AH$21,0)),""),"~","~~"),"*","~*"),"?","~?"),'DADOS_RESTRICOES'!$M$2:$Q$54,2,FALSE),"")=$OL11)),"Restrição repetida, contando a embutida",""),IF(IF(IFERROR(INDEX('DADOS_FORMAS'!$AS$2:$AS$21,MATCH(SUBSTITUTE(SUBSTITUTE(SUBSTITUTE($MU11,"~","~~"),"*","~*"),"?","~?"),'DADOS_FORMAS'!$AH$2:$AH$21,0)),"")="",0,IFERROR(N(VLOOKUP(SUBSTITUTE(SUBSTITUTE(SUBSTITUTE(IFERROR(INDEX('DADOS_FORMAS'!$AS$2:$AS$21,MATCH(SUBSTITUTE(SUBSTITUTE(SUBSTITUTE($MU11,"~","~~"),"*","~*"),"?","~?"),'DADOS_FORMAS'!$AH$2:$AH$21,0)),""),"~","~~"),"*","~*"),"?","~?"),'DADOS_RESTRICOES'!$M$2:$Q$54,4,FALSE)=1),0))+IF($NB11="",0,IFERROR(N(VLOOKUP(SUBSTITUTE(SUBSTITUTE(SUBSTITUTE($NB11,"~","~~"),"*","~*"),"?","~?"),'DADOS_RESTRICOES'!$M$2:$Q$54,4,FALSE)=1),0))+IF($NC11="",0,IFERROR(N(VLOOKUP(SUBSTITUTE(SUBSTITUTE(SUBSTITUTE($NC11,"~","~~"),"*","~*"),"?","~?"),'DADOS_RESTRICOES'!$M$2:$Q$54,4,FALSE)=1),0))&gt;1,"Duas Restrições de frequência, contando a embutida",""),IF(AND(IFERROR(VLOOKUP(SUBSTITUTE(SUBSTITUTE(SUBSTITUTE(IFERROR(INDEX('DADOS_FORMAS'!$AS$2:$AS$21,MATCH(SUBSTITUTE(SUBSTITUTE(SUBSTITUTE($MU11,"~","~~"),"*","~*"),"?","~?"),'DADOS_FORMAS'!$AH$2:$AH$21,0)),""),"~","~~"),"*","~*"),"?","~?"),'DADOS_RESTRICOES'!$M$2:$Q$54,2,FALSE),"")="Tudo ou Nada",$OH11=0),"Tudo ou Nada exige TR",""),IF(AND(IFERROR(VLOOKUP(SUBSTITUTE(SUBSTITUTE(SUBSTITUTE(IFERROR(INDEX('DADOS_FORMAS'!$AS$2:$AS$21,MATCH(SUBSTITUTE(SUBSTITUTE(SUBSTITUTE($MU11,"~","~~"),"*","~*"),"?","~?"),'DADOS_FORMAS'!$AH$2:$AH$21,0)),""),"~","~~"),"*","~*"),"?","~?"),'DADOS_RESTRICOES'!$M$2:$Q$54,2,FALSE),"")="Corpo a Corpo",OR($RO11="Cone",$RO11="Linha")),"Corpo a Corpo não entra em Cone/Linha","")))</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dela",IF(COUNTIF($RQ11:$RS11,"Atrasar")&gt;0,"Sua Ação Completa",IF(COUNTIF($RK11:$RN11,"Rápido")&gt;0,"Sua Bônus",IF(COUNTIF($RK11:$RN11,"Reação")&gt;0,"Sua Reação","Sua Padrão")))&amp;" + a básica dela"&amp;IF(COUNTIF($RK11:$RN11,"Reação")&gt;0," e a coletiva","")&amp;IF(COUNTIF($RQ11:$RS11,"Carregar")&gt;0," · em dois turnos","")))</f>
        <v/>
      </c>
      <c r="QC11" s="161">
        <f>IF($MW11&lt;&gt;"",$MW11,IF($NJ11=0,"",INDEX('DADOS_FORMAS'!$GE$2:$GE$21,$NJ11)))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IF($NJ11=0,0,CHOOSE(1+INDEX('DADOS_FORMAS'!$GG$2:$GG$21,$NJ11),0,$QF11,$QG11,$QF11+$QG11))</f>
        <v/>
      </c>
      <c r="QI11" s="161">
        <f>IF($NJ11=0,0,CHOOSE(1+INDEX('DADOS_FORMAS'!$GH$2:$GH$21,$NJ11),0,$QF11,$QG11,$QF11+$QG11))</f>
        <v/>
      </c>
      <c r="QJ11" s="161">
        <f>IF(OR($ND11=0,$NJ11=0),"",INDEX('DADOS_FORMAS'!$HU$2:$HZ$81,($NJ11-1)*4+IF($MS11=0,1,IF($MS11&lt;=5,2,IF($MS11=6,3,4))),1+MIN(5,$QH11))&amp;INDEX('DADOS_FORMAS'!$IA$2:$IF$81,($NJ11-1)*4+IF($MS11=0,1,IF($MS11&lt;=5,2,IF($MS11=6,3,4))),1+MIN(5,$QI11))&amp;IF(INDEX('DADOS_FORMAS'!$GI$2:$GI$21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c r="RO11">
        <f>IFERROR(INDEX('DADOS_FORMAS'!$BJ$2:$BJ$21,MATCH(SUBSTITUTE(SUBSTITUTE(SUBSTITUTE($MU11,"~","~~"),"*","~*"),"?","~?"),'DADOS_FORMAS'!$AH$2:$AH$21,0)),"")</f>
        <v/>
      </c>
      <c r="RP11">
        <f>IFERROR(VLOOKUP(SUBSTITUTE(SUBSTITUTE(SUBSTITUTE(IFERROR(INDEX('DADOS_FORMAS'!$AS$2:$AS$21,MATCH(SUBSTITUTE(SUBSTITUTE(SUBSTITUTE($MU11,"~","~~"),"*","~*"),"?","~?"),'DADOS_FORMAS'!$AH$2:$AH$21,0)),""),"~","~~"),"*","~*"),"?","~?"),'DADOS_RESTRICOES'!$M$2:$Q$54,2,FALSE),"")</f>
        <v/>
      </c>
      <c r="RQ11">
        <f>$OK11</f>
        <v/>
      </c>
      <c r="RR11">
        <f>$OL11</f>
        <v/>
      </c>
      <c r="RS11">
        <f>$RP11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IF(IFERROR(VLOOKUP(SUBSTITUTE(SUBSTITUTE(SUBSTITUTE($DF12,"~","~~"),"*","~*"),"?","~?"),'DADOS_ENTIDADES'!$M$2:$P$16,2,FALSE),0)=1,1,0)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IF(AND(IFERROR(VLOOKUP(SUBSTITUTE(SUBSTITUTE(SUBSTITUTE($DF12,"~","~~"),"*","~*"),"?","~?"),'DADOS_ENTIDADES'!$M$2:$P$16,3,FALSE),0)=1,$DI12="Com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IF(IFERROR(VLOOKUP(SUBSTITUTE(SUBSTITUTE(SUBSTITUTE($DF12,"~","~~"),"*","~*"),"?","~?"),'DADOS_ENTIDADES'!$M$2:$P$16,4,FALSE),0)=1,"RESERVA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IFERROR(VLOOKUP(SUBSTITUTE(SUBSTITUTE(SUBSTITUTE($EX12,"~","~~"),"*","~*"),"?","~?"),'DADOS_ENTIDADES'!$AI$2:$AL$35,2,FALSE),0)</f>
        <v/>
      </c>
      <c r="IH12" s="161">
        <f>IFERROR(VLOOKUP(SUBSTITUTE(SUBSTITUTE(SUBSTITUTE($EY12,"~","~~"),"*","~*"),"?","~?"),'DADOS_ENTIDADES'!$AI$2:$AL$35,2,FALSE),0)</f>
        <v/>
      </c>
      <c r="II12" s="161">
        <f>IFERROR(VLOOKUP(SUBSTITUTE(SUBSTITUTE(SUBSTITUTE($EZ12,"~","~~"),"*","~*"),"?","~?"),'DADOS_ENTIDADES'!$AI$2:$AL$35,2,FALSE),0)</f>
        <v/>
      </c>
      <c r="IJ12" s="161">
        <f>IFERROR(VLOOKUP(SUBSTITUTE(SUBSTITUTE(SUBSTITUTE($FA12,"~","~~"),"*","~*"),"?","~?"),'DADOS_ENTIDADES'!$AI$2:$AL$35,2,FALSE),0)</f>
        <v/>
      </c>
      <c r="IK12" s="161">
        <f>IFERROR(VLOOKUP(SUBSTITUTE(SUBSTITUTE(SUBSTITUTE($FB12,"~","~~"),"*","~*"),"?","~?"),'DADOS_ENTIDADES'!$AI$2:$AL$35,2,FALSE),0)</f>
        <v/>
      </c>
      <c r="IL12" s="161">
        <f>IFERROR(VLOOKUP(SUBSTITUTE(SUBSTITUTE(SUBSTITUTE($FC12,"~","~~"),"*","~*"),"?","~?"),'DADOS_ENTIDADES'!$AI$2:$AL$35,2,FALSE),0)</f>
        <v/>
      </c>
      <c r="IM12" s="161">
        <f>IFERROR(VLOOKUP(SUBSTITUTE(SUBSTITUTE(SUBSTITUTE($FD12,"~","~~"),"*","~*"),"?","~?"),'DADOS_ENTIDADES'!$AI$2:$AL$35,2,FALSE),0)</f>
        <v/>
      </c>
      <c r="IN12" s="161">
        <f>IFERROR(VLOOKUP(SUBSTITUTE(SUBSTITUTE(SUBSTITUTE($FE12,"~","~~"),"*","~*"),"?","~?"),'DADOS_ENTIDADES'!$AI$2:$AL$35,2,FALSE),0)</f>
        <v/>
      </c>
      <c r="IO12" s="161">
        <f>IF($EX12="","",IF(1&gt;$FO12,"⚠ Este talento abre no nível 1",IF($IG12&gt;1,"⚠ Categoria "&amp;$IG12&amp;": este ganho vai até a 1 · ","")&amp;IFERROR(VLOOKUP(SUBSTITUTE(SUBSTITUTE(SUBSTITUTE($EX12,"~","~~"),"*","~*"),"?","~?"),'DADOS_ENTIDADES'!$AI$2:$AL$35,3,FALSE),"")))</f>
        <v/>
      </c>
      <c r="IP12" s="161">
        <f>IF($EY12="","",IF(6&gt;$FO12,"⚠ Este talento abre no nível 6",IF($IH12&gt;1,"⚠ Categoria "&amp;$IH12&amp;": este ganho vai até a 1 · ","")&amp;IFERROR(VLOOKUP(SUBSTITUTE(SUBSTITUTE(SUBSTITUTE($EY12,"~","~~"),"*","~*"),"?","~?"),'DADOS_ENTIDADES'!$AI$2:$AL$35,3,FALSE),"")))</f>
        <v/>
      </c>
      <c r="IQ12" s="161">
        <f>IF($EZ12="","",IF(10&gt;$FO12,"⚠ Este talento abre no nível 10",IF($II12&gt;2,"⚠ Categoria "&amp;$II12&amp;": este ganho vai até a 2 · ","")&amp;IFERROR(VLOOKUP(SUBSTITUTE(SUBSTITUTE(SUBSTITUTE($EZ12,"~","~~"),"*","~*"),"?","~?"),'DADOS_ENTIDADES'!$AI$2:$AL$35,3,FALSE),"")))</f>
        <v/>
      </c>
      <c r="IR12" s="161">
        <f>IF($FA12="","",IF(14&gt;$FO12,"⚠ Este talento abre no nível 14",IF($IJ12&gt;3,"⚠ Categoria "&amp;$IJ12&amp;": este ganho vai até a 3 · ","")&amp;IFERROR(VLOOKUP(SUBSTITUTE(SUBSTITUTE(SUBSTITUTE($FA12,"~","~~"),"*","~*"),"?","~?"),'DADOS_ENTIDADES'!$AI$2:$AL$35,3,FALSE),"")))</f>
        <v/>
      </c>
      <c r="IS12" s="161">
        <f>IF($FB12="","",IF(18&gt;$FO12,"⚠ Este talento abre no nível 18",IF($IK12&gt;3,"⚠ Categoria "&amp;$IK12&amp;": este ganho vai até a 3 · ","")&amp;IFERROR(VLOOKUP(SUBSTITUTE(SUBSTITUTE(SUBSTITUTE($FB12,"~","~~"),"*","~*"),"?","~?"),'DADOS_ENTIDADES'!$AI$2:$AL$35,3,FALSE),"")))</f>
        <v/>
      </c>
      <c r="IT12" s="161">
        <f>IF($FC12="","",IF(22&gt;$FO12,"⚠ Este talento abre no nível 22",IF($IL12&gt;3,"⚠ Categoria "&amp;$IL12&amp;": este ganho vai até a 3 · ","")&amp;IFERROR(VLOOKUP(SUBSTITUTE(SUBSTITUTE(SUBSTITUTE($FC12,"~","~~"),"*","~*"),"?","~?"),'DADOS_ENTIDADES'!$AI$2:$AL$35,3,FALSE),"")))</f>
        <v/>
      </c>
      <c r="IU12" s="161">
        <f>IF($FD12="","",IF(26&gt;$FO12,"⚠ Este talento abre no nível 26",IF($IM12&gt;3,"⚠ Categoria "&amp;$IM12&amp;": este ganho vai até a 3 · ","")&amp;IFERROR(VLOOKUP(SUBSTITUTE(SUBSTITUTE(SUBSTITUTE($FD12,"~","~~"),"*","~*"),"?","~?"),'DADOS_ENTIDADES'!$AI$2:$AL$35,3,FALSE),"")))</f>
        <v/>
      </c>
      <c r="IV12" s="161">
        <f>IF($FE12="","",IF(30&gt;$FO12,"⚠ Este talento abre no nível 30",IF($IN12&gt;3,"⚠ Categoria "&amp;$IN12&amp;": este ganho vai até a 3 · ","")&amp;IFERROR(VLOOKUP(SUBSTITUTE(SUBSTITUTE(SUBSTITUTE($FE12,"~","~~"),"*","~*"),"?","~?"),'DADOS_ENTIDADES'!$AI$2:$AL$35,3,FALSE),"")))</f>
        <v/>
      </c>
      <c r="IW12" s="161">
        <f>IF($FF12="","",IFERROR(VLOOKUP(SUBSTITUTE(SUBSTITUTE(SUBSTITUTE($FF12,"~","~~"),"*","~*"),"?","~?"),'DADOS_ENTIDADES'!$AI$2:$AL$35,3,FALSE),""))</f>
        <v/>
      </c>
      <c r="IX12" s="161">
        <f>IF($FG12="","",IFERROR(VLOOKUP(SUBSTITUTE(SUBSTITUTE(SUBSTITUTE($FG12,"~","~~"),"*","~*"),"?","~?"),'DADOS_ENTIDADES'!$AI$2:$AL$35,3,FALSE),""))</f>
        <v/>
      </c>
      <c r="IY12" s="161">
        <f>IF($FH12="","",IFERROR(VLOOKUP(SUBSTITUTE(SUBSTITUTE(SUBSTITUTE($FH12,"~","~~"),"*","~*"),"?","~?"),'DADOS_ENTIDADES'!$AI$2:$AL$35,3,FALSE),""))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IFERROR(MATCH(SUBSTITUTE(SUBSTITUTE(SUBSTITUTE($MU12,"~","~~"),"*","~*"),"?","~?"),'DADOS_FORMAS'!$FZ$2:$FZ$21,0),0)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IF($MS12=0,0,IF($NJ12=0,0,INDEX('DADOS_FORMAS'!$GB$2:$GB$21,$NJ12)))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IF($NJ12=0,0,IF(INDEX('DADOS_FORMAS'!$GA$2:$GA$21,$NJ12)="",0,IF((COUNTIF(INDEX($EL$2:$EP$13,$MO12,0),INDEX('DADOS_FORMAS'!$GA$2:$GA$21,$NJ12))+COUNTIF(INDEX($QV$2:$QY$13,$MO12,0),INDEX('DADOS_FORMAS'!$GA$2:$GA$21,$NJ12)))=0,1,0)))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IFERROR(N(AND(INDEX('DADOS_FORMAS'!$AO$2:$AO$21,MATCH(SUBSTITUTE(SUBSTITUTE(SUBSTITUTE($MU12,"~","~~"),"*","~*"),"?","~?"),'DADOS_FORMAS'!$AH$2:$AH$21,0))="Acerto",$OH12=1)),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IF($NJ12=0,0,INDEX('DADOS_FORMAS'!$GC$2:$GC$21,$NJ12))</f>
        <v/>
      </c>
      <c r="OG12" s="161">
        <f>IF($NJ12=0,0,INDEX('DADOS_FORMAS'!$GD$2:$GD$21,$NJ12))</f>
        <v/>
      </c>
      <c r="OH12" s="161">
        <f>IF($NJ12=0,0,INDEX('DADOS_FORMAS'!$GF$2:$GF$21,$NJ12))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IF(IFERROR(INDEX('DADOS_FORMAS'!$AS$2:$AS$21,MATCH(SUBSTITUTE(SUBSTITUTE(SUBSTITUTE($MU12,"~","~~"),"*","~*"),"?","~?"),'DADOS_FORMAS'!$AH$2:$AH$21,0)),"")="",0,IFERROR(N(VLOOKUP(SUBSTITUTE(SUBSTITUTE(SUBSTITUTE(IFERROR(INDEX('DADOS_FORMAS'!$AS$2:$AS$21,MATCH(SUBSTITUTE(SUBSTITUTE(SUBSTITUTE($MU12,"~","~~"),"*","~*"),"?","~?"),'DADOS_FORMAS'!$AH$2:$AH$21,0)),""),"~","~~"),"*","~*"),"?","~?"),'DADOS_RESTRICOES'!$M$2:$Q$54,3,FALSE)=1),0))</f>
        <v/>
      </c>
      <c r="OT12" s="161">
        <f>COUNTIF($OI12:$OJ12,2)+IF(IFERROR(INDEX('DADOS_FORMAS'!$AS$2:$AS$21,MATCH(SUBSTITUTE(SUBSTITUTE(SUBSTITUTE($MU12,"~","~~"),"*","~*"),"?","~?"),'DADOS_FORMAS'!$AH$2:$AH$21,0)),"")="",0,IFERROR(N(VLOOKUP(SUBSTITUTE(SUBSTITUTE(SUBSTITUTE(IFERROR(INDEX('DADOS_FORMAS'!$AS$2:$AS$21,MATCH(SUBSTITUTE(SUBSTITUTE(SUBSTITUTE($MU12,"~","~~"),"*","~*"),"?","~?"),'DADOS_FORMAS'!$AH$2:$AH$21,0)),""),"~","~~"),"*","~*"),"?","~?"),'DADOS_RESTRICOES'!$M$2:$Q$54,3,FALSE)=2),0))</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",TRUE,IF($ND12=0,"",TEXTJOIN(" · ",TRUE,IF($MQ12&gt;$NE12,"Este lugar abre no nível "&amp;$MQ12,""),IF($MS12&gt;$NF12,"Classe "&amp;$MS12&amp;": o nível "&amp;$NE12&amp;" libera até a "&amp;$NF12,""),IF($NX12=1,"A Forma "&amp;$MU12&amp;" pede "&amp;INDEX('DADOS_FORMAS'!$GA$2:$GA$21,$NJ12)&amp;" aberta",""),IF(AND($MS12=0,$NJ12&gt;0,IF($NJ12=0,0,INDEX('DADOS_FORMAS'!$GJ$2:$GJ$21,$NJ12))=0),$MU12&amp;"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Corpo")&gt;0,$OF12=0,OR($RO12="Cone",$RO12="Linha")),"Corpo a Corpo não entra em "&amp;$MU12,""),IF(AND(COUNTIF($OK12:$OL12,"Corpo a Corpo")&gt;0,$RP12="Corpo a Corpo"),"A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"&amp;$NC12,""))),IF(AND($MU12&lt;&gt;"",COUNTIF('DADOS_FORMAS'!$AH$2:$AH$21,SUBSTITUTE(SUBSTITUTE(SUBSTITUTE($MU12,"~","~~"),"*","~*"),"?","~?"))=0),"Forma não cadastrada ou com erro: "&amp;$MU12,""),IF(AND(IFERROR(INDEX('DADOS_FORMAS'!$AS$2:$AS$21,MATCH(SUBSTITUTE(SUBSTITUTE(SUBSTITUTE($MU12,"~","~~"),"*","~*"),"?","~?"),'DADOS_FORMAS'!$AH$2:$AH$21,0)),"")&lt;&gt;"",OR(IFERROR(VLOOKUP(SUBSTITUTE(SUBSTITUTE(SUBSTITUTE(IFERROR(INDEX('DADOS_FORMAS'!$AS$2:$AS$21,MATCH(SUBSTITUTE(SUBSTITUTE(SUBSTITUTE($MU12,"~","~~"),"*","~*"),"?","~?"),'DADOS_FORMAS'!$AH$2:$AH$21,0)),""),"~","~~"),"*","~*"),"?","~?"),'DADOS_RESTRICOES'!$M$2:$Q$54,2,FALSE),"")=$OK12,IFERROR(VLOOKUP(SUBSTITUTE(SUBSTITUTE(SUBSTITUTE(IFERROR(INDEX('DADOS_FORMAS'!$AS$2:$AS$21,MATCH(SUBSTITUTE(SUBSTITUTE(SUBSTITUTE($MU12,"~","~~"),"*","~*"),"?","~?"),'DADOS_FORMAS'!$AH$2:$AH$21,0)),""),"~","~~"),"*","~*"),"?","~?"),'DADOS_RESTRICOES'!$M$2:$Q$54,2,FALSE),"")=$OL12)),"Restrição repetida, contando a embutida",""),IF(IF(IFERROR(INDEX('DADOS_FORMAS'!$AS$2:$AS$21,MATCH(SUBSTITUTE(SUBSTITUTE(SUBSTITUTE($MU12,"~","~~"),"*","~*"),"?","~?"),'DADOS_FORMAS'!$AH$2:$AH$21,0)),"")="",0,IFERROR(N(VLOOKUP(SUBSTITUTE(SUBSTITUTE(SUBSTITUTE(IFERROR(INDEX('DADOS_FORMAS'!$AS$2:$AS$21,MATCH(SUBSTITUTE(SUBSTITUTE(SUBSTITUTE($MU12,"~","~~"),"*","~*"),"?","~?"),'DADOS_FORMAS'!$AH$2:$AH$21,0)),""),"~","~~"),"*","~*"),"?","~?"),'DADOS_RESTRICOES'!$M$2:$Q$54,4,FALSE)=1),0))+IF($NB12="",0,IFERROR(N(VLOOKUP(SUBSTITUTE(SUBSTITUTE(SUBSTITUTE($NB12,"~","~~"),"*","~*"),"?","~?"),'DADOS_RESTRICOES'!$M$2:$Q$54,4,FALSE)=1),0))+IF($NC12="",0,IFERROR(N(VLOOKUP(SUBSTITUTE(SUBSTITUTE(SUBSTITUTE($NC12,"~","~~"),"*","~*"),"?","~?"),'DADOS_RESTRICOES'!$M$2:$Q$54,4,FALSE)=1),0))&gt;1,"Duas Restrições de frequência, contando a embutida",""),IF(AND(IFERROR(VLOOKUP(SUBSTITUTE(SUBSTITUTE(SUBSTITUTE(IFERROR(INDEX('DADOS_FORMAS'!$AS$2:$AS$21,MATCH(SUBSTITUTE(SUBSTITUTE(SUBSTITUTE($MU12,"~","~~"),"*","~*"),"?","~?"),'DADOS_FORMAS'!$AH$2:$AH$21,0)),""),"~","~~"),"*","~*"),"?","~?"),'DADOS_RESTRICOES'!$M$2:$Q$54,2,FALSE),"")="Tudo ou Nada",$OH12=0),"Tudo ou Nada exige TR",""),IF(AND(IFERROR(VLOOKUP(SUBSTITUTE(SUBSTITUTE(SUBSTITUTE(IFERROR(INDEX('DADOS_FORMAS'!$AS$2:$AS$21,MATCH(SUBSTITUTE(SUBSTITUTE(SUBSTITUTE($MU12,"~","~~"),"*","~*"),"?","~?"),'DADOS_FORMAS'!$AH$2:$AH$21,0)),""),"~","~~"),"*","~*"),"?","~?"),'DADOS_RESTRICOES'!$M$2:$Q$54,2,FALSE),"")="Corpo a Corpo",OR($RO12="Cone",$RO12="Linha")),"Corpo a Corpo não entra em Cone/Linha","")))</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dela",IF(COUNTIF($RQ12:$RS12,"Atrasar")&gt;0,"Sua Ação Completa",IF(COUNTIF($RK12:$RN12,"Rápido")&gt;0,"Sua Bônus",IF(COUNTIF($RK12:$RN12,"Reação")&gt;0,"Sua Reação","Sua Padrão")))&amp;" + a básica dela"&amp;IF(COUNTIF($RK12:$RN12,"Reação")&gt;0," e a coletiva","")&amp;IF(COUNTIF($RQ12:$RS12,"Carregar")&gt;0," · em dois turnos","")))</f>
        <v/>
      </c>
      <c r="QC12" s="161">
        <f>IF($MW12&lt;&gt;"",$MW12,IF($NJ12=0,"",INDEX('DADOS_FORMAS'!$GE$2:$GE$21,$NJ12)))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IF($NJ12=0,0,CHOOSE(1+INDEX('DADOS_FORMAS'!$GG$2:$GG$21,$NJ12),0,$QF12,$QG12,$QF12+$QG12))</f>
        <v/>
      </c>
      <c r="QI12" s="161">
        <f>IF($NJ12=0,0,CHOOSE(1+INDEX('DADOS_FORMAS'!$GH$2:$GH$21,$NJ12),0,$QF12,$QG12,$QF12+$QG12))</f>
        <v/>
      </c>
      <c r="QJ12" s="161">
        <f>IF(OR($ND12=0,$NJ12=0),"",INDEX('DADOS_FORMAS'!$HU$2:$HZ$81,($NJ12-1)*4+IF($MS12=0,1,IF($MS12&lt;=5,2,IF($MS12=6,3,4))),1+MIN(5,$QH12))&amp;INDEX('DADOS_FORMAS'!$IA$2:$IF$81,($NJ12-1)*4+IF($MS12=0,1,IF($MS12&lt;=5,2,IF($MS12=6,3,4))),1+MIN(5,$QI12))&amp;IF(INDEX('DADOS_FORMAS'!$GI$2:$GI$21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c r="RO12">
        <f>IFERROR(INDEX('DADOS_FORMAS'!$BJ$2:$BJ$21,MATCH(SUBSTITUTE(SUBSTITUTE(SUBSTITUTE($MU12,"~","~~"),"*","~*"),"?","~?"),'DADOS_FORMAS'!$AH$2:$AH$21,0)),"")</f>
        <v/>
      </c>
      <c r="RP12">
        <f>IFERROR(VLOOKUP(SUBSTITUTE(SUBSTITUTE(SUBSTITUTE(IFERROR(INDEX('DADOS_FORMAS'!$AS$2:$AS$21,MATCH(SUBSTITUTE(SUBSTITUTE(SUBSTITUTE($MU12,"~","~~"),"*","~*"),"?","~?"),'DADOS_FORMAS'!$AH$2:$AH$21,0)),""),"~","~~"),"*","~*"),"?","~?"),'DADOS_RESTRICOES'!$M$2:$Q$54,2,FALSE),"")</f>
        <v/>
      </c>
      <c r="RQ12">
        <f>$OK12</f>
        <v/>
      </c>
      <c r="RR12">
        <f>$OL12</f>
        <v/>
      </c>
      <c r="RS12">
        <f>$RP12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IF(IFERROR(VLOOKUP(SUBSTITUTE(SUBSTITUTE(SUBSTITUTE($DF13,"~","~~"),"*","~*"),"?","~?"),'DADOS_ENTIDADES'!$M$2:$P$16,2,FALSE),0)=1,1,0)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IF(AND(IFERROR(VLOOKUP(SUBSTITUTE(SUBSTITUTE(SUBSTITUTE($DF13,"~","~~"),"*","~*"),"?","~?"),'DADOS_ENTIDADES'!$M$2:$P$16,3,FALSE),0)=1,$DI13="Com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IF(IFERROR(VLOOKUP(SUBSTITUTE(SUBSTITUTE(SUBSTITUTE($DF13,"~","~~"),"*","~*"),"?","~?"),'DADOS_ENTIDADES'!$M$2:$P$16,4,FALSE),0)=1,"RESERVA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IFERROR(VLOOKUP(SUBSTITUTE(SUBSTITUTE(SUBSTITUTE($EX13,"~","~~"),"*","~*"),"?","~?"),'DADOS_ENTIDADES'!$AI$2:$AL$35,2,FALSE),0)</f>
        <v/>
      </c>
      <c r="IH13" s="161">
        <f>IFERROR(VLOOKUP(SUBSTITUTE(SUBSTITUTE(SUBSTITUTE($EY13,"~","~~"),"*","~*"),"?","~?"),'DADOS_ENTIDADES'!$AI$2:$AL$35,2,FALSE),0)</f>
        <v/>
      </c>
      <c r="II13" s="161">
        <f>IFERROR(VLOOKUP(SUBSTITUTE(SUBSTITUTE(SUBSTITUTE($EZ13,"~","~~"),"*","~*"),"?","~?"),'DADOS_ENTIDADES'!$AI$2:$AL$35,2,FALSE),0)</f>
        <v/>
      </c>
      <c r="IJ13" s="161">
        <f>IFERROR(VLOOKUP(SUBSTITUTE(SUBSTITUTE(SUBSTITUTE($FA13,"~","~~"),"*","~*"),"?","~?"),'DADOS_ENTIDADES'!$AI$2:$AL$35,2,FALSE),0)</f>
        <v/>
      </c>
      <c r="IK13" s="161">
        <f>IFERROR(VLOOKUP(SUBSTITUTE(SUBSTITUTE(SUBSTITUTE($FB13,"~","~~"),"*","~*"),"?","~?"),'DADOS_ENTIDADES'!$AI$2:$AL$35,2,FALSE),0)</f>
        <v/>
      </c>
      <c r="IL13" s="161">
        <f>IFERROR(VLOOKUP(SUBSTITUTE(SUBSTITUTE(SUBSTITUTE($FC13,"~","~~"),"*","~*"),"?","~?"),'DADOS_ENTIDADES'!$AI$2:$AL$35,2,FALSE),0)</f>
        <v/>
      </c>
      <c r="IM13" s="161">
        <f>IFERROR(VLOOKUP(SUBSTITUTE(SUBSTITUTE(SUBSTITUTE($FD13,"~","~~"),"*","~*"),"?","~?"),'DADOS_ENTIDADES'!$AI$2:$AL$35,2,FALSE),0)</f>
        <v/>
      </c>
      <c r="IN13" s="161">
        <f>IFERROR(VLOOKUP(SUBSTITUTE(SUBSTITUTE(SUBSTITUTE($FE13,"~","~~"),"*","~*"),"?","~?"),'DADOS_ENTIDADES'!$AI$2:$AL$35,2,FALSE),0)</f>
        <v/>
      </c>
      <c r="IO13" s="161">
        <f>IF($EX13="","",IF(1&gt;$FO13,"⚠ Este talento abre no nível 1",IF($IG13&gt;1,"⚠ Categoria "&amp;$IG13&amp;": este ganho vai até a 1 · ","")&amp;IFERROR(VLOOKUP(SUBSTITUTE(SUBSTITUTE(SUBSTITUTE($EX13,"~","~~"),"*","~*"),"?","~?"),'DADOS_ENTIDADES'!$AI$2:$AL$35,3,FALSE),"")))</f>
        <v/>
      </c>
      <c r="IP13" s="161">
        <f>IF($EY13="","",IF(6&gt;$FO13,"⚠ Este talento abre no nível 6",IF($IH13&gt;1,"⚠ Categoria "&amp;$IH13&amp;": este ganho vai até a 1 · ","")&amp;IFERROR(VLOOKUP(SUBSTITUTE(SUBSTITUTE(SUBSTITUTE($EY13,"~","~~"),"*","~*"),"?","~?"),'DADOS_ENTIDADES'!$AI$2:$AL$35,3,FALSE),"")))</f>
        <v/>
      </c>
      <c r="IQ13" s="161">
        <f>IF($EZ13="","",IF(10&gt;$FO13,"⚠ Este talento abre no nível 10",IF($II13&gt;2,"⚠ Categoria "&amp;$II13&amp;": este ganho vai até a 2 · ","")&amp;IFERROR(VLOOKUP(SUBSTITUTE(SUBSTITUTE(SUBSTITUTE($EZ13,"~","~~"),"*","~*"),"?","~?"),'DADOS_ENTIDADES'!$AI$2:$AL$35,3,FALSE),"")))</f>
        <v/>
      </c>
      <c r="IR13" s="161">
        <f>IF($FA13="","",IF(14&gt;$FO13,"⚠ Este talento abre no nível 14",IF($IJ13&gt;3,"⚠ Categoria "&amp;$IJ13&amp;": este ganho vai até a 3 · ","")&amp;IFERROR(VLOOKUP(SUBSTITUTE(SUBSTITUTE(SUBSTITUTE($FA13,"~","~~"),"*","~*"),"?","~?"),'DADOS_ENTIDADES'!$AI$2:$AL$35,3,FALSE),"")))</f>
        <v/>
      </c>
      <c r="IS13" s="161">
        <f>IF($FB13="","",IF(18&gt;$FO13,"⚠ Este talento abre no nível 18",IF($IK13&gt;3,"⚠ Categoria "&amp;$IK13&amp;": este ganho vai até a 3 · ","")&amp;IFERROR(VLOOKUP(SUBSTITUTE(SUBSTITUTE(SUBSTITUTE($FB13,"~","~~"),"*","~*"),"?","~?"),'DADOS_ENTIDADES'!$AI$2:$AL$35,3,FALSE),"")))</f>
        <v/>
      </c>
      <c r="IT13" s="161">
        <f>IF($FC13="","",IF(22&gt;$FO13,"⚠ Este talento abre no nível 22",IF($IL13&gt;3,"⚠ Categoria "&amp;$IL13&amp;": este ganho vai até a 3 · ","")&amp;IFERROR(VLOOKUP(SUBSTITUTE(SUBSTITUTE(SUBSTITUTE($FC13,"~","~~"),"*","~*"),"?","~?"),'DADOS_ENTIDADES'!$AI$2:$AL$35,3,FALSE),"")))</f>
        <v/>
      </c>
      <c r="IU13" s="161">
        <f>IF($FD13="","",IF(26&gt;$FO13,"⚠ Este talento abre no nível 26",IF($IM13&gt;3,"⚠ Categoria "&amp;$IM13&amp;": este ganho vai até a 3 · ","")&amp;IFERROR(VLOOKUP(SUBSTITUTE(SUBSTITUTE(SUBSTITUTE($FD13,"~","~~"),"*","~*"),"?","~?"),'DADOS_ENTIDADES'!$AI$2:$AL$35,3,FALSE),"")))</f>
        <v/>
      </c>
      <c r="IV13" s="161">
        <f>IF($FE13="","",IF(30&gt;$FO13,"⚠ Este talento abre no nível 30",IF($IN13&gt;3,"⚠ Categoria "&amp;$IN13&amp;": este ganho vai até a 3 · ","")&amp;IFERROR(VLOOKUP(SUBSTITUTE(SUBSTITUTE(SUBSTITUTE($FE13,"~","~~"),"*","~*"),"?","~?"),'DADOS_ENTIDADES'!$AI$2:$AL$35,3,FALSE),"")))</f>
        <v/>
      </c>
      <c r="IW13" s="161">
        <f>IF($FF13="","",IFERROR(VLOOKUP(SUBSTITUTE(SUBSTITUTE(SUBSTITUTE($FF13,"~","~~"),"*","~*"),"?","~?"),'DADOS_ENTIDADES'!$AI$2:$AL$35,3,FALSE),""))</f>
        <v/>
      </c>
      <c r="IX13" s="161">
        <f>IF($FG13="","",IFERROR(VLOOKUP(SUBSTITUTE(SUBSTITUTE(SUBSTITUTE($FG13,"~","~~"),"*","~*"),"?","~?"),'DADOS_ENTIDADES'!$AI$2:$AL$35,3,FALSE),""))</f>
        <v/>
      </c>
      <c r="IY13" s="161">
        <f>IF($FH13="","",IFERROR(VLOOKUP(SUBSTITUTE(SUBSTITUTE(SUBSTITUTE($FH13,"~","~~"),"*","~*"),"?","~?"),'DADOS_ENTIDADES'!$AI$2:$AL$35,3,FALSE),""))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IFERROR(MATCH(SUBSTITUTE(SUBSTITUTE(SUBSTITUTE($MU13,"~","~~"),"*","~*"),"?","~?"),'DADOS_FORMAS'!$FZ$2:$FZ$21,0),0)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IF($MS13=0,0,IF($NJ13=0,0,INDEX('DADOS_FORMAS'!$GB$2:$GB$21,$NJ13)))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IF($NJ13=0,0,IF(INDEX('DADOS_FORMAS'!$GA$2:$GA$21,$NJ13)="",0,IF((COUNTIF(INDEX($EL$2:$EP$13,$MO13,0),INDEX('DADOS_FORMAS'!$GA$2:$GA$21,$NJ13))+COUNTIF(INDEX($QV$2:$QY$13,$MO13,0),INDEX('DADOS_FORMAS'!$GA$2:$GA$21,$NJ13)))=0,1,0)))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IFERROR(N(AND(INDEX('DADOS_FORMAS'!$AO$2:$AO$21,MATCH(SUBSTITUTE(SUBSTITUTE(SUBSTITUTE($MU13,"~","~~"),"*","~*"),"?","~?"),'DADOS_FORMAS'!$AH$2:$AH$21,0))="Acerto",$OH13=1)),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IF($NJ13=0,0,INDEX('DADOS_FORMAS'!$GC$2:$GC$21,$NJ13))</f>
        <v/>
      </c>
      <c r="OG13" s="161">
        <f>IF($NJ13=0,0,INDEX('DADOS_FORMAS'!$GD$2:$GD$21,$NJ13))</f>
        <v/>
      </c>
      <c r="OH13" s="161">
        <f>IF($NJ13=0,0,INDEX('DADOS_FORMAS'!$GF$2:$GF$21,$NJ13))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IF(IFERROR(INDEX('DADOS_FORMAS'!$AS$2:$AS$21,MATCH(SUBSTITUTE(SUBSTITUTE(SUBSTITUTE($MU13,"~","~~"),"*","~*"),"?","~?"),'DADOS_FORMAS'!$AH$2:$AH$21,0)),"")="",0,IFERROR(N(VLOOKUP(SUBSTITUTE(SUBSTITUTE(SUBSTITUTE(IFERROR(INDEX('DADOS_FORMAS'!$AS$2:$AS$21,MATCH(SUBSTITUTE(SUBSTITUTE(SUBSTITUTE($MU13,"~","~~"),"*","~*"),"?","~?"),'DADOS_FORMAS'!$AH$2:$AH$21,0)),""),"~","~~"),"*","~*"),"?","~?"),'DADOS_RESTRICOES'!$M$2:$Q$54,3,FALSE)=1),0))</f>
        <v/>
      </c>
      <c r="OT13" s="161">
        <f>COUNTIF($OI13:$OJ13,2)+IF(IFERROR(INDEX('DADOS_FORMAS'!$AS$2:$AS$21,MATCH(SUBSTITUTE(SUBSTITUTE(SUBSTITUTE($MU13,"~","~~"),"*","~*"),"?","~?"),'DADOS_FORMAS'!$AH$2:$AH$21,0)),"")="",0,IFERROR(N(VLOOKUP(SUBSTITUTE(SUBSTITUTE(SUBSTITUTE(IFERROR(INDEX('DADOS_FORMAS'!$AS$2:$AS$21,MATCH(SUBSTITUTE(SUBSTITUTE(SUBSTITUTE($MU13,"~","~~"),"*","~*"),"?","~?"),'DADOS_FORMAS'!$AH$2:$AH$21,0)),""),"~","~~"),"*","~*"),"?","~?"),'DADOS_RESTRICOES'!$M$2:$Q$54,3,FALSE)=2),0))</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",TRUE,IF($ND13=0,"",TEXTJOIN(" · ",TRUE,IF($MQ13&gt;$NE13,"Este lugar abre no nível "&amp;$MQ13,""),IF($MS13&gt;$NF13,"Classe "&amp;$MS13&amp;": o nível "&amp;$NE13&amp;" libera até a "&amp;$NF13,""),IF($NX13=1,"A Forma "&amp;$MU13&amp;" pede "&amp;INDEX('DADOS_FORMAS'!$GA$2:$GA$21,$NJ13)&amp;" aberta",""),IF(AND($MS13=0,$NJ13&gt;0,IF($NJ13=0,0,INDEX('DADOS_FORMAS'!$GJ$2:$GJ$21,$NJ13))=0),$MU13&amp;"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Corpo")&gt;0,$OF13=0,OR($RO13="Cone",$RO13="Linha")),"Corpo a Corpo não entra em "&amp;$MU13,""),IF(AND(COUNTIF($OK13:$OL13,"Corpo a Corpo")&gt;0,$RP13="Corpo a Corpo"),"A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"&amp;$NC13,""))),IF(AND($MU13&lt;&gt;"",COUNTIF('DADOS_FORMAS'!$AH$2:$AH$21,SUBSTITUTE(SUBSTITUTE(SUBSTITUTE($MU13,"~","~~"),"*","~*"),"?","~?"))=0),"Forma não cadastrada ou com erro: "&amp;$MU13,""),IF(AND(IFERROR(INDEX('DADOS_FORMAS'!$AS$2:$AS$21,MATCH(SUBSTITUTE(SUBSTITUTE(SUBSTITUTE($MU13,"~","~~"),"*","~*"),"?","~?"),'DADOS_FORMAS'!$AH$2:$AH$21,0)),"")&lt;&gt;"",OR(IFERROR(VLOOKUP(SUBSTITUTE(SUBSTITUTE(SUBSTITUTE(IFERROR(INDEX('DADOS_FORMAS'!$AS$2:$AS$21,MATCH(SUBSTITUTE(SUBSTITUTE(SUBSTITUTE($MU13,"~","~~"),"*","~*"),"?","~?"),'DADOS_FORMAS'!$AH$2:$AH$21,0)),""),"~","~~"),"*","~*"),"?","~?"),'DADOS_RESTRICOES'!$M$2:$Q$54,2,FALSE),"")=$OK13,IFERROR(VLOOKUP(SUBSTITUTE(SUBSTITUTE(SUBSTITUTE(IFERROR(INDEX('DADOS_FORMAS'!$AS$2:$AS$21,MATCH(SUBSTITUTE(SUBSTITUTE(SUBSTITUTE($MU13,"~","~~"),"*","~*"),"?","~?"),'DADOS_FORMAS'!$AH$2:$AH$21,0)),""),"~","~~"),"*","~*"),"?","~?"),'DADOS_RESTRICOES'!$M$2:$Q$54,2,FALSE),"")=$OL13)),"Restrição repetida, contando a embutida",""),IF(IF(IFERROR(INDEX('DADOS_FORMAS'!$AS$2:$AS$21,MATCH(SUBSTITUTE(SUBSTITUTE(SUBSTITUTE($MU13,"~","~~"),"*","~*"),"?","~?"),'DADOS_FORMAS'!$AH$2:$AH$21,0)),"")="",0,IFERROR(N(VLOOKUP(SUBSTITUTE(SUBSTITUTE(SUBSTITUTE(IFERROR(INDEX('DADOS_FORMAS'!$AS$2:$AS$21,MATCH(SUBSTITUTE(SUBSTITUTE(SUBSTITUTE($MU13,"~","~~"),"*","~*"),"?","~?"),'DADOS_FORMAS'!$AH$2:$AH$21,0)),""),"~","~~"),"*","~*"),"?","~?"),'DADOS_RESTRICOES'!$M$2:$Q$54,4,FALSE)=1),0))+IF($NB13="",0,IFERROR(N(VLOOKUP(SUBSTITUTE(SUBSTITUTE(SUBSTITUTE($NB13,"~","~~"),"*","~*"),"?","~?"),'DADOS_RESTRICOES'!$M$2:$Q$54,4,FALSE)=1),0))+IF($NC13="",0,IFERROR(N(VLOOKUP(SUBSTITUTE(SUBSTITUTE(SUBSTITUTE($NC13,"~","~~"),"*","~*"),"?","~?"),'DADOS_RESTRICOES'!$M$2:$Q$54,4,FALSE)=1),0))&gt;1,"Duas Restrições de frequência, contando a embutida",""),IF(AND(IFERROR(VLOOKUP(SUBSTITUTE(SUBSTITUTE(SUBSTITUTE(IFERROR(INDEX('DADOS_FORMAS'!$AS$2:$AS$21,MATCH(SUBSTITUTE(SUBSTITUTE(SUBSTITUTE($MU13,"~","~~"),"*","~*"),"?","~?"),'DADOS_FORMAS'!$AH$2:$AH$21,0)),""),"~","~~"),"*","~*"),"?","~?"),'DADOS_RESTRICOES'!$M$2:$Q$54,2,FALSE),"")="Tudo ou Nada",$OH13=0),"Tudo ou Nada exige TR",""),IF(AND(IFERROR(VLOOKUP(SUBSTITUTE(SUBSTITUTE(SUBSTITUTE(IFERROR(INDEX('DADOS_FORMAS'!$AS$2:$AS$21,MATCH(SUBSTITUTE(SUBSTITUTE(SUBSTITUTE($MU13,"~","~~"),"*","~*"),"?","~?"),'DADOS_FORMAS'!$AH$2:$AH$21,0)),""),"~","~~"),"*","~*"),"?","~?"),'DADOS_RESTRICOES'!$M$2:$Q$54,2,FALSE),"")="Corpo a Corpo",OR($RO13="Cone",$RO13="Linha")),"Corpo a Corpo não entra em Cone/Linha","")))</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dela",IF(COUNTIF($RQ13:$RS13,"Atrasar")&gt;0,"Sua Ação Completa",IF(COUNTIF($RK13:$RN13,"Rápido")&gt;0,"Sua Bônus",IF(COUNTIF($RK13:$RN13,"Reação")&gt;0,"Sua Reação","Sua Padrão")))&amp;" + a básica dela"&amp;IF(COUNTIF($RK13:$RN13,"Reação")&gt;0," e a coletiva","")&amp;IF(COUNTIF($RQ13:$RS13,"Carregar")&gt;0," · em dois turnos","")))</f>
        <v/>
      </c>
      <c r="QC13" s="161">
        <f>IF($MW13&lt;&gt;"",$MW13,IF($NJ13=0,"",INDEX('DADOS_FORMAS'!$GE$2:$GE$21,$NJ13)))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IF($NJ13=0,0,CHOOSE(1+INDEX('DADOS_FORMAS'!$GG$2:$GG$21,$NJ13),0,$QF13,$QG13,$QF13+$QG13))</f>
        <v/>
      </c>
      <c r="QI13" s="161">
        <f>IF($NJ13=0,0,CHOOSE(1+INDEX('DADOS_FORMAS'!$GH$2:$GH$21,$NJ13),0,$QF13,$QG13,$QF13+$QG13))</f>
        <v/>
      </c>
      <c r="QJ13" s="161">
        <f>IF(OR($ND13=0,$NJ13=0),"",INDEX('DADOS_FORMAS'!$HU$2:$HZ$81,($NJ13-1)*4+IF($MS13=0,1,IF($MS13&lt;=5,2,IF($MS13=6,3,4))),1+MIN(5,$QH13))&amp;INDEX('DADOS_FORMAS'!$IA$2:$IF$81,($NJ13-1)*4+IF($MS13=0,1,IF($MS13&lt;=5,2,IF($MS13=6,3,4))),1+MIN(5,$QI13))&amp;IF(INDEX('DADOS_FORMAS'!$GI$2:$GI$21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c r="RO13">
        <f>IFERROR(INDEX('DADOS_FORMAS'!$BJ$2:$BJ$21,MATCH(SUBSTITUTE(SUBSTITUTE(SUBSTITUTE($MU13,"~","~~"),"*","~*"),"?","~?"),'DADOS_FORMAS'!$AH$2:$AH$21,0)),"")</f>
        <v/>
      </c>
      <c r="RP13">
        <f>IFERROR(VLOOKUP(SUBSTITUTE(SUBSTITUTE(SUBSTITUTE(IFERROR(INDEX('DADOS_FORMAS'!$AS$2:$AS$21,MATCH(SUBSTITUTE(SUBSTITUTE(SUBSTITUTE($MU13,"~","~~"),"*","~*"),"?","~?"),'DADOS_FORMAS'!$AH$2:$AH$21,0)),""),"~","~~"),"*","~*"),"?","~?"),'DADOS_RESTRICOES'!$M$2:$Q$54,2,FALSE),"")</f>
        <v/>
      </c>
      <c r="RQ13">
        <f>$OK13</f>
        <v/>
      </c>
      <c r="RR13">
        <f>$OL13</f>
        <v/>
      </c>
      <c r="RS13">
        <f>$RP13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IFERROR(MATCH(SUBSTITUTE(SUBSTITUTE(SUBSTITUTE($MU14,"~","~~"),"*","~*"),"?","~?"),'DADOS_FORMAS'!$FZ$2:$FZ$21,0),0)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IF($MS14=0,0,IF($NJ14=0,0,INDEX('DADOS_FORMAS'!$GB$2:$GB$21,$NJ14)))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IF($NJ14=0,0,IF(INDEX('DADOS_FORMAS'!$GA$2:$GA$21,$NJ14)="",0,IF((COUNTIF(INDEX($EL$2:$EP$13,$MO14,0),INDEX('DADOS_FORMAS'!$GA$2:$GA$21,$NJ14))+COUNTIF(INDEX($QV$2:$QY$13,$MO14,0),INDEX('DADOS_FORMAS'!$GA$2:$GA$21,$NJ14)))=0,1,0)))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IFERROR(N(AND(INDEX('DADOS_FORMAS'!$AO$2:$AO$21,MATCH(SUBSTITUTE(SUBSTITUTE(SUBSTITUTE($MU14,"~","~~"),"*","~*"),"?","~?"),'DADOS_FORMAS'!$AH$2:$AH$21,0))="Acerto",$OH14=1)),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IF($NJ14=0,0,INDEX('DADOS_FORMAS'!$GC$2:$GC$21,$NJ14))</f>
        <v/>
      </c>
      <c r="OG14" s="161">
        <f>IF($NJ14=0,0,INDEX('DADOS_FORMAS'!$GD$2:$GD$21,$NJ14))</f>
        <v/>
      </c>
      <c r="OH14" s="161">
        <f>IF($NJ14=0,0,INDEX('DADOS_FORMAS'!$GF$2:$GF$21,$NJ14))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IF(IFERROR(INDEX('DADOS_FORMAS'!$AS$2:$AS$21,MATCH(SUBSTITUTE(SUBSTITUTE(SUBSTITUTE($MU14,"~","~~"),"*","~*"),"?","~?"),'DADOS_FORMAS'!$AH$2:$AH$21,0)),"")="",0,IFERROR(N(VLOOKUP(SUBSTITUTE(SUBSTITUTE(SUBSTITUTE(IFERROR(INDEX('DADOS_FORMAS'!$AS$2:$AS$21,MATCH(SUBSTITUTE(SUBSTITUTE(SUBSTITUTE($MU14,"~","~~"),"*","~*"),"?","~?"),'DADOS_FORMAS'!$AH$2:$AH$21,0)),""),"~","~~"),"*","~*"),"?","~?"),'DADOS_RESTRICOES'!$M$2:$Q$54,3,FALSE)=1),0))</f>
        <v/>
      </c>
      <c r="OT14" s="161">
        <f>COUNTIF($OI14:$OJ14,2)+IF(IFERROR(INDEX('DADOS_FORMAS'!$AS$2:$AS$21,MATCH(SUBSTITUTE(SUBSTITUTE(SUBSTITUTE($MU14,"~","~~"),"*","~*"),"?","~?"),'DADOS_FORMAS'!$AH$2:$AH$21,0)),"")="",0,IFERROR(N(VLOOKUP(SUBSTITUTE(SUBSTITUTE(SUBSTITUTE(IFERROR(INDEX('DADOS_FORMAS'!$AS$2:$AS$21,MATCH(SUBSTITUTE(SUBSTITUTE(SUBSTITUTE($MU14,"~","~~"),"*","~*"),"?","~?"),'DADOS_FORMAS'!$AH$2:$AH$21,0)),""),"~","~~"),"*","~*"),"?","~?"),'DADOS_RESTRICOES'!$M$2:$Q$54,3,FALSE)=2),0))</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",TRUE,IF($ND14=0,"",TEXTJOIN(" · ",TRUE,IF($MQ14&gt;$NE14,"Este lugar abre no nível "&amp;$MQ14,""),IF($MS14&gt;$NF14,"Classe "&amp;$MS14&amp;": o nível "&amp;$NE14&amp;" libera até a "&amp;$NF14,""),IF($NX14=1,"A Forma "&amp;$MU14&amp;" pede "&amp;INDEX('DADOS_FORMAS'!$GA$2:$GA$21,$NJ14)&amp;" aberta",""),IF(AND($MS14=0,$NJ14&gt;0,IF($NJ14=0,0,INDEX('DADOS_FORMAS'!$GJ$2:$GJ$21,$NJ14))=0),$MU14&amp;"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Corpo")&gt;0,$OF14=0,OR($RO14="Cone",$RO14="Linha")),"Corpo a Corpo não entra em "&amp;$MU14,""),IF(AND(COUNTIF($OK14:$OL14,"Corpo a Corpo")&gt;0,$RP14="Corpo a Corpo"),"A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"&amp;$NC14,""))),IF(AND($MU14&lt;&gt;"",COUNTIF('DADOS_FORMAS'!$AH$2:$AH$21,SUBSTITUTE(SUBSTITUTE(SUBSTITUTE($MU14,"~","~~"),"*","~*"),"?","~?"))=0),"Forma não cadastrada ou com erro: "&amp;$MU14,""),IF(AND(IFERROR(INDEX('DADOS_FORMAS'!$AS$2:$AS$21,MATCH(SUBSTITUTE(SUBSTITUTE(SUBSTITUTE($MU14,"~","~~"),"*","~*"),"?","~?"),'DADOS_FORMAS'!$AH$2:$AH$21,0)),"")&lt;&gt;"",OR(IFERROR(VLOOKUP(SUBSTITUTE(SUBSTITUTE(SUBSTITUTE(IFERROR(INDEX('DADOS_FORMAS'!$AS$2:$AS$21,MATCH(SUBSTITUTE(SUBSTITUTE(SUBSTITUTE($MU14,"~","~~"),"*","~*"),"?","~?"),'DADOS_FORMAS'!$AH$2:$AH$21,0)),""),"~","~~"),"*","~*"),"?","~?"),'DADOS_RESTRICOES'!$M$2:$Q$54,2,FALSE),"")=$OK14,IFERROR(VLOOKUP(SUBSTITUTE(SUBSTITUTE(SUBSTITUTE(IFERROR(INDEX('DADOS_FORMAS'!$AS$2:$AS$21,MATCH(SUBSTITUTE(SUBSTITUTE(SUBSTITUTE($MU14,"~","~~"),"*","~*"),"?","~?"),'DADOS_FORMAS'!$AH$2:$AH$21,0)),""),"~","~~"),"*","~*"),"?","~?"),'DADOS_RESTRICOES'!$M$2:$Q$54,2,FALSE),"")=$OL14)),"Restrição repetida, contando a embutida",""),IF(IF(IFERROR(INDEX('DADOS_FORMAS'!$AS$2:$AS$21,MATCH(SUBSTITUTE(SUBSTITUTE(SUBSTITUTE($MU14,"~","~~"),"*","~*"),"?","~?"),'DADOS_FORMAS'!$AH$2:$AH$21,0)),"")="",0,IFERROR(N(VLOOKUP(SUBSTITUTE(SUBSTITUTE(SUBSTITUTE(IFERROR(INDEX('DADOS_FORMAS'!$AS$2:$AS$21,MATCH(SUBSTITUTE(SUBSTITUTE(SUBSTITUTE($MU14,"~","~~"),"*","~*"),"?","~?"),'DADOS_FORMAS'!$AH$2:$AH$21,0)),""),"~","~~"),"*","~*"),"?","~?"),'DADOS_RESTRICOES'!$M$2:$Q$54,4,FALSE)=1),0))+IF($NB14="",0,IFERROR(N(VLOOKUP(SUBSTITUTE(SUBSTITUTE(SUBSTITUTE($NB14,"~","~~"),"*","~*"),"?","~?"),'DADOS_RESTRICOES'!$M$2:$Q$54,4,FALSE)=1),0))+IF($NC14="",0,IFERROR(N(VLOOKUP(SUBSTITUTE(SUBSTITUTE(SUBSTITUTE($NC14,"~","~~"),"*","~*"),"?","~?"),'DADOS_RESTRICOES'!$M$2:$Q$54,4,FALSE)=1),0))&gt;1,"Duas Restrições de frequência, contando a embutida",""),IF(AND(IFERROR(VLOOKUP(SUBSTITUTE(SUBSTITUTE(SUBSTITUTE(IFERROR(INDEX('DADOS_FORMAS'!$AS$2:$AS$21,MATCH(SUBSTITUTE(SUBSTITUTE(SUBSTITUTE($MU14,"~","~~"),"*","~*"),"?","~?"),'DADOS_FORMAS'!$AH$2:$AH$21,0)),""),"~","~~"),"*","~*"),"?","~?"),'DADOS_RESTRICOES'!$M$2:$Q$54,2,FALSE),"")="Tudo ou Nada",$OH14=0),"Tudo ou Nada exige TR",""),IF(AND(IFERROR(VLOOKUP(SUBSTITUTE(SUBSTITUTE(SUBSTITUTE(IFERROR(INDEX('DADOS_FORMAS'!$AS$2:$AS$21,MATCH(SUBSTITUTE(SUBSTITUTE(SUBSTITUTE($MU14,"~","~~"),"*","~*"),"?","~?"),'DADOS_FORMAS'!$AH$2:$AH$21,0)),""),"~","~~"),"*","~*"),"?","~?"),'DADOS_RESTRICOES'!$M$2:$Q$54,2,FALSE),"")="Corpo a Corpo",OR($RO14="Cone",$RO14="Linha")),"Corpo a Corpo não entra em Cone/Linha","")))</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dela",IF(COUNTIF($RQ14:$RS14,"Atrasar")&gt;0,"Sua Ação Completa",IF(COUNTIF($RK14:$RN14,"Rápido")&gt;0,"Sua Bônus",IF(COUNTIF($RK14:$RN14,"Reação")&gt;0,"Sua Reação","Sua Padrão")))&amp;" + a básica dela"&amp;IF(COUNTIF($RK14:$RN14,"Reação")&gt;0," e a coletiva","")&amp;IF(COUNTIF($RQ14:$RS14,"Carregar")&gt;0," · em dois turnos","")))</f>
        <v/>
      </c>
      <c r="QC14" s="161">
        <f>IF($MW14&lt;&gt;"",$MW14,IF($NJ14=0,"",INDEX('DADOS_FORMAS'!$GE$2:$GE$21,$NJ14)))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IF($NJ14=0,0,CHOOSE(1+INDEX('DADOS_FORMAS'!$GG$2:$GG$21,$NJ14),0,$QF14,$QG14,$QF14+$QG14))</f>
        <v/>
      </c>
      <c r="QI14" s="161">
        <f>IF($NJ14=0,0,CHOOSE(1+INDEX('DADOS_FORMAS'!$GH$2:$GH$21,$NJ14),0,$QF14,$QG14,$QF14+$QG14))</f>
        <v/>
      </c>
      <c r="QJ14" s="161">
        <f>IF(OR($ND14=0,$NJ14=0),"",INDEX('DADOS_FORMAS'!$HU$2:$HZ$81,($NJ14-1)*4+IF($MS14=0,1,IF($MS14&lt;=5,2,IF($MS14=6,3,4))),1+MIN(5,$QH14))&amp;INDEX('DADOS_FORMAS'!$IA$2:$IF$81,($NJ14-1)*4+IF($MS14=0,1,IF($MS14&lt;=5,2,IF($MS14=6,3,4))),1+MIN(5,$QI14))&amp;IF(INDEX('DADOS_FORMAS'!$GI$2:$GI$21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c r="RO14">
        <f>IFERROR(INDEX('DADOS_FORMAS'!$BJ$2:$BJ$21,MATCH(SUBSTITUTE(SUBSTITUTE(SUBSTITUTE($MU14,"~","~~"),"*","~*"),"?","~?"),'DADOS_FORMAS'!$AH$2:$AH$21,0)),"")</f>
        <v/>
      </c>
      <c r="RP14">
        <f>IFERROR(VLOOKUP(SUBSTITUTE(SUBSTITUTE(SUBSTITUTE(IFERROR(INDEX('DADOS_FORMAS'!$AS$2:$AS$21,MATCH(SUBSTITUTE(SUBSTITUTE(SUBSTITUTE($MU14,"~","~~"),"*","~*"),"?","~?"),'DADOS_FORMAS'!$AH$2:$AH$21,0)),""),"~","~~"),"*","~*"),"?","~?"),'DADOS_RESTRICOES'!$M$2:$Q$54,2,FALSE),"")</f>
        <v/>
      </c>
      <c r="RQ14">
        <f>$OK14</f>
        <v/>
      </c>
      <c r="RR14">
        <f>$OL14</f>
        <v/>
      </c>
      <c r="RS14">
        <f>$RP14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IFERROR(MATCH(SUBSTITUTE(SUBSTITUTE(SUBSTITUTE($MU15,"~","~~"),"*","~*"),"?","~?"),'DADOS_FORMAS'!$FZ$2:$FZ$21,0),0)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IF($MS15=0,0,IF($NJ15=0,0,INDEX('DADOS_FORMAS'!$GB$2:$GB$21,$NJ15)))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IF($NJ15=0,0,IF(INDEX('DADOS_FORMAS'!$GA$2:$GA$21,$NJ15)="",0,IF((COUNTIF(INDEX($EL$2:$EP$13,$MO15,0),INDEX('DADOS_FORMAS'!$GA$2:$GA$21,$NJ15))+COUNTIF(INDEX($QV$2:$QY$13,$MO15,0),INDEX('DADOS_FORMAS'!$GA$2:$GA$21,$NJ15)))=0,1,0)))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IFERROR(N(AND(INDEX('DADOS_FORMAS'!$AO$2:$AO$21,MATCH(SUBSTITUTE(SUBSTITUTE(SUBSTITUTE($MU15,"~","~~"),"*","~*"),"?","~?"),'DADOS_FORMAS'!$AH$2:$AH$21,0))="Acerto",$OH15=1)),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IF($NJ15=0,0,INDEX('DADOS_FORMAS'!$GC$2:$GC$21,$NJ15))</f>
        <v/>
      </c>
      <c r="OG15" s="161">
        <f>IF($NJ15=0,0,INDEX('DADOS_FORMAS'!$GD$2:$GD$21,$NJ15))</f>
        <v/>
      </c>
      <c r="OH15" s="161">
        <f>IF($NJ15=0,0,INDEX('DADOS_FORMAS'!$GF$2:$GF$21,$NJ15))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IF(IFERROR(INDEX('DADOS_FORMAS'!$AS$2:$AS$21,MATCH(SUBSTITUTE(SUBSTITUTE(SUBSTITUTE($MU15,"~","~~"),"*","~*"),"?","~?"),'DADOS_FORMAS'!$AH$2:$AH$21,0)),"")="",0,IFERROR(N(VLOOKUP(SUBSTITUTE(SUBSTITUTE(SUBSTITUTE(IFERROR(INDEX('DADOS_FORMAS'!$AS$2:$AS$21,MATCH(SUBSTITUTE(SUBSTITUTE(SUBSTITUTE($MU15,"~","~~"),"*","~*"),"?","~?"),'DADOS_FORMAS'!$AH$2:$AH$21,0)),""),"~","~~"),"*","~*"),"?","~?"),'DADOS_RESTRICOES'!$M$2:$Q$54,3,FALSE)=1),0))</f>
        <v/>
      </c>
      <c r="OT15" s="161">
        <f>COUNTIF($OI15:$OJ15,2)+IF(IFERROR(INDEX('DADOS_FORMAS'!$AS$2:$AS$21,MATCH(SUBSTITUTE(SUBSTITUTE(SUBSTITUTE($MU15,"~","~~"),"*","~*"),"?","~?"),'DADOS_FORMAS'!$AH$2:$AH$21,0)),"")="",0,IFERROR(N(VLOOKUP(SUBSTITUTE(SUBSTITUTE(SUBSTITUTE(IFERROR(INDEX('DADOS_FORMAS'!$AS$2:$AS$21,MATCH(SUBSTITUTE(SUBSTITUTE(SUBSTITUTE($MU15,"~","~~"),"*","~*"),"?","~?"),'DADOS_FORMAS'!$AH$2:$AH$21,0)),""),"~","~~"),"*","~*"),"?","~?"),'DADOS_RESTRICOES'!$M$2:$Q$54,3,FALSE)=2),0))</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",TRUE,IF($ND15=0,"",TEXTJOIN(" · ",TRUE,IF($MQ15&gt;$NE15,"Este lugar abre no nível "&amp;$MQ15,""),IF($MS15&gt;$NF15,"Classe "&amp;$MS15&amp;": o nível "&amp;$NE15&amp;" libera até a "&amp;$NF15,""),IF($NX15=1,"A Forma "&amp;$MU15&amp;" pede "&amp;INDEX('DADOS_FORMAS'!$GA$2:$GA$21,$NJ15)&amp;" aberta",""),IF(AND($MS15=0,$NJ15&gt;0,IF($NJ15=0,0,INDEX('DADOS_FORMAS'!$GJ$2:$GJ$21,$NJ15))=0),$MU15&amp;"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Corpo")&gt;0,$OF15=0,OR($RO15="Cone",$RO15="Linha")),"Corpo a Corpo não entra em "&amp;$MU15,""),IF(AND(COUNTIF($OK15:$OL15,"Corpo a Corpo")&gt;0,$RP15="Corpo a Corpo"),"A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"&amp;$NC15,""))),IF(AND($MU15&lt;&gt;"",COUNTIF('DADOS_FORMAS'!$AH$2:$AH$21,SUBSTITUTE(SUBSTITUTE(SUBSTITUTE($MU15,"~","~~"),"*","~*"),"?","~?"))=0),"Forma não cadastrada ou com erro: "&amp;$MU15,""),IF(AND(IFERROR(INDEX('DADOS_FORMAS'!$AS$2:$AS$21,MATCH(SUBSTITUTE(SUBSTITUTE(SUBSTITUTE($MU15,"~","~~"),"*","~*"),"?","~?"),'DADOS_FORMAS'!$AH$2:$AH$21,0)),"")&lt;&gt;"",OR(IFERROR(VLOOKUP(SUBSTITUTE(SUBSTITUTE(SUBSTITUTE(IFERROR(INDEX('DADOS_FORMAS'!$AS$2:$AS$21,MATCH(SUBSTITUTE(SUBSTITUTE(SUBSTITUTE($MU15,"~","~~"),"*","~*"),"?","~?"),'DADOS_FORMAS'!$AH$2:$AH$21,0)),""),"~","~~"),"*","~*"),"?","~?"),'DADOS_RESTRICOES'!$M$2:$Q$54,2,FALSE),"")=$OK15,IFERROR(VLOOKUP(SUBSTITUTE(SUBSTITUTE(SUBSTITUTE(IFERROR(INDEX('DADOS_FORMAS'!$AS$2:$AS$21,MATCH(SUBSTITUTE(SUBSTITUTE(SUBSTITUTE($MU15,"~","~~"),"*","~*"),"?","~?"),'DADOS_FORMAS'!$AH$2:$AH$21,0)),""),"~","~~"),"*","~*"),"?","~?"),'DADOS_RESTRICOES'!$M$2:$Q$54,2,FALSE),"")=$OL15)),"Restrição repetida, contando a embutida",""),IF(IF(IFERROR(INDEX('DADOS_FORMAS'!$AS$2:$AS$21,MATCH(SUBSTITUTE(SUBSTITUTE(SUBSTITUTE($MU15,"~","~~"),"*","~*"),"?","~?"),'DADOS_FORMAS'!$AH$2:$AH$21,0)),"")="",0,IFERROR(N(VLOOKUP(SUBSTITUTE(SUBSTITUTE(SUBSTITUTE(IFERROR(INDEX('DADOS_FORMAS'!$AS$2:$AS$21,MATCH(SUBSTITUTE(SUBSTITUTE(SUBSTITUTE($MU15,"~","~~"),"*","~*"),"?","~?"),'DADOS_FORMAS'!$AH$2:$AH$21,0)),""),"~","~~"),"*","~*"),"?","~?"),'DADOS_RESTRICOES'!$M$2:$Q$54,4,FALSE)=1),0))+IF($NB15="",0,IFERROR(N(VLOOKUP(SUBSTITUTE(SUBSTITUTE(SUBSTITUTE($NB15,"~","~~"),"*","~*"),"?","~?"),'DADOS_RESTRICOES'!$M$2:$Q$54,4,FALSE)=1),0))+IF($NC15="",0,IFERROR(N(VLOOKUP(SUBSTITUTE(SUBSTITUTE(SUBSTITUTE($NC15,"~","~~"),"*","~*"),"?","~?"),'DADOS_RESTRICOES'!$M$2:$Q$54,4,FALSE)=1),0))&gt;1,"Duas Restrições de frequência, contando a embutida",""),IF(AND(IFERROR(VLOOKUP(SUBSTITUTE(SUBSTITUTE(SUBSTITUTE(IFERROR(INDEX('DADOS_FORMAS'!$AS$2:$AS$21,MATCH(SUBSTITUTE(SUBSTITUTE(SUBSTITUTE($MU15,"~","~~"),"*","~*"),"?","~?"),'DADOS_FORMAS'!$AH$2:$AH$21,0)),""),"~","~~"),"*","~*"),"?","~?"),'DADOS_RESTRICOES'!$M$2:$Q$54,2,FALSE),"")="Tudo ou Nada",$OH15=0),"Tudo ou Nada exige TR",""),IF(AND(IFERROR(VLOOKUP(SUBSTITUTE(SUBSTITUTE(SUBSTITUTE(IFERROR(INDEX('DADOS_FORMAS'!$AS$2:$AS$21,MATCH(SUBSTITUTE(SUBSTITUTE(SUBSTITUTE($MU15,"~","~~"),"*","~*"),"?","~?"),'DADOS_FORMAS'!$AH$2:$AH$21,0)),""),"~","~~"),"*","~*"),"?","~?"),'DADOS_RESTRICOES'!$M$2:$Q$54,2,FALSE),"")="Corpo a Corpo",OR($RO15="Cone",$RO15="Linha")),"Corpo a Corpo não entra em Cone/Linha","")))</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dela",IF(COUNTIF($RQ15:$RS15,"Atrasar")&gt;0,"Sua Ação Completa",IF(COUNTIF($RK15:$RN15,"Rápido")&gt;0,"Sua Bônus",IF(COUNTIF($RK15:$RN15,"Reação")&gt;0,"Sua Reação","Sua Padrão")))&amp;" + a básica dela"&amp;IF(COUNTIF($RK15:$RN15,"Reação")&gt;0," e a coletiva","")&amp;IF(COUNTIF($RQ15:$RS15,"Carregar")&gt;0," · em dois turnos","")))</f>
        <v/>
      </c>
      <c r="QC15" s="161">
        <f>IF($MW15&lt;&gt;"",$MW15,IF($NJ15=0,"",INDEX('DADOS_FORMAS'!$GE$2:$GE$21,$NJ15)))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IF($NJ15=0,0,CHOOSE(1+INDEX('DADOS_FORMAS'!$GG$2:$GG$21,$NJ15),0,$QF15,$QG15,$QF15+$QG15))</f>
        <v/>
      </c>
      <c r="QI15" s="161">
        <f>IF($NJ15=0,0,CHOOSE(1+INDEX('DADOS_FORMAS'!$GH$2:$GH$21,$NJ15),0,$QF15,$QG15,$QF15+$QG15))</f>
        <v/>
      </c>
      <c r="QJ15" s="161">
        <f>IF(OR($ND15=0,$NJ15=0),"",INDEX('DADOS_FORMAS'!$HU$2:$HZ$81,($NJ15-1)*4+IF($MS15=0,1,IF($MS15&lt;=5,2,IF($MS15=6,3,4))),1+MIN(5,$QH15))&amp;INDEX('DADOS_FORMAS'!$IA$2:$IF$81,($NJ15-1)*4+IF($MS15=0,1,IF($MS15&lt;=5,2,IF($MS15=6,3,4))),1+MIN(5,$QI15))&amp;IF(INDEX('DADOS_FORMAS'!$GI$2:$GI$21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c r="RO15">
        <f>IFERROR(INDEX('DADOS_FORMAS'!$BJ$2:$BJ$21,MATCH(SUBSTITUTE(SUBSTITUTE(SUBSTITUTE($MU15,"~","~~"),"*","~*"),"?","~?"),'DADOS_FORMAS'!$AH$2:$AH$21,0)),"")</f>
        <v/>
      </c>
      <c r="RP15">
        <f>IFERROR(VLOOKUP(SUBSTITUTE(SUBSTITUTE(SUBSTITUTE(IFERROR(INDEX('DADOS_FORMAS'!$AS$2:$AS$21,MATCH(SUBSTITUTE(SUBSTITUTE(SUBSTITUTE($MU15,"~","~~"),"*","~*"),"?","~?"),'DADOS_FORMAS'!$AH$2:$AH$21,0)),""),"~","~~"),"*","~*"),"?","~?"),'DADOS_RESTRICOES'!$M$2:$Q$54,2,FALSE),"")</f>
        <v/>
      </c>
      <c r="RQ15">
        <f>$OK15</f>
        <v/>
      </c>
      <c r="RR15">
        <f>$OL15</f>
        <v/>
      </c>
      <c r="RS15">
        <f>$RP15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IFERROR(MATCH(SUBSTITUTE(SUBSTITUTE(SUBSTITUTE($MU16,"~","~~"),"*","~*"),"?","~?"),'DADOS_FORMAS'!$FZ$2:$FZ$21,0),0)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IF($MS16=0,0,IF($NJ16=0,0,INDEX('DADOS_FORMAS'!$GB$2:$GB$21,$NJ16)))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IF($NJ16=0,0,IF(INDEX('DADOS_FORMAS'!$GA$2:$GA$21,$NJ16)="",0,IF((COUNTIF(INDEX($EL$2:$EP$13,$MO16,0),INDEX('DADOS_FORMAS'!$GA$2:$GA$21,$NJ16))+COUNTIF(INDEX($QV$2:$QY$13,$MO16,0),INDEX('DADOS_FORMAS'!$GA$2:$GA$21,$NJ16)))=0,1,0)))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IFERROR(N(AND(INDEX('DADOS_FORMAS'!$AO$2:$AO$21,MATCH(SUBSTITUTE(SUBSTITUTE(SUBSTITUTE($MU16,"~","~~"),"*","~*"),"?","~?"),'DADOS_FORMAS'!$AH$2:$AH$21,0))="Acerto",$OH16=1)),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IF($NJ16=0,0,INDEX('DADOS_FORMAS'!$GC$2:$GC$21,$NJ16))</f>
        <v/>
      </c>
      <c r="OG16" s="161">
        <f>IF($NJ16=0,0,INDEX('DADOS_FORMAS'!$GD$2:$GD$21,$NJ16))</f>
        <v/>
      </c>
      <c r="OH16" s="161">
        <f>IF($NJ16=0,0,INDEX('DADOS_FORMAS'!$GF$2:$GF$21,$NJ16))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IF(IFERROR(INDEX('DADOS_FORMAS'!$AS$2:$AS$21,MATCH(SUBSTITUTE(SUBSTITUTE(SUBSTITUTE($MU16,"~","~~"),"*","~*"),"?","~?"),'DADOS_FORMAS'!$AH$2:$AH$21,0)),"")="",0,IFERROR(N(VLOOKUP(SUBSTITUTE(SUBSTITUTE(SUBSTITUTE(IFERROR(INDEX('DADOS_FORMAS'!$AS$2:$AS$21,MATCH(SUBSTITUTE(SUBSTITUTE(SUBSTITUTE($MU16,"~","~~"),"*","~*"),"?","~?"),'DADOS_FORMAS'!$AH$2:$AH$21,0)),""),"~","~~"),"*","~*"),"?","~?"),'DADOS_RESTRICOES'!$M$2:$Q$54,3,FALSE)=1),0))</f>
        <v/>
      </c>
      <c r="OT16" s="161">
        <f>COUNTIF($OI16:$OJ16,2)+IF(IFERROR(INDEX('DADOS_FORMAS'!$AS$2:$AS$21,MATCH(SUBSTITUTE(SUBSTITUTE(SUBSTITUTE($MU16,"~","~~"),"*","~*"),"?","~?"),'DADOS_FORMAS'!$AH$2:$AH$21,0)),"")="",0,IFERROR(N(VLOOKUP(SUBSTITUTE(SUBSTITUTE(SUBSTITUTE(IFERROR(INDEX('DADOS_FORMAS'!$AS$2:$AS$21,MATCH(SUBSTITUTE(SUBSTITUTE(SUBSTITUTE($MU16,"~","~~"),"*","~*"),"?","~?"),'DADOS_FORMAS'!$AH$2:$AH$21,0)),""),"~","~~"),"*","~*"),"?","~?"),'DADOS_RESTRICOES'!$M$2:$Q$54,3,FALSE)=2),0))</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",TRUE,IF($ND16=0,"",TEXTJOIN(" · ",TRUE,IF($MQ16&gt;$NE16,"Este lugar abre no nível "&amp;$MQ16,""),IF($MS16&gt;$NF16,"Classe "&amp;$MS16&amp;": o nível "&amp;$NE16&amp;" libera até a "&amp;$NF16,""),IF($NX16=1,"A Forma "&amp;$MU16&amp;" pede "&amp;INDEX('DADOS_FORMAS'!$GA$2:$GA$21,$NJ16)&amp;" aberta",""),IF(AND($MS16=0,$NJ16&gt;0,IF($NJ16=0,0,INDEX('DADOS_FORMAS'!$GJ$2:$GJ$21,$NJ16))=0),$MU16&amp;"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Corpo")&gt;0,$OF16=0,OR($RO16="Cone",$RO16="Linha")),"Corpo a Corpo não entra em "&amp;$MU16,""),IF(AND(COUNTIF($OK16:$OL16,"Corpo a Corpo")&gt;0,$RP16="Corpo a Corpo"),"A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"&amp;$NC16,""))),IF(AND($MU16&lt;&gt;"",COUNTIF('DADOS_FORMAS'!$AH$2:$AH$21,SUBSTITUTE(SUBSTITUTE(SUBSTITUTE($MU16,"~","~~"),"*","~*"),"?","~?"))=0),"Forma não cadastrada ou com erro: "&amp;$MU16,""),IF(AND(IFERROR(INDEX('DADOS_FORMAS'!$AS$2:$AS$21,MATCH(SUBSTITUTE(SUBSTITUTE(SUBSTITUTE($MU16,"~","~~"),"*","~*"),"?","~?"),'DADOS_FORMAS'!$AH$2:$AH$21,0)),"")&lt;&gt;"",OR(IFERROR(VLOOKUP(SUBSTITUTE(SUBSTITUTE(SUBSTITUTE(IFERROR(INDEX('DADOS_FORMAS'!$AS$2:$AS$21,MATCH(SUBSTITUTE(SUBSTITUTE(SUBSTITUTE($MU16,"~","~~"),"*","~*"),"?","~?"),'DADOS_FORMAS'!$AH$2:$AH$21,0)),""),"~","~~"),"*","~*"),"?","~?"),'DADOS_RESTRICOES'!$M$2:$Q$54,2,FALSE),"")=$OK16,IFERROR(VLOOKUP(SUBSTITUTE(SUBSTITUTE(SUBSTITUTE(IFERROR(INDEX('DADOS_FORMAS'!$AS$2:$AS$21,MATCH(SUBSTITUTE(SUBSTITUTE(SUBSTITUTE($MU16,"~","~~"),"*","~*"),"?","~?"),'DADOS_FORMAS'!$AH$2:$AH$21,0)),""),"~","~~"),"*","~*"),"?","~?"),'DADOS_RESTRICOES'!$M$2:$Q$54,2,FALSE),"")=$OL16)),"Restrição repetida, contando a embutida",""),IF(IF(IFERROR(INDEX('DADOS_FORMAS'!$AS$2:$AS$21,MATCH(SUBSTITUTE(SUBSTITUTE(SUBSTITUTE($MU16,"~","~~"),"*","~*"),"?","~?"),'DADOS_FORMAS'!$AH$2:$AH$21,0)),"")="",0,IFERROR(N(VLOOKUP(SUBSTITUTE(SUBSTITUTE(SUBSTITUTE(IFERROR(INDEX('DADOS_FORMAS'!$AS$2:$AS$21,MATCH(SUBSTITUTE(SUBSTITUTE(SUBSTITUTE($MU16,"~","~~"),"*","~*"),"?","~?"),'DADOS_FORMAS'!$AH$2:$AH$21,0)),""),"~","~~"),"*","~*"),"?","~?"),'DADOS_RESTRICOES'!$M$2:$Q$54,4,FALSE)=1),0))+IF($NB16="",0,IFERROR(N(VLOOKUP(SUBSTITUTE(SUBSTITUTE(SUBSTITUTE($NB16,"~","~~"),"*","~*"),"?","~?"),'DADOS_RESTRICOES'!$M$2:$Q$54,4,FALSE)=1),0))+IF($NC16="",0,IFERROR(N(VLOOKUP(SUBSTITUTE(SUBSTITUTE(SUBSTITUTE($NC16,"~","~~"),"*","~*"),"?","~?"),'DADOS_RESTRICOES'!$M$2:$Q$54,4,FALSE)=1),0))&gt;1,"Duas Restrições de frequência, contando a embutida",""),IF(AND(IFERROR(VLOOKUP(SUBSTITUTE(SUBSTITUTE(SUBSTITUTE(IFERROR(INDEX('DADOS_FORMAS'!$AS$2:$AS$21,MATCH(SUBSTITUTE(SUBSTITUTE(SUBSTITUTE($MU16,"~","~~"),"*","~*"),"?","~?"),'DADOS_FORMAS'!$AH$2:$AH$21,0)),""),"~","~~"),"*","~*"),"?","~?"),'DADOS_RESTRICOES'!$M$2:$Q$54,2,FALSE),"")="Tudo ou Nada",$OH16=0),"Tudo ou Nada exige TR",""),IF(AND(IFERROR(VLOOKUP(SUBSTITUTE(SUBSTITUTE(SUBSTITUTE(IFERROR(INDEX('DADOS_FORMAS'!$AS$2:$AS$21,MATCH(SUBSTITUTE(SUBSTITUTE(SUBSTITUTE($MU16,"~","~~"),"*","~*"),"?","~?"),'DADOS_FORMAS'!$AH$2:$AH$21,0)),""),"~","~~"),"*","~*"),"?","~?"),'DADOS_RESTRICOES'!$M$2:$Q$54,2,FALSE),"")="Corpo a Corpo",OR($RO16="Cone",$RO16="Linha")),"Corpo a Corpo não entra em Cone/Linha","")))</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dela",IF(COUNTIF($RQ16:$RS16,"Atrasar")&gt;0,"Sua Ação Completa",IF(COUNTIF($RK16:$RN16,"Rápido")&gt;0,"Sua Bônus",IF(COUNTIF($RK16:$RN16,"Reação")&gt;0,"Sua Reação","Sua Padrão")))&amp;" + a básica dela"&amp;IF(COUNTIF($RK16:$RN16,"Reação")&gt;0," e a coletiva","")&amp;IF(COUNTIF($RQ16:$RS16,"Carregar")&gt;0," · em dois turnos","")))</f>
        <v/>
      </c>
      <c r="QC16" s="161">
        <f>IF($MW16&lt;&gt;"",$MW16,IF($NJ16=0,"",INDEX('DADOS_FORMAS'!$GE$2:$GE$21,$NJ16)))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IF($NJ16=0,0,CHOOSE(1+INDEX('DADOS_FORMAS'!$GG$2:$GG$21,$NJ16),0,$QF16,$QG16,$QF16+$QG16))</f>
        <v/>
      </c>
      <c r="QI16" s="161">
        <f>IF($NJ16=0,0,CHOOSE(1+INDEX('DADOS_FORMAS'!$GH$2:$GH$21,$NJ16),0,$QF16,$QG16,$QF16+$QG16))</f>
        <v/>
      </c>
      <c r="QJ16" s="161">
        <f>IF(OR($ND16=0,$NJ16=0),"",INDEX('DADOS_FORMAS'!$HU$2:$HZ$81,($NJ16-1)*4+IF($MS16=0,1,IF($MS16&lt;=5,2,IF($MS16=6,3,4))),1+MIN(5,$QH16))&amp;INDEX('DADOS_FORMAS'!$IA$2:$IF$81,($NJ16-1)*4+IF($MS16=0,1,IF($MS16&lt;=5,2,IF($MS16=6,3,4))),1+MIN(5,$QI16))&amp;IF(INDEX('DADOS_FORMAS'!$GI$2:$GI$21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c r="RO16">
        <f>IFERROR(INDEX('DADOS_FORMAS'!$BJ$2:$BJ$21,MATCH(SUBSTITUTE(SUBSTITUTE(SUBSTITUTE($MU16,"~","~~"),"*","~*"),"?","~?"),'DADOS_FORMAS'!$AH$2:$AH$21,0)),"")</f>
        <v/>
      </c>
      <c r="RP16">
        <f>IFERROR(VLOOKUP(SUBSTITUTE(SUBSTITUTE(SUBSTITUTE(IFERROR(INDEX('DADOS_FORMAS'!$AS$2:$AS$21,MATCH(SUBSTITUTE(SUBSTITUTE(SUBSTITUTE($MU16,"~","~~"),"*","~*"),"?","~?"),'DADOS_FORMAS'!$AH$2:$AH$21,0)),""),"~","~~"),"*","~*"),"?","~?"),'DADOS_RESTRICOES'!$M$2:$Q$54,2,FALSE),"")</f>
        <v/>
      </c>
      <c r="RQ16">
        <f>$OK16</f>
        <v/>
      </c>
      <c r="RR16">
        <f>$OL16</f>
        <v/>
      </c>
      <c r="RS16">
        <f>$RP16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IFERROR(MATCH(SUBSTITUTE(SUBSTITUTE(SUBSTITUTE($MU17,"~","~~"),"*","~*"),"?","~?"),'DADOS_FORMAS'!$FZ$2:$FZ$21,0),0)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IF($MS17=0,0,IF($NJ17=0,0,INDEX('DADOS_FORMAS'!$GB$2:$GB$21,$NJ17)))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IF($NJ17=0,0,IF(INDEX('DADOS_FORMAS'!$GA$2:$GA$21,$NJ17)="",0,IF((COUNTIF(INDEX($EL$2:$EP$13,$MO17,0),INDEX('DADOS_FORMAS'!$GA$2:$GA$21,$NJ17))+COUNTIF(INDEX($QV$2:$QY$13,$MO17,0),INDEX('DADOS_FORMAS'!$GA$2:$GA$21,$NJ17)))=0,1,0)))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IFERROR(N(AND(INDEX('DADOS_FORMAS'!$AO$2:$AO$21,MATCH(SUBSTITUTE(SUBSTITUTE(SUBSTITUTE($MU17,"~","~~"),"*","~*"),"?","~?"),'DADOS_FORMAS'!$AH$2:$AH$21,0))="Acerto",$OH17=1)),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IF($NJ17=0,0,INDEX('DADOS_FORMAS'!$GC$2:$GC$21,$NJ17))</f>
        <v/>
      </c>
      <c r="OG17" s="161">
        <f>IF($NJ17=0,0,INDEX('DADOS_FORMAS'!$GD$2:$GD$21,$NJ17))</f>
        <v/>
      </c>
      <c r="OH17" s="161">
        <f>IF($NJ17=0,0,INDEX('DADOS_FORMAS'!$GF$2:$GF$21,$NJ17))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IF(IFERROR(INDEX('DADOS_FORMAS'!$AS$2:$AS$21,MATCH(SUBSTITUTE(SUBSTITUTE(SUBSTITUTE($MU17,"~","~~"),"*","~*"),"?","~?"),'DADOS_FORMAS'!$AH$2:$AH$21,0)),"")="",0,IFERROR(N(VLOOKUP(SUBSTITUTE(SUBSTITUTE(SUBSTITUTE(IFERROR(INDEX('DADOS_FORMAS'!$AS$2:$AS$21,MATCH(SUBSTITUTE(SUBSTITUTE(SUBSTITUTE($MU17,"~","~~"),"*","~*"),"?","~?"),'DADOS_FORMAS'!$AH$2:$AH$21,0)),""),"~","~~"),"*","~*"),"?","~?"),'DADOS_RESTRICOES'!$M$2:$Q$54,3,FALSE)=1),0))</f>
        <v/>
      </c>
      <c r="OT17" s="161">
        <f>COUNTIF($OI17:$OJ17,2)+IF(IFERROR(INDEX('DADOS_FORMAS'!$AS$2:$AS$21,MATCH(SUBSTITUTE(SUBSTITUTE(SUBSTITUTE($MU17,"~","~~"),"*","~*"),"?","~?"),'DADOS_FORMAS'!$AH$2:$AH$21,0)),"")="",0,IFERROR(N(VLOOKUP(SUBSTITUTE(SUBSTITUTE(SUBSTITUTE(IFERROR(INDEX('DADOS_FORMAS'!$AS$2:$AS$21,MATCH(SUBSTITUTE(SUBSTITUTE(SUBSTITUTE($MU17,"~","~~"),"*","~*"),"?","~?"),'DADOS_FORMAS'!$AH$2:$AH$21,0)),""),"~","~~"),"*","~*"),"?","~?"),'DADOS_RESTRICOES'!$M$2:$Q$54,3,FALSE)=2),0))</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",TRUE,IF($ND17=0,"",TEXTJOIN(" · ",TRUE,IF($MQ17&gt;$NE17,"Este lugar abre no nível "&amp;$MQ17,""),IF($MS17&gt;$NF17,"Classe "&amp;$MS17&amp;": o nível "&amp;$NE17&amp;" libera até a "&amp;$NF17,""),IF($NX17=1,"A Forma "&amp;$MU17&amp;" pede "&amp;INDEX('DADOS_FORMAS'!$GA$2:$GA$21,$NJ17)&amp;" aberta",""),IF(AND($MS17=0,$NJ17&gt;0,IF($NJ17=0,0,INDEX('DADOS_FORMAS'!$GJ$2:$GJ$21,$NJ17))=0),$MU17&amp;"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Corpo")&gt;0,$OF17=0,OR($RO17="Cone",$RO17="Linha")),"Corpo a Corpo não entra em "&amp;$MU17,""),IF(AND(COUNTIF($OK17:$OL17,"Corpo a Corpo")&gt;0,$RP17="Corpo a Corpo"),"A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"&amp;$NC17,""))),IF(AND($MU17&lt;&gt;"",COUNTIF('DADOS_FORMAS'!$AH$2:$AH$21,SUBSTITUTE(SUBSTITUTE(SUBSTITUTE($MU17,"~","~~"),"*","~*"),"?","~?"))=0),"Forma não cadastrada ou com erro: "&amp;$MU17,""),IF(AND(IFERROR(INDEX('DADOS_FORMAS'!$AS$2:$AS$21,MATCH(SUBSTITUTE(SUBSTITUTE(SUBSTITUTE($MU17,"~","~~"),"*","~*"),"?","~?"),'DADOS_FORMAS'!$AH$2:$AH$21,0)),"")&lt;&gt;"",OR(IFERROR(VLOOKUP(SUBSTITUTE(SUBSTITUTE(SUBSTITUTE(IFERROR(INDEX('DADOS_FORMAS'!$AS$2:$AS$21,MATCH(SUBSTITUTE(SUBSTITUTE(SUBSTITUTE($MU17,"~","~~"),"*","~*"),"?","~?"),'DADOS_FORMAS'!$AH$2:$AH$21,0)),""),"~","~~"),"*","~*"),"?","~?"),'DADOS_RESTRICOES'!$M$2:$Q$54,2,FALSE),"")=$OK17,IFERROR(VLOOKUP(SUBSTITUTE(SUBSTITUTE(SUBSTITUTE(IFERROR(INDEX('DADOS_FORMAS'!$AS$2:$AS$21,MATCH(SUBSTITUTE(SUBSTITUTE(SUBSTITUTE($MU17,"~","~~"),"*","~*"),"?","~?"),'DADOS_FORMAS'!$AH$2:$AH$21,0)),""),"~","~~"),"*","~*"),"?","~?"),'DADOS_RESTRICOES'!$M$2:$Q$54,2,FALSE),"")=$OL17)),"Restrição repetida, contando a embutida",""),IF(IF(IFERROR(INDEX('DADOS_FORMAS'!$AS$2:$AS$21,MATCH(SUBSTITUTE(SUBSTITUTE(SUBSTITUTE($MU17,"~","~~"),"*","~*"),"?","~?"),'DADOS_FORMAS'!$AH$2:$AH$21,0)),"")="",0,IFERROR(N(VLOOKUP(SUBSTITUTE(SUBSTITUTE(SUBSTITUTE(IFERROR(INDEX('DADOS_FORMAS'!$AS$2:$AS$21,MATCH(SUBSTITUTE(SUBSTITUTE(SUBSTITUTE($MU17,"~","~~"),"*","~*"),"?","~?"),'DADOS_FORMAS'!$AH$2:$AH$21,0)),""),"~","~~"),"*","~*"),"?","~?"),'DADOS_RESTRICOES'!$M$2:$Q$54,4,FALSE)=1),0))+IF($NB17="",0,IFERROR(N(VLOOKUP(SUBSTITUTE(SUBSTITUTE(SUBSTITUTE($NB17,"~","~~"),"*","~*"),"?","~?"),'DADOS_RESTRICOES'!$M$2:$Q$54,4,FALSE)=1),0))+IF($NC17="",0,IFERROR(N(VLOOKUP(SUBSTITUTE(SUBSTITUTE(SUBSTITUTE($NC17,"~","~~"),"*","~*"),"?","~?"),'DADOS_RESTRICOES'!$M$2:$Q$54,4,FALSE)=1),0))&gt;1,"Duas Restrições de frequência, contando a embutida",""),IF(AND(IFERROR(VLOOKUP(SUBSTITUTE(SUBSTITUTE(SUBSTITUTE(IFERROR(INDEX('DADOS_FORMAS'!$AS$2:$AS$21,MATCH(SUBSTITUTE(SUBSTITUTE(SUBSTITUTE($MU17,"~","~~"),"*","~*"),"?","~?"),'DADOS_FORMAS'!$AH$2:$AH$21,0)),""),"~","~~"),"*","~*"),"?","~?"),'DADOS_RESTRICOES'!$M$2:$Q$54,2,FALSE),"")="Tudo ou Nada",$OH17=0),"Tudo ou Nada exige TR",""),IF(AND(IFERROR(VLOOKUP(SUBSTITUTE(SUBSTITUTE(SUBSTITUTE(IFERROR(INDEX('DADOS_FORMAS'!$AS$2:$AS$21,MATCH(SUBSTITUTE(SUBSTITUTE(SUBSTITUTE($MU17,"~","~~"),"*","~*"),"?","~?"),'DADOS_FORMAS'!$AH$2:$AH$21,0)),""),"~","~~"),"*","~*"),"?","~?"),'DADOS_RESTRICOES'!$M$2:$Q$54,2,FALSE),"")="Corpo a Corpo",OR($RO17="Cone",$RO17="Linha")),"Corpo a Corpo não entra em Cone/Linha","")))</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dela",IF(COUNTIF($RQ17:$RS17,"Atrasar")&gt;0,"Sua Ação Completa",IF(COUNTIF($RK17:$RN17,"Rápido")&gt;0,"Sua Bônus",IF(COUNTIF($RK17:$RN17,"Reação")&gt;0,"Sua Reação","Sua Padrão")))&amp;" + a básica dela"&amp;IF(COUNTIF($RK17:$RN17,"Reação")&gt;0," e a coletiva","")&amp;IF(COUNTIF($RQ17:$RS17,"Carregar")&gt;0," · em dois turnos","")))</f>
        <v/>
      </c>
      <c r="QC17" s="161">
        <f>IF($MW17&lt;&gt;"",$MW17,IF($NJ17=0,"",INDEX('DADOS_FORMAS'!$GE$2:$GE$21,$NJ17)))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IF($NJ17=0,0,CHOOSE(1+INDEX('DADOS_FORMAS'!$GG$2:$GG$21,$NJ17),0,$QF17,$QG17,$QF17+$QG17))</f>
        <v/>
      </c>
      <c r="QI17" s="161">
        <f>IF($NJ17=0,0,CHOOSE(1+INDEX('DADOS_FORMAS'!$GH$2:$GH$21,$NJ17),0,$QF17,$QG17,$QF17+$QG17))</f>
        <v/>
      </c>
      <c r="QJ17" s="161">
        <f>IF(OR($ND17=0,$NJ17=0),"",INDEX('DADOS_FORMAS'!$HU$2:$HZ$81,($NJ17-1)*4+IF($MS17=0,1,IF($MS17&lt;=5,2,IF($MS17=6,3,4))),1+MIN(5,$QH17))&amp;INDEX('DADOS_FORMAS'!$IA$2:$IF$81,($NJ17-1)*4+IF($MS17=0,1,IF($MS17&lt;=5,2,IF($MS17=6,3,4))),1+MIN(5,$QI17))&amp;IF(INDEX('DADOS_FORMAS'!$GI$2:$GI$21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c r="RO17">
        <f>IFERROR(INDEX('DADOS_FORMAS'!$BJ$2:$BJ$21,MATCH(SUBSTITUTE(SUBSTITUTE(SUBSTITUTE($MU17,"~","~~"),"*","~*"),"?","~?"),'DADOS_FORMAS'!$AH$2:$AH$21,0)),"")</f>
        <v/>
      </c>
      <c r="RP17">
        <f>IFERROR(VLOOKUP(SUBSTITUTE(SUBSTITUTE(SUBSTITUTE(IFERROR(INDEX('DADOS_FORMAS'!$AS$2:$AS$21,MATCH(SUBSTITUTE(SUBSTITUTE(SUBSTITUTE($MU17,"~","~~"),"*","~*"),"?","~?"),'DADOS_FORMAS'!$AH$2:$AH$21,0)),""),"~","~~"),"*","~*"),"?","~?"),'DADOS_RESTRICOES'!$M$2:$Q$54,2,FALSE),"")</f>
        <v/>
      </c>
      <c r="RQ17">
        <f>$OK17</f>
        <v/>
      </c>
      <c r="RR17">
        <f>$OL17</f>
        <v/>
      </c>
      <c r="RS17">
        <f>$RP17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IFERROR(MATCH(SUBSTITUTE(SUBSTITUTE(SUBSTITUTE($MU18,"~","~~"),"*","~*"),"?","~?"),'DADOS_FORMAS'!$FZ$2:$FZ$21,0),0)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IF($MS18=0,0,IF($NJ18=0,0,INDEX('DADOS_FORMAS'!$GB$2:$GB$21,$NJ18)))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IF($NJ18=0,0,IF(INDEX('DADOS_FORMAS'!$GA$2:$GA$21,$NJ18)="",0,IF((COUNTIF(INDEX($EL$2:$EP$13,$MO18,0),INDEX('DADOS_FORMAS'!$GA$2:$GA$21,$NJ18))+COUNTIF(INDEX($QV$2:$QY$13,$MO18,0),INDEX('DADOS_FORMAS'!$GA$2:$GA$21,$NJ18)))=0,1,0)))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IFERROR(N(AND(INDEX('DADOS_FORMAS'!$AO$2:$AO$21,MATCH(SUBSTITUTE(SUBSTITUTE(SUBSTITUTE($MU18,"~","~~"),"*","~*"),"?","~?"),'DADOS_FORMAS'!$AH$2:$AH$21,0))="Acerto",$OH18=1)),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IF($NJ18=0,0,INDEX('DADOS_FORMAS'!$GC$2:$GC$21,$NJ18))</f>
        <v/>
      </c>
      <c r="OG18" s="161">
        <f>IF($NJ18=0,0,INDEX('DADOS_FORMAS'!$GD$2:$GD$21,$NJ18))</f>
        <v/>
      </c>
      <c r="OH18" s="161">
        <f>IF($NJ18=0,0,INDEX('DADOS_FORMAS'!$GF$2:$GF$21,$NJ18))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IF(IFERROR(INDEX('DADOS_FORMAS'!$AS$2:$AS$21,MATCH(SUBSTITUTE(SUBSTITUTE(SUBSTITUTE($MU18,"~","~~"),"*","~*"),"?","~?"),'DADOS_FORMAS'!$AH$2:$AH$21,0)),"")="",0,IFERROR(N(VLOOKUP(SUBSTITUTE(SUBSTITUTE(SUBSTITUTE(IFERROR(INDEX('DADOS_FORMAS'!$AS$2:$AS$21,MATCH(SUBSTITUTE(SUBSTITUTE(SUBSTITUTE($MU18,"~","~~"),"*","~*"),"?","~?"),'DADOS_FORMAS'!$AH$2:$AH$21,0)),""),"~","~~"),"*","~*"),"?","~?"),'DADOS_RESTRICOES'!$M$2:$Q$54,3,FALSE)=1),0))</f>
        <v/>
      </c>
      <c r="OT18" s="161">
        <f>COUNTIF($OI18:$OJ18,2)+IF(IFERROR(INDEX('DADOS_FORMAS'!$AS$2:$AS$21,MATCH(SUBSTITUTE(SUBSTITUTE(SUBSTITUTE($MU18,"~","~~"),"*","~*"),"?","~?"),'DADOS_FORMAS'!$AH$2:$AH$21,0)),"")="",0,IFERROR(N(VLOOKUP(SUBSTITUTE(SUBSTITUTE(SUBSTITUTE(IFERROR(INDEX('DADOS_FORMAS'!$AS$2:$AS$21,MATCH(SUBSTITUTE(SUBSTITUTE(SUBSTITUTE($MU18,"~","~~"),"*","~*"),"?","~?"),'DADOS_FORMAS'!$AH$2:$AH$21,0)),""),"~","~~"),"*","~*"),"?","~?"),'DADOS_RESTRICOES'!$M$2:$Q$54,3,FALSE)=2),0))</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",TRUE,IF($ND18=0,"",TEXTJOIN(" · ",TRUE,IF($MQ18&gt;$NE18,"Este lugar abre no nível "&amp;$MQ18,""),IF($MS18&gt;$NF18,"Classe "&amp;$MS18&amp;": o nível "&amp;$NE18&amp;" libera até a "&amp;$NF18,""),IF($NX18=1,"A Forma "&amp;$MU18&amp;" pede "&amp;INDEX('DADOS_FORMAS'!$GA$2:$GA$21,$NJ18)&amp;" aberta",""),IF(AND($MS18=0,$NJ18&gt;0,IF($NJ18=0,0,INDEX('DADOS_FORMAS'!$GJ$2:$GJ$21,$NJ18))=0),$MU18&amp;"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Corpo")&gt;0,$OF18=0,OR($RO18="Cone",$RO18="Linha")),"Corpo a Corpo não entra em "&amp;$MU18,""),IF(AND(COUNTIF($OK18:$OL18,"Corpo a Corpo")&gt;0,$RP18="Corpo a Corpo"),"A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"&amp;$NC18,""))),IF(AND($MU18&lt;&gt;"",COUNTIF('DADOS_FORMAS'!$AH$2:$AH$21,SUBSTITUTE(SUBSTITUTE(SUBSTITUTE($MU18,"~","~~"),"*","~*"),"?","~?"))=0),"Forma não cadastrada ou com erro: "&amp;$MU18,""),IF(AND(IFERROR(INDEX('DADOS_FORMAS'!$AS$2:$AS$21,MATCH(SUBSTITUTE(SUBSTITUTE(SUBSTITUTE($MU18,"~","~~"),"*","~*"),"?","~?"),'DADOS_FORMAS'!$AH$2:$AH$21,0)),"")&lt;&gt;"",OR(IFERROR(VLOOKUP(SUBSTITUTE(SUBSTITUTE(SUBSTITUTE(IFERROR(INDEX('DADOS_FORMAS'!$AS$2:$AS$21,MATCH(SUBSTITUTE(SUBSTITUTE(SUBSTITUTE($MU18,"~","~~"),"*","~*"),"?","~?"),'DADOS_FORMAS'!$AH$2:$AH$21,0)),""),"~","~~"),"*","~*"),"?","~?"),'DADOS_RESTRICOES'!$M$2:$Q$54,2,FALSE),"")=$OK18,IFERROR(VLOOKUP(SUBSTITUTE(SUBSTITUTE(SUBSTITUTE(IFERROR(INDEX('DADOS_FORMAS'!$AS$2:$AS$21,MATCH(SUBSTITUTE(SUBSTITUTE(SUBSTITUTE($MU18,"~","~~"),"*","~*"),"?","~?"),'DADOS_FORMAS'!$AH$2:$AH$21,0)),""),"~","~~"),"*","~*"),"?","~?"),'DADOS_RESTRICOES'!$M$2:$Q$54,2,FALSE),"")=$OL18)),"Restrição repetida, contando a embutida",""),IF(IF(IFERROR(INDEX('DADOS_FORMAS'!$AS$2:$AS$21,MATCH(SUBSTITUTE(SUBSTITUTE(SUBSTITUTE($MU18,"~","~~"),"*","~*"),"?","~?"),'DADOS_FORMAS'!$AH$2:$AH$21,0)),"")="",0,IFERROR(N(VLOOKUP(SUBSTITUTE(SUBSTITUTE(SUBSTITUTE(IFERROR(INDEX('DADOS_FORMAS'!$AS$2:$AS$21,MATCH(SUBSTITUTE(SUBSTITUTE(SUBSTITUTE($MU18,"~","~~"),"*","~*"),"?","~?"),'DADOS_FORMAS'!$AH$2:$AH$21,0)),""),"~","~~"),"*","~*"),"?","~?"),'DADOS_RESTRICOES'!$M$2:$Q$54,4,FALSE)=1),0))+IF($NB18="",0,IFERROR(N(VLOOKUP(SUBSTITUTE(SUBSTITUTE(SUBSTITUTE($NB18,"~","~~"),"*","~*"),"?","~?"),'DADOS_RESTRICOES'!$M$2:$Q$54,4,FALSE)=1),0))+IF($NC18="",0,IFERROR(N(VLOOKUP(SUBSTITUTE(SUBSTITUTE(SUBSTITUTE($NC18,"~","~~"),"*","~*"),"?","~?"),'DADOS_RESTRICOES'!$M$2:$Q$54,4,FALSE)=1),0))&gt;1,"Duas Restrições de frequência, contando a embutida",""),IF(AND(IFERROR(VLOOKUP(SUBSTITUTE(SUBSTITUTE(SUBSTITUTE(IFERROR(INDEX('DADOS_FORMAS'!$AS$2:$AS$21,MATCH(SUBSTITUTE(SUBSTITUTE(SUBSTITUTE($MU18,"~","~~"),"*","~*"),"?","~?"),'DADOS_FORMAS'!$AH$2:$AH$21,0)),""),"~","~~"),"*","~*"),"?","~?"),'DADOS_RESTRICOES'!$M$2:$Q$54,2,FALSE),"")="Tudo ou Nada",$OH18=0),"Tudo ou Nada exige TR",""),IF(AND(IFERROR(VLOOKUP(SUBSTITUTE(SUBSTITUTE(SUBSTITUTE(IFERROR(INDEX('DADOS_FORMAS'!$AS$2:$AS$21,MATCH(SUBSTITUTE(SUBSTITUTE(SUBSTITUTE($MU18,"~","~~"),"*","~*"),"?","~?"),'DADOS_FORMAS'!$AH$2:$AH$21,0)),""),"~","~~"),"*","~*"),"?","~?"),'DADOS_RESTRICOES'!$M$2:$Q$54,2,FALSE),"")="Corpo a Corpo",OR($RO18="Cone",$RO18="Linha")),"Corpo a Corpo não entra em Cone/Linha","")))</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dela",IF(COUNTIF($RQ18:$RS18,"Atrasar")&gt;0,"Sua Ação Completa",IF(COUNTIF($RK18:$RN18,"Rápido")&gt;0,"Sua Bônus",IF(COUNTIF($RK18:$RN18,"Reação")&gt;0,"Sua Reação","Sua Padrão")))&amp;" + a básica dela"&amp;IF(COUNTIF($RK18:$RN18,"Reação")&gt;0," e a coletiva","")&amp;IF(COUNTIF($RQ18:$RS18,"Carregar")&gt;0," · em dois turnos","")))</f>
        <v/>
      </c>
      <c r="QC18" s="161">
        <f>IF($MW18&lt;&gt;"",$MW18,IF($NJ18=0,"",INDEX('DADOS_FORMAS'!$GE$2:$GE$21,$NJ18)))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IF($NJ18=0,0,CHOOSE(1+INDEX('DADOS_FORMAS'!$GG$2:$GG$21,$NJ18),0,$QF18,$QG18,$QF18+$QG18))</f>
        <v/>
      </c>
      <c r="QI18" s="161">
        <f>IF($NJ18=0,0,CHOOSE(1+INDEX('DADOS_FORMAS'!$GH$2:$GH$21,$NJ18),0,$QF18,$QG18,$QF18+$QG18))</f>
        <v/>
      </c>
      <c r="QJ18" s="161">
        <f>IF(OR($ND18=0,$NJ18=0),"",INDEX('DADOS_FORMAS'!$HU$2:$HZ$81,($NJ18-1)*4+IF($MS18=0,1,IF($MS18&lt;=5,2,IF($MS18=6,3,4))),1+MIN(5,$QH18))&amp;INDEX('DADOS_FORMAS'!$IA$2:$IF$81,($NJ18-1)*4+IF($MS18=0,1,IF($MS18&lt;=5,2,IF($MS18=6,3,4))),1+MIN(5,$QI18))&amp;IF(INDEX('DADOS_FORMAS'!$GI$2:$GI$21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c r="RO18">
        <f>IFERROR(INDEX('DADOS_FORMAS'!$BJ$2:$BJ$21,MATCH(SUBSTITUTE(SUBSTITUTE(SUBSTITUTE($MU18,"~","~~"),"*","~*"),"?","~?"),'DADOS_FORMAS'!$AH$2:$AH$21,0)),"")</f>
        <v/>
      </c>
      <c r="RP18">
        <f>IFERROR(VLOOKUP(SUBSTITUTE(SUBSTITUTE(SUBSTITUTE(IFERROR(INDEX('DADOS_FORMAS'!$AS$2:$AS$21,MATCH(SUBSTITUTE(SUBSTITUTE(SUBSTITUTE($MU18,"~","~~"),"*","~*"),"?","~?"),'DADOS_FORMAS'!$AH$2:$AH$21,0)),""),"~","~~"),"*","~*"),"?","~?"),'DADOS_RESTRICOES'!$M$2:$Q$54,2,FALSE),"")</f>
        <v/>
      </c>
      <c r="RQ18">
        <f>$OK18</f>
        <v/>
      </c>
      <c r="RR18">
        <f>$OL18</f>
        <v/>
      </c>
      <c r="RS18">
        <f>$RP18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IFERROR(MATCH(SUBSTITUTE(SUBSTITUTE(SUBSTITUTE($MU19,"~","~~"),"*","~*"),"?","~?"),'DADOS_FORMAS'!$FZ$2:$FZ$21,0),0)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IF($MS19=0,0,IF($NJ19=0,0,INDEX('DADOS_FORMAS'!$GB$2:$GB$21,$NJ19)))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IF($NJ19=0,0,IF(INDEX('DADOS_FORMAS'!$GA$2:$GA$21,$NJ19)="",0,IF((COUNTIF(INDEX($EL$2:$EP$13,$MO19,0),INDEX('DADOS_FORMAS'!$GA$2:$GA$21,$NJ19))+COUNTIF(INDEX($QV$2:$QY$13,$MO19,0),INDEX('DADOS_FORMAS'!$GA$2:$GA$21,$NJ19)))=0,1,0)))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IFERROR(N(AND(INDEX('DADOS_FORMAS'!$AO$2:$AO$21,MATCH(SUBSTITUTE(SUBSTITUTE(SUBSTITUTE($MU19,"~","~~"),"*","~*"),"?","~?"),'DADOS_FORMAS'!$AH$2:$AH$21,0))="Acerto",$OH19=1)),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IF($NJ19=0,0,INDEX('DADOS_FORMAS'!$GC$2:$GC$21,$NJ19))</f>
        <v/>
      </c>
      <c r="OG19" s="161">
        <f>IF($NJ19=0,0,INDEX('DADOS_FORMAS'!$GD$2:$GD$21,$NJ19))</f>
        <v/>
      </c>
      <c r="OH19" s="161">
        <f>IF($NJ19=0,0,INDEX('DADOS_FORMAS'!$GF$2:$GF$21,$NJ19))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IF(IFERROR(INDEX('DADOS_FORMAS'!$AS$2:$AS$21,MATCH(SUBSTITUTE(SUBSTITUTE(SUBSTITUTE($MU19,"~","~~"),"*","~*"),"?","~?"),'DADOS_FORMAS'!$AH$2:$AH$21,0)),"")="",0,IFERROR(N(VLOOKUP(SUBSTITUTE(SUBSTITUTE(SUBSTITUTE(IFERROR(INDEX('DADOS_FORMAS'!$AS$2:$AS$21,MATCH(SUBSTITUTE(SUBSTITUTE(SUBSTITUTE($MU19,"~","~~"),"*","~*"),"?","~?"),'DADOS_FORMAS'!$AH$2:$AH$21,0)),""),"~","~~"),"*","~*"),"?","~?"),'DADOS_RESTRICOES'!$M$2:$Q$54,3,FALSE)=1),0))</f>
        <v/>
      </c>
      <c r="OT19" s="161">
        <f>COUNTIF($OI19:$OJ19,2)+IF(IFERROR(INDEX('DADOS_FORMAS'!$AS$2:$AS$21,MATCH(SUBSTITUTE(SUBSTITUTE(SUBSTITUTE($MU19,"~","~~"),"*","~*"),"?","~?"),'DADOS_FORMAS'!$AH$2:$AH$21,0)),"")="",0,IFERROR(N(VLOOKUP(SUBSTITUTE(SUBSTITUTE(SUBSTITUTE(IFERROR(INDEX('DADOS_FORMAS'!$AS$2:$AS$21,MATCH(SUBSTITUTE(SUBSTITUTE(SUBSTITUTE($MU19,"~","~~"),"*","~*"),"?","~?"),'DADOS_FORMAS'!$AH$2:$AH$21,0)),""),"~","~~"),"*","~*"),"?","~?"),'DADOS_RESTRICOES'!$M$2:$Q$54,3,FALSE)=2),0))</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",TRUE,IF($ND19=0,"",TEXTJOIN(" · ",TRUE,IF($MQ19&gt;$NE19,"Este lugar abre no nível "&amp;$MQ19,""),IF($MS19&gt;$NF19,"Classe "&amp;$MS19&amp;": o nível "&amp;$NE19&amp;" libera até a "&amp;$NF19,""),IF($NX19=1,"A Forma "&amp;$MU19&amp;" pede "&amp;INDEX('DADOS_FORMAS'!$GA$2:$GA$21,$NJ19)&amp;" aberta",""),IF(AND($MS19=0,$NJ19&gt;0,IF($NJ19=0,0,INDEX('DADOS_FORMAS'!$GJ$2:$GJ$21,$NJ19))=0),$MU19&amp;"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Corpo")&gt;0,$OF19=0,OR($RO19="Cone",$RO19="Linha")),"Corpo a Corpo não entra em "&amp;$MU19,""),IF(AND(COUNTIF($OK19:$OL19,"Corpo a Corpo")&gt;0,$RP19="Corpo a Corpo"),"A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"&amp;$NC19,""))),IF(AND($MU19&lt;&gt;"",COUNTIF('DADOS_FORMAS'!$AH$2:$AH$21,SUBSTITUTE(SUBSTITUTE(SUBSTITUTE($MU19,"~","~~"),"*","~*"),"?","~?"))=0),"Forma não cadastrada ou com erro: "&amp;$MU19,""),IF(AND(IFERROR(INDEX('DADOS_FORMAS'!$AS$2:$AS$21,MATCH(SUBSTITUTE(SUBSTITUTE(SUBSTITUTE($MU19,"~","~~"),"*","~*"),"?","~?"),'DADOS_FORMAS'!$AH$2:$AH$21,0)),"")&lt;&gt;"",OR(IFERROR(VLOOKUP(SUBSTITUTE(SUBSTITUTE(SUBSTITUTE(IFERROR(INDEX('DADOS_FORMAS'!$AS$2:$AS$21,MATCH(SUBSTITUTE(SUBSTITUTE(SUBSTITUTE($MU19,"~","~~"),"*","~*"),"?","~?"),'DADOS_FORMAS'!$AH$2:$AH$21,0)),""),"~","~~"),"*","~*"),"?","~?"),'DADOS_RESTRICOES'!$M$2:$Q$54,2,FALSE),"")=$OK19,IFERROR(VLOOKUP(SUBSTITUTE(SUBSTITUTE(SUBSTITUTE(IFERROR(INDEX('DADOS_FORMAS'!$AS$2:$AS$21,MATCH(SUBSTITUTE(SUBSTITUTE(SUBSTITUTE($MU19,"~","~~"),"*","~*"),"?","~?"),'DADOS_FORMAS'!$AH$2:$AH$21,0)),""),"~","~~"),"*","~*"),"?","~?"),'DADOS_RESTRICOES'!$M$2:$Q$54,2,FALSE),"")=$OL19)),"Restrição repetida, contando a embutida",""),IF(IF(IFERROR(INDEX('DADOS_FORMAS'!$AS$2:$AS$21,MATCH(SUBSTITUTE(SUBSTITUTE(SUBSTITUTE($MU19,"~","~~"),"*","~*"),"?","~?"),'DADOS_FORMAS'!$AH$2:$AH$21,0)),"")="",0,IFERROR(N(VLOOKUP(SUBSTITUTE(SUBSTITUTE(SUBSTITUTE(IFERROR(INDEX('DADOS_FORMAS'!$AS$2:$AS$21,MATCH(SUBSTITUTE(SUBSTITUTE(SUBSTITUTE($MU19,"~","~~"),"*","~*"),"?","~?"),'DADOS_FORMAS'!$AH$2:$AH$21,0)),""),"~","~~"),"*","~*"),"?","~?"),'DADOS_RESTRICOES'!$M$2:$Q$54,4,FALSE)=1),0))+IF($NB19="",0,IFERROR(N(VLOOKUP(SUBSTITUTE(SUBSTITUTE(SUBSTITUTE($NB19,"~","~~"),"*","~*"),"?","~?"),'DADOS_RESTRICOES'!$M$2:$Q$54,4,FALSE)=1),0))+IF($NC19="",0,IFERROR(N(VLOOKUP(SUBSTITUTE(SUBSTITUTE(SUBSTITUTE($NC19,"~","~~"),"*","~*"),"?","~?"),'DADOS_RESTRICOES'!$M$2:$Q$54,4,FALSE)=1),0))&gt;1,"Duas Restrições de frequência, contando a embutida",""),IF(AND(IFERROR(VLOOKUP(SUBSTITUTE(SUBSTITUTE(SUBSTITUTE(IFERROR(INDEX('DADOS_FORMAS'!$AS$2:$AS$21,MATCH(SUBSTITUTE(SUBSTITUTE(SUBSTITUTE($MU19,"~","~~"),"*","~*"),"?","~?"),'DADOS_FORMAS'!$AH$2:$AH$21,0)),""),"~","~~"),"*","~*"),"?","~?"),'DADOS_RESTRICOES'!$M$2:$Q$54,2,FALSE),"")="Tudo ou Nada",$OH19=0),"Tudo ou Nada exige TR",""),IF(AND(IFERROR(VLOOKUP(SUBSTITUTE(SUBSTITUTE(SUBSTITUTE(IFERROR(INDEX('DADOS_FORMAS'!$AS$2:$AS$21,MATCH(SUBSTITUTE(SUBSTITUTE(SUBSTITUTE($MU19,"~","~~"),"*","~*"),"?","~?"),'DADOS_FORMAS'!$AH$2:$AH$21,0)),""),"~","~~"),"*","~*"),"?","~?"),'DADOS_RESTRICOES'!$M$2:$Q$54,2,FALSE),"")="Corpo a Corpo",OR($RO19="Cone",$RO19="Linha")),"Corpo a Corpo não entra em Cone/Linha","")))</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dela",IF(COUNTIF($RQ19:$RS19,"Atrasar")&gt;0,"Sua Ação Completa",IF(COUNTIF($RK19:$RN19,"Rápido")&gt;0,"Sua Bônus",IF(COUNTIF($RK19:$RN19,"Reação")&gt;0,"Sua Reação","Sua Padrão")))&amp;" + a básica dela"&amp;IF(COUNTIF($RK19:$RN19,"Reação")&gt;0," e a coletiva","")&amp;IF(COUNTIF($RQ19:$RS19,"Carregar")&gt;0," · em dois turnos","")))</f>
        <v/>
      </c>
      <c r="QC19" s="161">
        <f>IF($MW19&lt;&gt;"",$MW19,IF($NJ19=0,"",INDEX('DADOS_FORMAS'!$GE$2:$GE$21,$NJ19)))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IF($NJ19=0,0,CHOOSE(1+INDEX('DADOS_FORMAS'!$GG$2:$GG$21,$NJ19),0,$QF19,$QG19,$QF19+$QG19))</f>
        <v/>
      </c>
      <c r="QI19" s="161">
        <f>IF($NJ19=0,0,CHOOSE(1+INDEX('DADOS_FORMAS'!$GH$2:$GH$21,$NJ19),0,$QF19,$QG19,$QF19+$QG19))</f>
        <v/>
      </c>
      <c r="QJ19" s="161">
        <f>IF(OR($ND19=0,$NJ19=0),"",INDEX('DADOS_FORMAS'!$HU$2:$HZ$81,($NJ19-1)*4+IF($MS19=0,1,IF($MS19&lt;=5,2,IF($MS19=6,3,4))),1+MIN(5,$QH19))&amp;INDEX('DADOS_FORMAS'!$IA$2:$IF$81,($NJ19-1)*4+IF($MS19=0,1,IF($MS19&lt;=5,2,IF($MS19=6,3,4))),1+MIN(5,$QI19))&amp;IF(INDEX('DADOS_FORMAS'!$GI$2:$GI$21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c r="RO19">
        <f>IFERROR(INDEX('DADOS_FORMAS'!$BJ$2:$BJ$21,MATCH(SUBSTITUTE(SUBSTITUTE(SUBSTITUTE($MU19,"~","~~"),"*","~*"),"?","~?"),'DADOS_FORMAS'!$AH$2:$AH$21,0)),"")</f>
        <v/>
      </c>
      <c r="RP19">
        <f>IFERROR(VLOOKUP(SUBSTITUTE(SUBSTITUTE(SUBSTITUTE(IFERROR(INDEX('DADOS_FORMAS'!$AS$2:$AS$21,MATCH(SUBSTITUTE(SUBSTITUTE(SUBSTITUTE($MU19,"~","~~"),"*","~*"),"?","~?"),'DADOS_FORMAS'!$AH$2:$AH$21,0)),""),"~","~~"),"*","~*"),"?","~?"),'DADOS_RESTRICOES'!$M$2:$Q$54,2,FALSE),"")</f>
        <v/>
      </c>
      <c r="RQ19">
        <f>$OK19</f>
        <v/>
      </c>
      <c r="RR19">
        <f>$OL19</f>
        <v/>
      </c>
      <c r="RS19">
        <f>$RP19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IFERROR(MATCH(SUBSTITUTE(SUBSTITUTE(SUBSTITUTE($MU20,"~","~~"),"*","~*"),"?","~?"),'DADOS_FORMAS'!$FZ$2:$FZ$21,0),0)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IF($MS20=0,0,IF($NJ20=0,0,INDEX('DADOS_FORMAS'!$GB$2:$GB$21,$NJ20)))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IF($NJ20=0,0,IF(INDEX('DADOS_FORMAS'!$GA$2:$GA$21,$NJ20)="",0,IF((COUNTIF(INDEX($EL$2:$EP$13,$MO20,0),INDEX('DADOS_FORMAS'!$GA$2:$GA$21,$NJ20))+COUNTIF(INDEX($QV$2:$QY$13,$MO20,0),INDEX('DADOS_FORMAS'!$GA$2:$GA$21,$NJ20)))=0,1,0)))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IFERROR(N(AND(INDEX('DADOS_FORMAS'!$AO$2:$AO$21,MATCH(SUBSTITUTE(SUBSTITUTE(SUBSTITUTE($MU20,"~","~~"),"*","~*"),"?","~?"),'DADOS_FORMAS'!$AH$2:$AH$21,0))="Acerto",$OH20=1)),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IF($NJ20=0,0,INDEX('DADOS_FORMAS'!$GC$2:$GC$21,$NJ20))</f>
        <v/>
      </c>
      <c r="OG20" s="161">
        <f>IF($NJ20=0,0,INDEX('DADOS_FORMAS'!$GD$2:$GD$21,$NJ20))</f>
        <v/>
      </c>
      <c r="OH20" s="161">
        <f>IF($NJ20=0,0,INDEX('DADOS_FORMAS'!$GF$2:$GF$21,$NJ20))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IF(IFERROR(INDEX('DADOS_FORMAS'!$AS$2:$AS$21,MATCH(SUBSTITUTE(SUBSTITUTE(SUBSTITUTE($MU20,"~","~~"),"*","~*"),"?","~?"),'DADOS_FORMAS'!$AH$2:$AH$21,0)),"")="",0,IFERROR(N(VLOOKUP(SUBSTITUTE(SUBSTITUTE(SUBSTITUTE(IFERROR(INDEX('DADOS_FORMAS'!$AS$2:$AS$21,MATCH(SUBSTITUTE(SUBSTITUTE(SUBSTITUTE($MU20,"~","~~"),"*","~*"),"?","~?"),'DADOS_FORMAS'!$AH$2:$AH$21,0)),""),"~","~~"),"*","~*"),"?","~?"),'DADOS_RESTRICOES'!$M$2:$Q$54,3,FALSE)=1),0))</f>
        <v/>
      </c>
      <c r="OT20" s="161">
        <f>COUNTIF($OI20:$OJ20,2)+IF(IFERROR(INDEX('DADOS_FORMAS'!$AS$2:$AS$21,MATCH(SUBSTITUTE(SUBSTITUTE(SUBSTITUTE($MU20,"~","~~"),"*","~*"),"?","~?"),'DADOS_FORMAS'!$AH$2:$AH$21,0)),"")="",0,IFERROR(N(VLOOKUP(SUBSTITUTE(SUBSTITUTE(SUBSTITUTE(IFERROR(INDEX('DADOS_FORMAS'!$AS$2:$AS$21,MATCH(SUBSTITUTE(SUBSTITUTE(SUBSTITUTE($MU20,"~","~~"),"*","~*"),"?","~?"),'DADOS_FORMAS'!$AH$2:$AH$21,0)),""),"~","~~"),"*","~*"),"?","~?"),'DADOS_RESTRICOES'!$M$2:$Q$54,3,FALSE)=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",TRUE,IF($ND20=0,"",TEXTJOIN(" · ",TRUE,IF($MQ20&gt;$NE20,"Este lugar abre no nível "&amp;$MQ20,""),IF($MS20&gt;$NF20,"Classe "&amp;$MS20&amp;": o nível "&amp;$NE20&amp;" libera até a "&amp;$NF20,""),IF($NX20=1,"A Forma "&amp;$MU20&amp;" pede "&amp;INDEX('DADOS_FORMAS'!$GA$2:$GA$21,$NJ20)&amp;" aberta",""),IF(AND($MS20=0,$NJ20&gt;0,IF($NJ20=0,0,INDEX('DADOS_FORMAS'!$GJ$2:$GJ$21,$NJ20))=0),$MU20&amp;"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Corpo")&gt;0,$OF20=0,OR($RO20="Cone",$RO20="Linha")),"Corpo a Corpo não entra em "&amp;$MU20,""),IF(AND(COUNTIF($OK20:$OL20,"Corpo a Corpo")&gt;0,$RP20="Corpo a Corpo"),"A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"&amp;$NC20,""))),IF(AND($MU20&lt;&gt;"",COUNTIF('DADOS_FORMAS'!$AH$2:$AH$21,SUBSTITUTE(SUBSTITUTE(SUBSTITUTE($MU20,"~","~~"),"*","~*"),"?","~?"))=0),"Forma não cadastrada ou com erro: "&amp;$MU20,""),IF(AND(IFERROR(INDEX('DADOS_FORMAS'!$AS$2:$AS$21,MATCH(SUBSTITUTE(SUBSTITUTE(SUBSTITUTE($MU20,"~","~~"),"*","~*"),"?","~?"),'DADOS_FORMAS'!$AH$2:$AH$21,0)),"")&lt;&gt;"",OR(IFERROR(VLOOKUP(SUBSTITUTE(SUBSTITUTE(SUBSTITUTE(IFERROR(INDEX('DADOS_FORMAS'!$AS$2:$AS$21,MATCH(SUBSTITUTE(SUBSTITUTE(SUBSTITUTE($MU20,"~","~~"),"*","~*"),"?","~?"),'DADOS_FORMAS'!$AH$2:$AH$21,0)),""),"~","~~"),"*","~*"),"?","~?"),'DADOS_RESTRICOES'!$M$2:$Q$54,2,FALSE),"")=$OK20,IFERROR(VLOOKUP(SUBSTITUTE(SUBSTITUTE(SUBSTITUTE(IFERROR(INDEX('DADOS_FORMAS'!$AS$2:$AS$21,MATCH(SUBSTITUTE(SUBSTITUTE(SUBSTITUTE($MU20,"~","~~"),"*","~*"),"?","~?"),'DADOS_FORMAS'!$AH$2:$AH$21,0)),""),"~","~~"),"*","~*"),"?","~?"),'DADOS_RESTRICOES'!$M$2:$Q$54,2,FALSE),"")=$OL20)),"Restrição repetida, contando a embutida",""),IF(IF(IFERROR(INDEX('DADOS_FORMAS'!$AS$2:$AS$21,MATCH(SUBSTITUTE(SUBSTITUTE(SUBSTITUTE($MU20,"~","~~"),"*","~*"),"?","~?"),'DADOS_FORMAS'!$AH$2:$AH$21,0)),"")="",0,IFERROR(N(VLOOKUP(SUBSTITUTE(SUBSTITUTE(SUBSTITUTE(IFERROR(INDEX('DADOS_FORMAS'!$AS$2:$AS$21,MATCH(SUBSTITUTE(SUBSTITUTE(SUBSTITUTE($MU20,"~","~~"),"*","~*"),"?","~?"),'DADOS_FORMAS'!$AH$2:$AH$21,0)),""),"~","~~"),"*","~*"),"?","~?"),'DADOS_RESTRICOES'!$M$2:$Q$54,4,FALSE)=1),0))+IF($NB20="",0,IFERROR(N(VLOOKUP(SUBSTITUTE(SUBSTITUTE(SUBSTITUTE($NB20,"~","~~"),"*","~*"),"?","~?"),'DADOS_RESTRICOES'!$M$2:$Q$54,4,FALSE)=1),0))+IF($NC20="",0,IFERROR(N(VLOOKUP(SUBSTITUTE(SUBSTITUTE(SUBSTITUTE($NC20,"~","~~"),"*","~*"),"?","~?"),'DADOS_RESTRICOES'!$M$2:$Q$54,4,FALSE)=1),0))&gt;1,"Duas Restrições de frequência, contando a embutida",""),IF(AND(IFERROR(VLOOKUP(SUBSTITUTE(SUBSTITUTE(SUBSTITUTE(IFERROR(INDEX('DADOS_FORMAS'!$AS$2:$AS$21,MATCH(SUBSTITUTE(SUBSTITUTE(SUBSTITUTE($MU20,"~","~~"),"*","~*"),"?","~?"),'DADOS_FORMAS'!$AH$2:$AH$21,0)),""),"~","~~"),"*","~*"),"?","~?"),'DADOS_RESTRICOES'!$M$2:$Q$54,2,FALSE),"")="Tudo ou Nada",$OH20=0),"Tudo ou Nada exige TR",""),IF(AND(IFERROR(VLOOKUP(SUBSTITUTE(SUBSTITUTE(SUBSTITUTE(IFERROR(INDEX('DADOS_FORMAS'!$AS$2:$AS$21,MATCH(SUBSTITUTE(SUBSTITUTE(SUBSTITUTE($MU20,"~","~~"),"*","~*"),"?","~?"),'DADOS_FORMAS'!$AH$2:$AH$21,0)),""),"~","~~"),"*","~*"),"?","~?"),'DADOS_RESTRICOES'!$M$2:$Q$54,2,FALSE),"")="Corpo a Corpo",OR($RO20="Cone",$RO20="Linha")),"Corpo a Corpo não entra em Cone/Linha","")))</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dela",IF(COUNTIF($RQ20:$RS20,"Atrasar")&gt;0,"Sua Ação Completa",IF(COUNTIF($RK20:$RN20,"Rápido")&gt;0,"Sua Bônus",IF(COUNTIF($RK20:$RN20,"Reação")&gt;0,"Sua Reação","Sua Padrão")))&amp;" + a básica dela"&amp;IF(COUNTIF($RK20:$RN20,"Reação")&gt;0," e a coletiva","")&amp;IF(COUNTIF($RQ20:$RS20,"Carregar")&gt;0," · em dois turnos","")))</f>
        <v/>
      </c>
      <c r="QC20" s="161">
        <f>IF($MW20&lt;&gt;"",$MW20,IF($NJ20=0,"",INDEX('DADOS_FORMAS'!$GE$2:$GE$21,$NJ20)))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IF($NJ20=0,0,CHOOSE(1+INDEX('DADOS_FORMAS'!$GG$2:$GG$21,$NJ20),0,$QF20,$QG20,$QF20+$QG20))</f>
        <v/>
      </c>
      <c r="QI20" s="161">
        <f>IF($NJ20=0,0,CHOOSE(1+INDEX('DADOS_FORMAS'!$GH$2:$GH$21,$NJ20),0,$QF20,$QG20,$QF20+$QG20))</f>
        <v/>
      </c>
      <c r="QJ20" s="161">
        <f>IF(OR($ND20=0,$NJ20=0),"",INDEX('DADOS_FORMAS'!$HU$2:$HZ$81,($NJ20-1)*4+IF($MS20=0,1,IF($MS20&lt;=5,2,IF($MS20=6,3,4))),1+MIN(5,$QH20))&amp;INDEX('DADOS_FORMAS'!$IA$2:$IF$81,($NJ20-1)*4+IF($MS20=0,1,IF($MS20&lt;=5,2,IF($MS20=6,3,4))),1+MIN(5,$QI20))&amp;IF(INDEX('DADOS_FORMAS'!$GI$2:$GI$21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c r="RO20">
        <f>IFERROR(INDEX('DADOS_FORMAS'!$BJ$2:$BJ$21,MATCH(SUBSTITUTE(SUBSTITUTE(SUBSTITUTE($MU20,"~","~~"),"*","~*"),"?","~?"),'DADOS_FORMAS'!$AH$2:$AH$21,0)),"")</f>
        <v/>
      </c>
      <c r="RP20">
        <f>IFERROR(VLOOKUP(SUBSTITUTE(SUBSTITUTE(SUBSTITUTE(IFERROR(INDEX('DADOS_FORMAS'!$AS$2:$AS$21,MATCH(SUBSTITUTE(SUBSTITUTE(SUBSTITUTE($MU20,"~","~~"),"*","~*"),"?","~?"),'DADOS_FORMAS'!$AH$2:$AH$21,0)),""),"~","~~"),"*","~*"),"?","~?"),'DADOS_RESTRICOES'!$M$2:$Q$54,2,FALSE),"")</f>
        <v/>
      </c>
      <c r="RQ20">
        <f>$OK20</f>
        <v/>
      </c>
      <c r="RR20">
        <f>$OL20</f>
        <v/>
      </c>
      <c r="RS20">
        <f>$RP20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IFERROR(MATCH(SUBSTITUTE(SUBSTITUTE(SUBSTITUTE($MU21,"~","~~"),"*","~*"),"?","~?"),'DADOS_FORMAS'!$FZ$2:$FZ$21,0),0)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IF($MS21=0,0,IF($NJ21=0,0,INDEX('DADOS_FORMAS'!$GB$2:$GB$21,$NJ21)))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IF($NJ21=0,0,IF(INDEX('DADOS_FORMAS'!$GA$2:$GA$21,$NJ21)="",0,IF((COUNTIF(INDEX($EL$2:$EP$13,$MO21,0),INDEX('DADOS_FORMAS'!$GA$2:$GA$21,$NJ21))+COUNTIF(INDEX($QV$2:$QY$13,$MO21,0),INDEX('DADOS_FORMAS'!$GA$2:$GA$21,$NJ21)))=0,1,0)))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IFERROR(N(AND(INDEX('DADOS_FORMAS'!$AO$2:$AO$21,MATCH(SUBSTITUTE(SUBSTITUTE(SUBSTITUTE($MU21,"~","~~"),"*","~*"),"?","~?"),'DADOS_FORMAS'!$AH$2:$AH$21,0))="Acerto",$OH21=1)),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IF($NJ21=0,0,INDEX('DADOS_FORMAS'!$GC$2:$GC$21,$NJ21))</f>
        <v/>
      </c>
      <c r="OG21" s="161">
        <f>IF($NJ21=0,0,INDEX('DADOS_FORMAS'!$GD$2:$GD$21,$NJ21))</f>
        <v/>
      </c>
      <c r="OH21" s="161">
        <f>IF($NJ21=0,0,INDEX('DADOS_FORMAS'!$GF$2:$GF$21,$NJ21))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IF(IFERROR(INDEX('DADOS_FORMAS'!$AS$2:$AS$21,MATCH(SUBSTITUTE(SUBSTITUTE(SUBSTITUTE($MU21,"~","~~"),"*","~*"),"?","~?"),'DADOS_FORMAS'!$AH$2:$AH$21,0)),"")="",0,IFERROR(N(VLOOKUP(SUBSTITUTE(SUBSTITUTE(SUBSTITUTE(IFERROR(INDEX('DADOS_FORMAS'!$AS$2:$AS$21,MATCH(SUBSTITUTE(SUBSTITUTE(SUBSTITUTE($MU21,"~","~~"),"*","~*"),"?","~?"),'DADOS_FORMAS'!$AH$2:$AH$21,0)),""),"~","~~"),"*","~*"),"?","~?"),'DADOS_RESTRICOES'!$M$2:$Q$54,3,FALSE)=1),0))</f>
        <v/>
      </c>
      <c r="OT21" s="161">
        <f>COUNTIF($OI21:$OJ21,2)+IF(IFERROR(INDEX('DADOS_FORMAS'!$AS$2:$AS$21,MATCH(SUBSTITUTE(SUBSTITUTE(SUBSTITUTE($MU21,"~","~~"),"*","~*"),"?","~?"),'DADOS_FORMAS'!$AH$2:$AH$21,0)),"")="",0,IFERROR(N(VLOOKUP(SUBSTITUTE(SUBSTITUTE(SUBSTITUTE(IFERROR(INDEX('DADOS_FORMAS'!$AS$2:$AS$21,MATCH(SUBSTITUTE(SUBSTITUTE(SUBSTITUTE($MU21,"~","~~"),"*","~*"),"?","~?"),'DADOS_FORMAS'!$AH$2:$AH$21,0)),""),"~","~~"),"*","~*"),"?","~?"),'DADOS_RESTRICOES'!$M$2:$Q$54,3,FALSE)=2),0))</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",TRUE,IF($ND21=0,"",TEXTJOIN(" · ",TRUE,IF($MQ21&gt;$NE21,"Este lugar abre no nível "&amp;$MQ21,""),IF($MS21&gt;$NF21,"Classe "&amp;$MS21&amp;": o nível "&amp;$NE21&amp;" libera até a "&amp;$NF21,""),IF($NX21=1,"A Forma "&amp;$MU21&amp;" pede "&amp;INDEX('DADOS_FORMAS'!$GA$2:$GA$21,$NJ21)&amp;" aberta",""),IF(AND($MS21=0,$NJ21&gt;0,IF($NJ21=0,0,INDEX('DADOS_FORMAS'!$GJ$2:$GJ$21,$NJ21))=0),$MU21&amp;"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Corpo")&gt;0,$OF21=0,OR($RO21="Cone",$RO21="Linha")),"Corpo a Corpo não entra em "&amp;$MU21,""),IF(AND(COUNTIF($OK21:$OL21,"Corpo a Corpo")&gt;0,$RP21="Corpo a Corpo"),"A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"&amp;$NC21,""))),IF(AND($MU21&lt;&gt;"",COUNTIF('DADOS_FORMAS'!$AH$2:$AH$21,SUBSTITUTE(SUBSTITUTE(SUBSTITUTE($MU21,"~","~~"),"*","~*"),"?","~?"))=0),"Forma não cadastrada ou com erro: "&amp;$MU21,""),IF(AND(IFERROR(INDEX('DADOS_FORMAS'!$AS$2:$AS$21,MATCH(SUBSTITUTE(SUBSTITUTE(SUBSTITUTE($MU21,"~","~~"),"*","~*"),"?","~?"),'DADOS_FORMAS'!$AH$2:$AH$21,0)),"")&lt;&gt;"",OR(IFERROR(VLOOKUP(SUBSTITUTE(SUBSTITUTE(SUBSTITUTE(IFERROR(INDEX('DADOS_FORMAS'!$AS$2:$AS$21,MATCH(SUBSTITUTE(SUBSTITUTE(SUBSTITUTE($MU21,"~","~~"),"*","~*"),"?","~?"),'DADOS_FORMAS'!$AH$2:$AH$21,0)),""),"~","~~"),"*","~*"),"?","~?"),'DADOS_RESTRICOES'!$M$2:$Q$54,2,FALSE),"")=$OK21,IFERROR(VLOOKUP(SUBSTITUTE(SUBSTITUTE(SUBSTITUTE(IFERROR(INDEX('DADOS_FORMAS'!$AS$2:$AS$21,MATCH(SUBSTITUTE(SUBSTITUTE(SUBSTITUTE($MU21,"~","~~"),"*","~*"),"?","~?"),'DADOS_FORMAS'!$AH$2:$AH$21,0)),""),"~","~~"),"*","~*"),"?","~?"),'DADOS_RESTRICOES'!$M$2:$Q$54,2,FALSE),"")=$OL21)),"Restrição repetida, contando a embutida",""),IF(IF(IFERROR(INDEX('DADOS_FORMAS'!$AS$2:$AS$21,MATCH(SUBSTITUTE(SUBSTITUTE(SUBSTITUTE($MU21,"~","~~"),"*","~*"),"?","~?"),'DADOS_FORMAS'!$AH$2:$AH$21,0)),"")="",0,IFERROR(N(VLOOKUP(SUBSTITUTE(SUBSTITUTE(SUBSTITUTE(IFERROR(INDEX('DADOS_FORMAS'!$AS$2:$AS$21,MATCH(SUBSTITUTE(SUBSTITUTE(SUBSTITUTE($MU21,"~","~~"),"*","~*"),"?","~?"),'DADOS_FORMAS'!$AH$2:$AH$21,0)),""),"~","~~"),"*","~*"),"?","~?"),'DADOS_RESTRICOES'!$M$2:$Q$54,4,FALSE)=1),0))+IF($NB21="",0,IFERROR(N(VLOOKUP(SUBSTITUTE(SUBSTITUTE(SUBSTITUTE($NB21,"~","~~"),"*","~*"),"?","~?"),'DADOS_RESTRICOES'!$M$2:$Q$54,4,FALSE)=1),0))+IF($NC21="",0,IFERROR(N(VLOOKUP(SUBSTITUTE(SUBSTITUTE(SUBSTITUTE($NC21,"~","~~"),"*","~*"),"?","~?"),'DADOS_RESTRICOES'!$M$2:$Q$54,4,FALSE)=1),0))&gt;1,"Duas Restrições de frequência, contando a embutida",""),IF(AND(IFERROR(VLOOKUP(SUBSTITUTE(SUBSTITUTE(SUBSTITUTE(IFERROR(INDEX('DADOS_FORMAS'!$AS$2:$AS$21,MATCH(SUBSTITUTE(SUBSTITUTE(SUBSTITUTE($MU21,"~","~~"),"*","~*"),"?","~?"),'DADOS_FORMAS'!$AH$2:$AH$21,0)),""),"~","~~"),"*","~*"),"?","~?"),'DADOS_RESTRICOES'!$M$2:$Q$54,2,FALSE),"")="Tudo ou Nada",$OH21=0),"Tudo ou Nada exige TR",""),IF(AND(IFERROR(VLOOKUP(SUBSTITUTE(SUBSTITUTE(SUBSTITUTE(IFERROR(INDEX('DADOS_FORMAS'!$AS$2:$AS$21,MATCH(SUBSTITUTE(SUBSTITUTE(SUBSTITUTE($MU21,"~","~~"),"*","~*"),"?","~?"),'DADOS_FORMAS'!$AH$2:$AH$21,0)),""),"~","~~"),"*","~*"),"?","~?"),'DADOS_RESTRICOES'!$M$2:$Q$54,2,FALSE),"")="Corpo a Corpo",OR($RO21="Cone",$RO21="Linha")),"Corpo a Corpo não entra em Cone/Linha","")))</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dela",IF(COUNTIF($RQ21:$RS21,"Atrasar")&gt;0,"Sua Ação Completa",IF(COUNTIF($RK21:$RN21,"Rápido")&gt;0,"Sua Bônus",IF(COUNTIF($RK21:$RN21,"Reação")&gt;0,"Sua Reação","Sua Padrão")))&amp;" + a básica dela"&amp;IF(COUNTIF($RK21:$RN21,"Reação")&gt;0," e a coletiva","")&amp;IF(COUNTIF($RQ21:$RS21,"Carregar")&gt;0," · em dois turnos","")))</f>
        <v/>
      </c>
      <c r="QC21" s="161">
        <f>IF($MW21&lt;&gt;"",$MW21,IF($NJ21=0,"",INDEX('DADOS_FORMAS'!$GE$2:$GE$21,$NJ21)))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IF($NJ21=0,0,CHOOSE(1+INDEX('DADOS_FORMAS'!$GG$2:$GG$21,$NJ21),0,$QF21,$QG21,$QF21+$QG21))</f>
        <v/>
      </c>
      <c r="QI21" s="161">
        <f>IF($NJ21=0,0,CHOOSE(1+INDEX('DADOS_FORMAS'!$GH$2:$GH$21,$NJ21),0,$QF21,$QG21,$QF21+$QG21))</f>
        <v/>
      </c>
      <c r="QJ21" s="161">
        <f>IF(OR($ND21=0,$NJ21=0),"",INDEX('DADOS_FORMAS'!$HU$2:$HZ$81,($NJ21-1)*4+IF($MS21=0,1,IF($MS21&lt;=5,2,IF($MS21=6,3,4))),1+MIN(5,$QH21))&amp;INDEX('DADOS_FORMAS'!$IA$2:$IF$81,($NJ21-1)*4+IF($MS21=0,1,IF($MS21&lt;=5,2,IF($MS21=6,3,4))),1+MIN(5,$QI21))&amp;IF(INDEX('DADOS_FORMAS'!$GI$2:$GI$21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c r="RO21">
        <f>IFERROR(INDEX('DADOS_FORMAS'!$BJ$2:$BJ$21,MATCH(SUBSTITUTE(SUBSTITUTE(SUBSTITUTE($MU21,"~","~~"),"*","~*"),"?","~?"),'DADOS_FORMAS'!$AH$2:$AH$21,0)),"")</f>
        <v/>
      </c>
      <c r="RP21">
        <f>IFERROR(VLOOKUP(SUBSTITUTE(SUBSTITUTE(SUBSTITUTE(IFERROR(INDEX('DADOS_FORMAS'!$AS$2:$AS$21,MATCH(SUBSTITUTE(SUBSTITUTE(SUBSTITUTE($MU21,"~","~~"),"*","~*"),"?","~?"),'DADOS_FORMAS'!$AH$2:$AH$21,0)),""),"~","~~"),"*","~*"),"?","~?"),'DADOS_RESTRICOES'!$M$2:$Q$54,2,FALSE),"")</f>
        <v/>
      </c>
      <c r="RQ21">
        <f>$OK21</f>
        <v/>
      </c>
      <c r="RR21">
        <f>$OL21</f>
        <v/>
      </c>
      <c r="RS21">
        <f>$RP21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IFERROR(MATCH(SUBSTITUTE(SUBSTITUTE(SUBSTITUTE($MU22,"~","~~"),"*","~*"),"?","~?"),'DADOS_FORMAS'!$FZ$2:$FZ$21,0),0)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IF($MS22=0,0,IF($NJ22=0,0,INDEX('DADOS_FORMAS'!$GB$2:$GB$21,$NJ22)))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IF($NJ22=0,0,IF(INDEX('DADOS_FORMAS'!$GA$2:$GA$21,$NJ22)="",0,IF((COUNTIF(INDEX($EL$2:$EP$13,$MO22,0),INDEX('DADOS_FORMAS'!$GA$2:$GA$21,$NJ22))+COUNTIF(INDEX($QV$2:$QY$13,$MO22,0),INDEX('DADOS_FORMAS'!$GA$2:$GA$21,$NJ22)))=0,1,0)))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IFERROR(N(AND(INDEX('DADOS_FORMAS'!$AO$2:$AO$21,MATCH(SUBSTITUTE(SUBSTITUTE(SUBSTITUTE($MU22,"~","~~"),"*","~*"),"?","~?"),'DADOS_FORMAS'!$AH$2:$AH$21,0))="Acerto",$OH22=1)),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IF($NJ22=0,0,INDEX('DADOS_FORMAS'!$GC$2:$GC$21,$NJ22))</f>
        <v/>
      </c>
      <c r="OG22" s="161">
        <f>IF($NJ22=0,0,INDEX('DADOS_FORMAS'!$GD$2:$GD$21,$NJ22))</f>
        <v/>
      </c>
      <c r="OH22" s="161">
        <f>IF($NJ22=0,0,INDEX('DADOS_FORMAS'!$GF$2:$GF$21,$NJ22))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IF(IFERROR(INDEX('DADOS_FORMAS'!$AS$2:$AS$21,MATCH(SUBSTITUTE(SUBSTITUTE(SUBSTITUTE($MU22,"~","~~"),"*","~*"),"?","~?"),'DADOS_FORMAS'!$AH$2:$AH$21,0)),"")="",0,IFERROR(N(VLOOKUP(SUBSTITUTE(SUBSTITUTE(SUBSTITUTE(IFERROR(INDEX('DADOS_FORMAS'!$AS$2:$AS$21,MATCH(SUBSTITUTE(SUBSTITUTE(SUBSTITUTE($MU22,"~","~~"),"*","~*"),"?","~?"),'DADOS_FORMAS'!$AH$2:$AH$21,0)),""),"~","~~"),"*","~*"),"?","~?"),'DADOS_RESTRICOES'!$M$2:$Q$54,3,FALSE)=1),0))</f>
        <v/>
      </c>
      <c r="OT22" s="161">
        <f>COUNTIF($OI22:$OJ22,2)+IF(IFERROR(INDEX('DADOS_FORMAS'!$AS$2:$AS$21,MATCH(SUBSTITUTE(SUBSTITUTE(SUBSTITUTE($MU22,"~","~~"),"*","~*"),"?","~?"),'DADOS_FORMAS'!$AH$2:$AH$21,0)),"")="",0,IFERROR(N(VLOOKUP(SUBSTITUTE(SUBSTITUTE(SUBSTITUTE(IFERROR(INDEX('DADOS_FORMAS'!$AS$2:$AS$21,MATCH(SUBSTITUTE(SUBSTITUTE(SUBSTITUTE($MU22,"~","~~"),"*","~*"),"?","~?"),'DADOS_FORMAS'!$AH$2:$AH$21,0)),""),"~","~~"),"*","~*"),"?","~?"),'DADOS_RESTRICOES'!$M$2:$Q$54,3,FALSE)=2),0))</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",TRUE,IF($ND22=0,"",TEXTJOIN(" · ",TRUE,IF($MQ22&gt;$NE22,"Este lugar abre no nível "&amp;$MQ22,""),IF($MS22&gt;$NF22,"Classe "&amp;$MS22&amp;": o nível "&amp;$NE22&amp;" libera até a "&amp;$NF22,""),IF($NX22=1,"A Forma "&amp;$MU22&amp;" pede "&amp;INDEX('DADOS_FORMAS'!$GA$2:$GA$21,$NJ22)&amp;" aberta",""),IF(AND($MS22=0,$NJ22&gt;0,IF($NJ22=0,0,INDEX('DADOS_FORMAS'!$GJ$2:$GJ$21,$NJ22))=0),$MU22&amp;"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Corpo")&gt;0,$OF22=0,OR($RO22="Cone",$RO22="Linha")),"Corpo a Corpo não entra em "&amp;$MU22,""),IF(AND(COUNTIF($OK22:$OL22,"Corpo a Corpo")&gt;0,$RP22="Corpo a Corpo"),"A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"&amp;$NC22,""))),IF(AND($MU22&lt;&gt;"",COUNTIF('DADOS_FORMAS'!$AH$2:$AH$21,SUBSTITUTE(SUBSTITUTE(SUBSTITUTE($MU22,"~","~~"),"*","~*"),"?","~?"))=0),"Forma não cadastrada ou com erro: "&amp;$MU22,""),IF(AND(IFERROR(INDEX('DADOS_FORMAS'!$AS$2:$AS$21,MATCH(SUBSTITUTE(SUBSTITUTE(SUBSTITUTE($MU22,"~","~~"),"*","~*"),"?","~?"),'DADOS_FORMAS'!$AH$2:$AH$21,0)),"")&lt;&gt;"",OR(IFERROR(VLOOKUP(SUBSTITUTE(SUBSTITUTE(SUBSTITUTE(IFERROR(INDEX('DADOS_FORMAS'!$AS$2:$AS$21,MATCH(SUBSTITUTE(SUBSTITUTE(SUBSTITUTE($MU22,"~","~~"),"*","~*"),"?","~?"),'DADOS_FORMAS'!$AH$2:$AH$21,0)),""),"~","~~"),"*","~*"),"?","~?"),'DADOS_RESTRICOES'!$M$2:$Q$54,2,FALSE),"")=$OK22,IFERROR(VLOOKUP(SUBSTITUTE(SUBSTITUTE(SUBSTITUTE(IFERROR(INDEX('DADOS_FORMAS'!$AS$2:$AS$21,MATCH(SUBSTITUTE(SUBSTITUTE(SUBSTITUTE($MU22,"~","~~"),"*","~*"),"?","~?"),'DADOS_FORMAS'!$AH$2:$AH$21,0)),""),"~","~~"),"*","~*"),"?","~?"),'DADOS_RESTRICOES'!$M$2:$Q$54,2,FALSE),"")=$OL22)),"Restrição repetida, contando a embutida",""),IF(IF(IFERROR(INDEX('DADOS_FORMAS'!$AS$2:$AS$21,MATCH(SUBSTITUTE(SUBSTITUTE(SUBSTITUTE($MU22,"~","~~"),"*","~*"),"?","~?"),'DADOS_FORMAS'!$AH$2:$AH$21,0)),"")="",0,IFERROR(N(VLOOKUP(SUBSTITUTE(SUBSTITUTE(SUBSTITUTE(IFERROR(INDEX('DADOS_FORMAS'!$AS$2:$AS$21,MATCH(SUBSTITUTE(SUBSTITUTE(SUBSTITUTE($MU22,"~","~~"),"*","~*"),"?","~?"),'DADOS_FORMAS'!$AH$2:$AH$21,0)),""),"~","~~"),"*","~*"),"?","~?"),'DADOS_RESTRICOES'!$M$2:$Q$54,4,FALSE)=1),0))+IF($NB22="",0,IFERROR(N(VLOOKUP(SUBSTITUTE(SUBSTITUTE(SUBSTITUTE($NB22,"~","~~"),"*","~*"),"?","~?"),'DADOS_RESTRICOES'!$M$2:$Q$54,4,FALSE)=1),0))+IF($NC22="",0,IFERROR(N(VLOOKUP(SUBSTITUTE(SUBSTITUTE(SUBSTITUTE($NC22,"~","~~"),"*","~*"),"?","~?"),'DADOS_RESTRICOES'!$M$2:$Q$54,4,FALSE)=1),0))&gt;1,"Duas Restrições de frequência, contando a embutida",""),IF(AND(IFERROR(VLOOKUP(SUBSTITUTE(SUBSTITUTE(SUBSTITUTE(IFERROR(INDEX('DADOS_FORMAS'!$AS$2:$AS$21,MATCH(SUBSTITUTE(SUBSTITUTE(SUBSTITUTE($MU22,"~","~~"),"*","~*"),"?","~?"),'DADOS_FORMAS'!$AH$2:$AH$21,0)),""),"~","~~"),"*","~*"),"?","~?"),'DADOS_RESTRICOES'!$M$2:$Q$54,2,FALSE),"")="Tudo ou Nada",$OH22=0),"Tudo ou Nada exige TR",""),IF(AND(IFERROR(VLOOKUP(SUBSTITUTE(SUBSTITUTE(SUBSTITUTE(IFERROR(INDEX('DADOS_FORMAS'!$AS$2:$AS$21,MATCH(SUBSTITUTE(SUBSTITUTE(SUBSTITUTE($MU22,"~","~~"),"*","~*"),"?","~?"),'DADOS_FORMAS'!$AH$2:$AH$21,0)),""),"~","~~"),"*","~*"),"?","~?"),'DADOS_RESTRICOES'!$M$2:$Q$54,2,FALSE),"")="Corpo a Corpo",OR($RO22="Cone",$RO22="Linha")),"Corpo a Corpo não entra em Cone/Linha","")))</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dela",IF(COUNTIF($RQ22:$RS22,"Atrasar")&gt;0,"Sua Ação Completa",IF(COUNTIF($RK22:$RN22,"Rápido")&gt;0,"Sua Bônus",IF(COUNTIF($RK22:$RN22,"Reação")&gt;0,"Sua Reação","Sua Padrão")))&amp;" + a básica dela"&amp;IF(COUNTIF($RK22:$RN22,"Reação")&gt;0," e a coletiva","")&amp;IF(COUNTIF($RQ22:$RS22,"Carregar")&gt;0," · em dois turnos","")))</f>
        <v/>
      </c>
      <c r="QC22" s="161">
        <f>IF($MW22&lt;&gt;"",$MW22,IF($NJ22=0,"",INDEX('DADOS_FORMAS'!$GE$2:$GE$21,$NJ22)))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IF($NJ22=0,0,CHOOSE(1+INDEX('DADOS_FORMAS'!$GG$2:$GG$21,$NJ22),0,$QF22,$QG22,$QF22+$QG22))</f>
        <v/>
      </c>
      <c r="QI22" s="161">
        <f>IF($NJ22=0,0,CHOOSE(1+INDEX('DADOS_FORMAS'!$GH$2:$GH$21,$NJ22),0,$QF22,$QG22,$QF22+$QG22))</f>
        <v/>
      </c>
      <c r="QJ22" s="161">
        <f>IF(OR($ND22=0,$NJ22=0),"",INDEX('DADOS_FORMAS'!$HU$2:$HZ$81,($NJ22-1)*4+IF($MS22=0,1,IF($MS22&lt;=5,2,IF($MS22=6,3,4))),1+MIN(5,$QH22))&amp;INDEX('DADOS_FORMAS'!$IA$2:$IF$81,($NJ22-1)*4+IF($MS22=0,1,IF($MS22&lt;=5,2,IF($MS22=6,3,4))),1+MIN(5,$QI22))&amp;IF(INDEX('DADOS_FORMAS'!$GI$2:$GI$21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c r="RO22">
        <f>IFERROR(INDEX('DADOS_FORMAS'!$BJ$2:$BJ$21,MATCH(SUBSTITUTE(SUBSTITUTE(SUBSTITUTE($MU22,"~","~~"),"*","~*"),"?","~?"),'DADOS_FORMAS'!$AH$2:$AH$21,0)),"")</f>
        <v/>
      </c>
      <c r="RP22">
        <f>IFERROR(VLOOKUP(SUBSTITUTE(SUBSTITUTE(SUBSTITUTE(IFERROR(INDEX('DADOS_FORMAS'!$AS$2:$AS$21,MATCH(SUBSTITUTE(SUBSTITUTE(SUBSTITUTE($MU22,"~","~~"),"*","~*"),"?","~?"),'DADOS_FORMAS'!$AH$2:$AH$21,0)),""),"~","~~"),"*","~*"),"?","~?"),'DADOS_RESTRICOES'!$M$2:$Q$54,2,FALSE),"")</f>
        <v/>
      </c>
      <c r="RQ22">
        <f>$OK22</f>
        <v/>
      </c>
      <c r="RR22">
        <f>$OL22</f>
        <v/>
      </c>
      <c r="RS22">
        <f>$RP22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IFERROR(MATCH(SUBSTITUTE(SUBSTITUTE(SUBSTITUTE($MU23,"~","~~"),"*","~*"),"?","~?"),'DADOS_FORMAS'!$FZ$2:$FZ$21,0),0)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IF($MS23=0,0,IF($NJ23=0,0,INDEX('DADOS_FORMAS'!$GB$2:$GB$21,$NJ23)))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IF($NJ23=0,0,IF(INDEX('DADOS_FORMAS'!$GA$2:$GA$21,$NJ23)="",0,IF((COUNTIF(INDEX($EL$2:$EP$13,$MO23,0),INDEX('DADOS_FORMAS'!$GA$2:$GA$21,$NJ23))+COUNTIF(INDEX($QV$2:$QY$13,$MO23,0),INDEX('DADOS_FORMAS'!$GA$2:$GA$21,$NJ23)))=0,1,0)))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IFERROR(N(AND(INDEX('DADOS_FORMAS'!$AO$2:$AO$21,MATCH(SUBSTITUTE(SUBSTITUTE(SUBSTITUTE($MU23,"~","~~"),"*","~*"),"?","~?"),'DADOS_FORMAS'!$AH$2:$AH$21,0))="Acerto",$OH23=1)),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IF($NJ23=0,0,INDEX('DADOS_FORMAS'!$GC$2:$GC$21,$NJ23))</f>
        <v/>
      </c>
      <c r="OG23" s="161">
        <f>IF($NJ23=0,0,INDEX('DADOS_FORMAS'!$GD$2:$GD$21,$NJ23))</f>
        <v/>
      </c>
      <c r="OH23" s="161">
        <f>IF($NJ23=0,0,INDEX('DADOS_FORMAS'!$GF$2:$GF$21,$NJ23))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IF(IFERROR(INDEX('DADOS_FORMAS'!$AS$2:$AS$21,MATCH(SUBSTITUTE(SUBSTITUTE(SUBSTITUTE($MU23,"~","~~"),"*","~*"),"?","~?"),'DADOS_FORMAS'!$AH$2:$AH$21,0)),"")="",0,IFERROR(N(VLOOKUP(SUBSTITUTE(SUBSTITUTE(SUBSTITUTE(IFERROR(INDEX('DADOS_FORMAS'!$AS$2:$AS$21,MATCH(SUBSTITUTE(SUBSTITUTE(SUBSTITUTE($MU23,"~","~~"),"*","~*"),"?","~?"),'DADOS_FORMAS'!$AH$2:$AH$21,0)),""),"~","~~"),"*","~*"),"?","~?"),'DADOS_RESTRICOES'!$M$2:$Q$54,3,FALSE)=1),0))</f>
        <v/>
      </c>
      <c r="OT23" s="161">
        <f>COUNTIF($OI23:$OJ23,2)+IF(IFERROR(INDEX('DADOS_FORMAS'!$AS$2:$AS$21,MATCH(SUBSTITUTE(SUBSTITUTE(SUBSTITUTE($MU23,"~","~~"),"*","~*"),"?","~?"),'DADOS_FORMAS'!$AH$2:$AH$21,0)),"")="",0,IFERROR(N(VLOOKUP(SUBSTITUTE(SUBSTITUTE(SUBSTITUTE(IFERROR(INDEX('DADOS_FORMAS'!$AS$2:$AS$21,MATCH(SUBSTITUTE(SUBSTITUTE(SUBSTITUTE($MU23,"~","~~"),"*","~*"),"?","~?"),'DADOS_FORMAS'!$AH$2:$AH$21,0)),""),"~","~~"),"*","~*"),"?","~?"),'DADOS_RESTRICOES'!$M$2:$Q$54,3,FALSE)=2),0))</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",TRUE,IF($ND23=0,"",TEXTJOIN(" · ",TRUE,IF($MQ23&gt;$NE23,"Este lugar abre no nível "&amp;$MQ23,""),IF($MS23&gt;$NF23,"Classe "&amp;$MS23&amp;": o nível "&amp;$NE23&amp;" libera até a "&amp;$NF23,""),IF($NX23=1,"A Forma "&amp;$MU23&amp;" pede "&amp;INDEX('DADOS_FORMAS'!$GA$2:$GA$21,$NJ23)&amp;" aberta",""),IF(AND($MS23=0,$NJ23&gt;0,IF($NJ23=0,0,INDEX('DADOS_FORMAS'!$GJ$2:$GJ$21,$NJ23))=0),$MU23&amp;"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Corpo")&gt;0,$OF23=0,OR($RO23="Cone",$RO23="Linha")),"Corpo a Corpo não entra em "&amp;$MU23,""),IF(AND(COUNTIF($OK23:$OL23,"Corpo a Corpo")&gt;0,$RP23="Corpo a Corpo"),"A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"&amp;$NC23,""))),IF(AND($MU23&lt;&gt;"",COUNTIF('DADOS_FORMAS'!$AH$2:$AH$21,SUBSTITUTE(SUBSTITUTE(SUBSTITUTE($MU23,"~","~~"),"*","~*"),"?","~?"))=0),"Forma não cadastrada ou com erro: "&amp;$MU23,""),IF(AND(IFERROR(INDEX('DADOS_FORMAS'!$AS$2:$AS$21,MATCH(SUBSTITUTE(SUBSTITUTE(SUBSTITUTE($MU23,"~","~~"),"*","~*"),"?","~?"),'DADOS_FORMAS'!$AH$2:$AH$21,0)),"")&lt;&gt;"",OR(IFERROR(VLOOKUP(SUBSTITUTE(SUBSTITUTE(SUBSTITUTE(IFERROR(INDEX('DADOS_FORMAS'!$AS$2:$AS$21,MATCH(SUBSTITUTE(SUBSTITUTE(SUBSTITUTE($MU23,"~","~~"),"*","~*"),"?","~?"),'DADOS_FORMAS'!$AH$2:$AH$21,0)),""),"~","~~"),"*","~*"),"?","~?"),'DADOS_RESTRICOES'!$M$2:$Q$54,2,FALSE),"")=$OK23,IFERROR(VLOOKUP(SUBSTITUTE(SUBSTITUTE(SUBSTITUTE(IFERROR(INDEX('DADOS_FORMAS'!$AS$2:$AS$21,MATCH(SUBSTITUTE(SUBSTITUTE(SUBSTITUTE($MU23,"~","~~"),"*","~*"),"?","~?"),'DADOS_FORMAS'!$AH$2:$AH$21,0)),""),"~","~~"),"*","~*"),"?","~?"),'DADOS_RESTRICOES'!$M$2:$Q$54,2,FALSE),"")=$OL23)),"Restrição repetida, contando a embutida",""),IF(IF(IFERROR(INDEX('DADOS_FORMAS'!$AS$2:$AS$21,MATCH(SUBSTITUTE(SUBSTITUTE(SUBSTITUTE($MU23,"~","~~"),"*","~*"),"?","~?"),'DADOS_FORMAS'!$AH$2:$AH$21,0)),"")="",0,IFERROR(N(VLOOKUP(SUBSTITUTE(SUBSTITUTE(SUBSTITUTE(IFERROR(INDEX('DADOS_FORMAS'!$AS$2:$AS$21,MATCH(SUBSTITUTE(SUBSTITUTE(SUBSTITUTE($MU23,"~","~~"),"*","~*"),"?","~?"),'DADOS_FORMAS'!$AH$2:$AH$21,0)),""),"~","~~"),"*","~*"),"?","~?"),'DADOS_RESTRICOES'!$M$2:$Q$54,4,FALSE)=1),0))+IF($NB23="",0,IFERROR(N(VLOOKUP(SUBSTITUTE(SUBSTITUTE(SUBSTITUTE($NB23,"~","~~"),"*","~*"),"?","~?"),'DADOS_RESTRICOES'!$M$2:$Q$54,4,FALSE)=1),0))+IF($NC23="",0,IFERROR(N(VLOOKUP(SUBSTITUTE(SUBSTITUTE(SUBSTITUTE($NC23,"~","~~"),"*","~*"),"?","~?"),'DADOS_RESTRICOES'!$M$2:$Q$54,4,FALSE)=1),0))&gt;1,"Duas Restrições de frequência, contando a embutida",""),IF(AND(IFERROR(VLOOKUP(SUBSTITUTE(SUBSTITUTE(SUBSTITUTE(IFERROR(INDEX('DADOS_FORMAS'!$AS$2:$AS$21,MATCH(SUBSTITUTE(SUBSTITUTE(SUBSTITUTE($MU23,"~","~~"),"*","~*"),"?","~?"),'DADOS_FORMAS'!$AH$2:$AH$21,0)),""),"~","~~"),"*","~*"),"?","~?"),'DADOS_RESTRICOES'!$M$2:$Q$54,2,FALSE),"")="Tudo ou Nada",$OH23=0),"Tudo ou Nada exige TR",""),IF(AND(IFERROR(VLOOKUP(SUBSTITUTE(SUBSTITUTE(SUBSTITUTE(IFERROR(INDEX('DADOS_FORMAS'!$AS$2:$AS$21,MATCH(SUBSTITUTE(SUBSTITUTE(SUBSTITUTE($MU23,"~","~~"),"*","~*"),"?","~?"),'DADOS_FORMAS'!$AH$2:$AH$21,0)),""),"~","~~"),"*","~*"),"?","~?"),'DADOS_RESTRICOES'!$M$2:$Q$54,2,FALSE),"")="Corpo a Corpo",OR($RO23="Cone",$RO23="Linha")),"Corpo a Corpo não entra em Cone/Linha","")))</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dela",IF(COUNTIF($RQ23:$RS23,"Atrasar")&gt;0,"Sua Ação Completa",IF(COUNTIF($RK23:$RN23,"Rápido")&gt;0,"Sua Bônus",IF(COUNTIF($RK23:$RN23,"Reação")&gt;0,"Sua Reação","Sua Padrão")))&amp;" + a básica dela"&amp;IF(COUNTIF($RK23:$RN23,"Reação")&gt;0," e a coletiva","")&amp;IF(COUNTIF($RQ23:$RS23,"Carregar")&gt;0," · em dois turnos","")))</f>
        <v/>
      </c>
      <c r="QC23" s="161">
        <f>IF($MW23&lt;&gt;"",$MW23,IF($NJ23=0,"",INDEX('DADOS_FORMAS'!$GE$2:$GE$21,$NJ23)))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IF($NJ23=0,0,CHOOSE(1+INDEX('DADOS_FORMAS'!$GG$2:$GG$21,$NJ23),0,$QF23,$QG23,$QF23+$QG23))</f>
        <v/>
      </c>
      <c r="QI23" s="161">
        <f>IF($NJ23=0,0,CHOOSE(1+INDEX('DADOS_FORMAS'!$GH$2:$GH$21,$NJ23),0,$QF23,$QG23,$QF23+$QG23))</f>
        <v/>
      </c>
      <c r="QJ23" s="161">
        <f>IF(OR($ND23=0,$NJ23=0),"",INDEX('DADOS_FORMAS'!$HU$2:$HZ$81,($NJ23-1)*4+IF($MS23=0,1,IF($MS23&lt;=5,2,IF($MS23=6,3,4))),1+MIN(5,$QH23))&amp;INDEX('DADOS_FORMAS'!$IA$2:$IF$81,($NJ23-1)*4+IF($MS23=0,1,IF($MS23&lt;=5,2,IF($MS23=6,3,4))),1+MIN(5,$QI23))&amp;IF(INDEX('DADOS_FORMAS'!$GI$2:$GI$21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c r="RO23">
        <f>IFERROR(INDEX('DADOS_FORMAS'!$BJ$2:$BJ$21,MATCH(SUBSTITUTE(SUBSTITUTE(SUBSTITUTE($MU23,"~","~~"),"*","~*"),"?","~?"),'DADOS_FORMAS'!$AH$2:$AH$21,0)),"")</f>
        <v/>
      </c>
      <c r="RP23">
        <f>IFERROR(VLOOKUP(SUBSTITUTE(SUBSTITUTE(SUBSTITUTE(IFERROR(INDEX('DADOS_FORMAS'!$AS$2:$AS$21,MATCH(SUBSTITUTE(SUBSTITUTE(SUBSTITUTE($MU23,"~","~~"),"*","~*"),"?","~?"),'DADOS_FORMAS'!$AH$2:$AH$21,0)),""),"~","~~"),"*","~*"),"?","~?"),'DADOS_RESTRICOES'!$M$2:$Q$54,2,FALSE),"")</f>
        <v/>
      </c>
      <c r="RQ23">
        <f>$OK23</f>
        <v/>
      </c>
      <c r="RR23">
        <f>$OL23</f>
        <v/>
      </c>
      <c r="RS23">
        <f>$RP23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IFERROR(MATCH(SUBSTITUTE(SUBSTITUTE(SUBSTITUTE($MU24,"~","~~"),"*","~*"),"?","~?"),'DADOS_FORMAS'!$FZ$2:$FZ$21,0),0)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IF($MS24=0,0,IF($NJ24=0,0,INDEX('DADOS_FORMAS'!$GB$2:$GB$21,$NJ24)))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IF($NJ24=0,0,IF(INDEX('DADOS_FORMAS'!$GA$2:$GA$21,$NJ24)="",0,IF((COUNTIF(INDEX($EL$2:$EP$13,$MO24,0),INDEX('DADOS_FORMAS'!$GA$2:$GA$21,$NJ24))+COUNTIF(INDEX($QV$2:$QY$13,$MO24,0),INDEX('DADOS_FORMAS'!$GA$2:$GA$21,$NJ24)))=0,1,0)))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IFERROR(N(AND(INDEX('DADOS_FORMAS'!$AO$2:$AO$21,MATCH(SUBSTITUTE(SUBSTITUTE(SUBSTITUTE($MU24,"~","~~"),"*","~*"),"?","~?"),'DADOS_FORMAS'!$AH$2:$AH$21,0))="Acerto",$OH24=1)),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IF($NJ24=0,0,INDEX('DADOS_FORMAS'!$GC$2:$GC$21,$NJ24))</f>
        <v/>
      </c>
      <c r="OG24" s="161">
        <f>IF($NJ24=0,0,INDEX('DADOS_FORMAS'!$GD$2:$GD$21,$NJ24))</f>
        <v/>
      </c>
      <c r="OH24" s="161">
        <f>IF($NJ24=0,0,INDEX('DADOS_FORMAS'!$GF$2:$GF$21,$NJ24))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IF(IFERROR(INDEX('DADOS_FORMAS'!$AS$2:$AS$21,MATCH(SUBSTITUTE(SUBSTITUTE(SUBSTITUTE($MU24,"~","~~"),"*","~*"),"?","~?"),'DADOS_FORMAS'!$AH$2:$AH$21,0)),"")="",0,IFERROR(N(VLOOKUP(SUBSTITUTE(SUBSTITUTE(SUBSTITUTE(IFERROR(INDEX('DADOS_FORMAS'!$AS$2:$AS$21,MATCH(SUBSTITUTE(SUBSTITUTE(SUBSTITUTE($MU24,"~","~~"),"*","~*"),"?","~?"),'DADOS_FORMAS'!$AH$2:$AH$21,0)),""),"~","~~"),"*","~*"),"?","~?"),'DADOS_RESTRICOES'!$M$2:$Q$54,3,FALSE)=1),0))</f>
        <v/>
      </c>
      <c r="OT24" s="161">
        <f>COUNTIF($OI24:$OJ24,2)+IF(IFERROR(INDEX('DADOS_FORMAS'!$AS$2:$AS$21,MATCH(SUBSTITUTE(SUBSTITUTE(SUBSTITUTE($MU24,"~","~~"),"*","~*"),"?","~?"),'DADOS_FORMAS'!$AH$2:$AH$21,0)),"")="",0,IFERROR(N(VLOOKUP(SUBSTITUTE(SUBSTITUTE(SUBSTITUTE(IFERROR(INDEX('DADOS_FORMAS'!$AS$2:$AS$21,MATCH(SUBSTITUTE(SUBSTITUTE(SUBSTITUTE($MU24,"~","~~"),"*","~*"),"?","~?"),'DADOS_FORMAS'!$AH$2:$AH$21,0)),""),"~","~~"),"*","~*"),"?","~?"),'DADOS_RESTRICOES'!$M$2:$Q$54,3,FALSE)=2),0))</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",TRUE,IF($ND24=0,"",TEXTJOIN(" · ",TRUE,IF($MQ24&gt;$NE24,"Este lugar abre no nível "&amp;$MQ24,""),IF($MS24&gt;$NF24,"Classe "&amp;$MS24&amp;": o nível "&amp;$NE24&amp;" libera até a "&amp;$NF24,""),IF($NX24=1,"A Forma "&amp;$MU24&amp;" pede "&amp;INDEX('DADOS_FORMAS'!$GA$2:$GA$21,$NJ24)&amp;" aberta",""),IF(AND($MS24=0,$NJ24&gt;0,IF($NJ24=0,0,INDEX('DADOS_FORMAS'!$GJ$2:$GJ$21,$NJ24))=0),$MU24&amp;"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Corpo")&gt;0,$OF24=0,OR($RO24="Cone",$RO24="Linha")),"Corpo a Corpo não entra em "&amp;$MU24,""),IF(AND(COUNTIF($OK24:$OL24,"Corpo a Corpo")&gt;0,$RP24="Corpo a Corpo"),"A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"&amp;$NC24,""))),IF(AND($MU24&lt;&gt;"",COUNTIF('DADOS_FORMAS'!$AH$2:$AH$21,SUBSTITUTE(SUBSTITUTE(SUBSTITUTE($MU24,"~","~~"),"*","~*"),"?","~?"))=0),"Forma não cadastrada ou com erro: "&amp;$MU24,""),IF(AND(IFERROR(INDEX('DADOS_FORMAS'!$AS$2:$AS$21,MATCH(SUBSTITUTE(SUBSTITUTE(SUBSTITUTE($MU24,"~","~~"),"*","~*"),"?","~?"),'DADOS_FORMAS'!$AH$2:$AH$21,0)),"")&lt;&gt;"",OR(IFERROR(VLOOKUP(SUBSTITUTE(SUBSTITUTE(SUBSTITUTE(IFERROR(INDEX('DADOS_FORMAS'!$AS$2:$AS$21,MATCH(SUBSTITUTE(SUBSTITUTE(SUBSTITUTE($MU24,"~","~~"),"*","~*"),"?","~?"),'DADOS_FORMAS'!$AH$2:$AH$21,0)),""),"~","~~"),"*","~*"),"?","~?"),'DADOS_RESTRICOES'!$M$2:$Q$54,2,FALSE),"")=$OK24,IFERROR(VLOOKUP(SUBSTITUTE(SUBSTITUTE(SUBSTITUTE(IFERROR(INDEX('DADOS_FORMAS'!$AS$2:$AS$21,MATCH(SUBSTITUTE(SUBSTITUTE(SUBSTITUTE($MU24,"~","~~"),"*","~*"),"?","~?"),'DADOS_FORMAS'!$AH$2:$AH$21,0)),""),"~","~~"),"*","~*"),"?","~?"),'DADOS_RESTRICOES'!$M$2:$Q$54,2,FALSE),"")=$OL24)),"Restrição repetida, contando a embutida",""),IF(IF(IFERROR(INDEX('DADOS_FORMAS'!$AS$2:$AS$21,MATCH(SUBSTITUTE(SUBSTITUTE(SUBSTITUTE($MU24,"~","~~"),"*","~*"),"?","~?"),'DADOS_FORMAS'!$AH$2:$AH$21,0)),"")="",0,IFERROR(N(VLOOKUP(SUBSTITUTE(SUBSTITUTE(SUBSTITUTE(IFERROR(INDEX('DADOS_FORMAS'!$AS$2:$AS$21,MATCH(SUBSTITUTE(SUBSTITUTE(SUBSTITUTE($MU24,"~","~~"),"*","~*"),"?","~?"),'DADOS_FORMAS'!$AH$2:$AH$21,0)),""),"~","~~"),"*","~*"),"?","~?"),'DADOS_RESTRICOES'!$M$2:$Q$54,4,FALSE)=1),0))+IF($NB24="",0,IFERROR(N(VLOOKUP(SUBSTITUTE(SUBSTITUTE(SUBSTITUTE($NB24,"~","~~"),"*","~*"),"?","~?"),'DADOS_RESTRICOES'!$M$2:$Q$54,4,FALSE)=1),0))+IF($NC24="",0,IFERROR(N(VLOOKUP(SUBSTITUTE(SUBSTITUTE(SUBSTITUTE($NC24,"~","~~"),"*","~*"),"?","~?"),'DADOS_RESTRICOES'!$M$2:$Q$54,4,FALSE)=1),0))&gt;1,"Duas Restrições de frequência, contando a embutida",""),IF(AND(IFERROR(VLOOKUP(SUBSTITUTE(SUBSTITUTE(SUBSTITUTE(IFERROR(INDEX('DADOS_FORMAS'!$AS$2:$AS$21,MATCH(SUBSTITUTE(SUBSTITUTE(SUBSTITUTE($MU24,"~","~~"),"*","~*"),"?","~?"),'DADOS_FORMAS'!$AH$2:$AH$21,0)),""),"~","~~"),"*","~*"),"?","~?"),'DADOS_RESTRICOES'!$M$2:$Q$54,2,FALSE),"")="Tudo ou Nada",$OH24=0),"Tudo ou Nada exige TR",""),IF(AND(IFERROR(VLOOKUP(SUBSTITUTE(SUBSTITUTE(SUBSTITUTE(IFERROR(INDEX('DADOS_FORMAS'!$AS$2:$AS$21,MATCH(SUBSTITUTE(SUBSTITUTE(SUBSTITUTE($MU24,"~","~~"),"*","~*"),"?","~?"),'DADOS_FORMAS'!$AH$2:$AH$21,0)),""),"~","~~"),"*","~*"),"?","~?"),'DADOS_RESTRICOES'!$M$2:$Q$54,2,FALSE),"")="Corpo a Corpo",OR($RO24="Cone",$RO24="Linha")),"Corpo a Corpo não entra em Cone/Linha","")))</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dela",IF(COUNTIF($RQ24:$RS24,"Atrasar")&gt;0,"Sua Ação Completa",IF(COUNTIF($RK24:$RN24,"Rápido")&gt;0,"Sua Bônus",IF(COUNTIF($RK24:$RN24,"Reação")&gt;0,"Sua Reação","Sua Padrão")))&amp;" + a básica dela"&amp;IF(COUNTIF($RK24:$RN24,"Reação")&gt;0," e a coletiva","")&amp;IF(COUNTIF($RQ24:$RS24,"Carregar")&gt;0," · em dois turnos","")))</f>
        <v/>
      </c>
      <c r="QC24" s="161">
        <f>IF($MW24&lt;&gt;"",$MW24,IF($NJ24=0,"",INDEX('DADOS_FORMAS'!$GE$2:$GE$21,$NJ24)))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IF($NJ24=0,0,CHOOSE(1+INDEX('DADOS_FORMAS'!$GG$2:$GG$21,$NJ24),0,$QF24,$QG24,$QF24+$QG24))</f>
        <v/>
      </c>
      <c r="QI24" s="161">
        <f>IF($NJ24=0,0,CHOOSE(1+INDEX('DADOS_FORMAS'!$GH$2:$GH$21,$NJ24),0,$QF24,$QG24,$QF24+$QG24))</f>
        <v/>
      </c>
      <c r="QJ24" s="161">
        <f>IF(OR($ND24=0,$NJ24=0),"",INDEX('DADOS_FORMAS'!$HU$2:$HZ$81,($NJ24-1)*4+IF($MS24=0,1,IF($MS24&lt;=5,2,IF($MS24=6,3,4))),1+MIN(5,$QH24))&amp;INDEX('DADOS_FORMAS'!$IA$2:$IF$81,($NJ24-1)*4+IF($MS24=0,1,IF($MS24&lt;=5,2,IF($MS24=6,3,4))),1+MIN(5,$QI24))&amp;IF(INDEX('DADOS_FORMAS'!$GI$2:$GI$21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c r="RO24">
        <f>IFERROR(INDEX('DADOS_FORMAS'!$BJ$2:$BJ$21,MATCH(SUBSTITUTE(SUBSTITUTE(SUBSTITUTE($MU24,"~","~~"),"*","~*"),"?","~?"),'DADOS_FORMAS'!$AH$2:$AH$21,0)),"")</f>
        <v/>
      </c>
      <c r="RP24">
        <f>IFERROR(VLOOKUP(SUBSTITUTE(SUBSTITUTE(SUBSTITUTE(IFERROR(INDEX('DADOS_FORMAS'!$AS$2:$AS$21,MATCH(SUBSTITUTE(SUBSTITUTE(SUBSTITUTE($MU24,"~","~~"),"*","~*"),"?","~?"),'DADOS_FORMAS'!$AH$2:$AH$21,0)),""),"~","~~"),"*","~*"),"?","~?"),'DADOS_RESTRICOES'!$M$2:$Q$54,2,FALSE),"")</f>
        <v/>
      </c>
      <c r="RQ24">
        <f>$OK24</f>
        <v/>
      </c>
      <c r="RR24">
        <f>$OL24</f>
        <v/>
      </c>
      <c r="RS24">
        <f>$RP24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IFERROR(MATCH(SUBSTITUTE(SUBSTITUTE(SUBSTITUTE($MU25,"~","~~"),"*","~*"),"?","~?"),'DADOS_FORMAS'!$FZ$2:$FZ$21,0),0)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IF($MS25=0,0,IF($NJ25=0,0,INDEX('DADOS_FORMAS'!$GB$2:$GB$21,$NJ25)))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IF($NJ25=0,0,IF(INDEX('DADOS_FORMAS'!$GA$2:$GA$21,$NJ25)="",0,IF((COUNTIF(INDEX($EL$2:$EP$13,$MO25,0),INDEX('DADOS_FORMAS'!$GA$2:$GA$21,$NJ25))+COUNTIF(INDEX($QV$2:$QY$13,$MO25,0),INDEX('DADOS_FORMAS'!$GA$2:$GA$21,$NJ25)))=0,1,0)))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IFERROR(N(AND(INDEX('DADOS_FORMAS'!$AO$2:$AO$21,MATCH(SUBSTITUTE(SUBSTITUTE(SUBSTITUTE($MU25,"~","~~"),"*","~*"),"?","~?"),'DADOS_FORMAS'!$AH$2:$AH$21,0))="Acerto",$OH25=1)),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IF($NJ25=0,0,INDEX('DADOS_FORMAS'!$GC$2:$GC$21,$NJ25))</f>
        <v/>
      </c>
      <c r="OG25" s="161">
        <f>IF($NJ25=0,0,INDEX('DADOS_FORMAS'!$GD$2:$GD$21,$NJ25))</f>
        <v/>
      </c>
      <c r="OH25" s="161">
        <f>IF($NJ25=0,0,INDEX('DADOS_FORMAS'!$GF$2:$GF$21,$NJ25))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IF(IFERROR(INDEX('DADOS_FORMAS'!$AS$2:$AS$21,MATCH(SUBSTITUTE(SUBSTITUTE(SUBSTITUTE($MU25,"~","~~"),"*","~*"),"?","~?"),'DADOS_FORMAS'!$AH$2:$AH$21,0)),"")="",0,IFERROR(N(VLOOKUP(SUBSTITUTE(SUBSTITUTE(SUBSTITUTE(IFERROR(INDEX('DADOS_FORMAS'!$AS$2:$AS$21,MATCH(SUBSTITUTE(SUBSTITUTE(SUBSTITUTE($MU25,"~","~~"),"*","~*"),"?","~?"),'DADOS_FORMAS'!$AH$2:$AH$21,0)),""),"~","~~"),"*","~*"),"?","~?"),'DADOS_RESTRICOES'!$M$2:$Q$54,3,FALSE)=1),0))</f>
        <v/>
      </c>
      <c r="OT25" s="161">
        <f>COUNTIF($OI25:$OJ25,2)+IF(IFERROR(INDEX('DADOS_FORMAS'!$AS$2:$AS$21,MATCH(SUBSTITUTE(SUBSTITUTE(SUBSTITUTE($MU25,"~","~~"),"*","~*"),"?","~?"),'DADOS_FORMAS'!$AH$2:$AH$21,0)),"")="",0,IFERROR(N(VLOOKUP(SUBSTITUTE(SUBSTITUTE(SUBSTITUTE(IFERROR(INDEX('DADOS_FORMAS'!$AS$2:$AS$21,MATCH(SUBSTITUTE(SUBSTITUTE(SUBSTITUTE($MU25,"~","~~"),"*","~*"),"?","~?"),'DADOS_FORMAS'!$AH$2:$AH$21,0)),""),"~","~~"),"*","~*"),"?","~?"),'DADOS_RESTRICOES'!$M$2:$Q$54,3,FALSE)=2),0))</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",TRUE,IF($ND25=0,"",TEXTJOIN(" · ",TRUE,IF($MQ25&gt;$NE25,"Este lugar abre no nível "&amp;$MQ25,""),IF($MS25&gt;$NF25,"Classe "&amp;$MS25&amp;": o nível "&amp;$NE25&amp;" libera até a "&amp;$NF25,""),IF($NX25=1,"A Forma "&amp;$MU25&amp;" pede "&amp;INDEX('DADOS_FORMAS'!$GA$2:$GA$21,$NJ25)&amp;" aberta",""),IF(AND($MS25=0,$NJ25&gt;0,IF($NJ25=0,0,INDEX('DADOS_FORMAS'!$GJ$2:$GJ$21,$NJ25))=0),$MU25&amp;"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Corpo")&gt;0,$OF25=0,OR($RO25="Cone",$RO25="Linha")),"Corpo a Corpo não entra em "&amp;$MU25,""),IF(AND(COUNTIF($OK25:$OL25,"Corpo a Corpo")&gt;0,$RP25="Corpo a Corpo"),"A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"&amp;$NC25,""))),IF(AND($MU25&lt;&gt;"",COUNTIF('DADOS_FORMAS'!$AH$2:$AH$21,SUBSTITUTE(SUBSTITUTE(SUBSTITUTE($MU25,"~","~~"),"*","~*"),"?","~?"))=0),"Forma não cadastrada ou com erro: "&amp;$MU25,""),IF(AND(IFERROR(INDEX('DADOS_FORMAS'!$AS$2:$AS$21,MATCH(SUBSTITUTE(SUBSTITUTE(SUBSTITUTE($MU25,"~","~~"),"*","~*"),"?","~?"),'DADOS_FORMAS'!$AH$2:$AH$21,0)),"")&lt;&gt;"",OR(IFERROR(VLOOKUP(SUBSTITUTE(SUBSTITUTE(SUBSTITUTE(IFERROR(INDEX('DADOS_FORMAS'!$AS$2:$AS$21,MATCH(SUBSTITUTE(SUBSTITUTE(SUBSTITUTE($MU25,"~","~~"),"*","~*"),"?","~?"),'DADOS_FORMAS'!$AH$2:$AH$21,0)),""),"~","~~"),"*","~*"),"?","~?"),'DADOS_RESTRICOES'!$M$2:$Q$54,2,FALSE),"")=$OK25,IFERROR(VLOOKUP(SUBSTITUTE(SUBSTITUTE(SUBSTITUTE(IFERROR(INDEX('DADOS_FORMAS'!$AS$2:$AS$21,MATCH(SUBSTITUTE(SUBSTITUTE(SUBSTITUTE($MU25,"~","~~"),"*","~*"),"?","~?"),'DADOS_FORMAS'!$AH$2:$AH$21,0)),""),"~","~~"),"*","~*"),"?","~?"),'DADOS_RESTRICOES'!$M$2:$Q$54,2,FALSE),"")=$OL25)),"Restrição repetida, contando a embutida",""),IF(IF(IFERROR(INDEX('DADOS_FORMAS'!$AS$2:$AS$21,MATCH(SUBSTITUTE(SUBSTITUTE(SUBSTITUTE($MU25,"~","~~"),"*","~*"),"?","~?"),'DADOS_FORMAS'!$AH$2:$AH$21,0)),"")="",0,IFERROR(N(VLOOKUP(SUBSTITUTE(SUBSTITUTE(SUBSTITUTE(IFERROR(INDEX('DADOS_FORMAS'!$AS$2:$AS$21,MATCH(SUBSTITUTE(SUBSTITUTE(SUBSTITUTE($MU25,"~","~~"),"*","~*"),"?","~?"),'DADOS_FORMAS'!$AH$2:$AH$21,0)),""),"~","~~"),"*","~*"),"?","~?"),'DADOS_RESTRICOES'!$M$2:$Q$54,4,FALSE)=1),0))+IF($NB25="",0,IFERROR(N(VLOOKUP(SUBSTITUTE(SUBSTITUTE(SUBSTITUTE($NB25,"~","~~"),"*","~*"),"?","~?"),'DADOS_RESTRICOES'!$M$2:$Q$54,4,FALSE)=1),0))+IF($NC25="",0,IFERROR(N(VLOOKUP(SUBSTITUTE(SUBSTITUTE(SUBSTITUTE($NC25,"~","~~"),"*","~*"),"?","~?"),'DADOS_RESTRICOES'!$M$2:$Q$54,4,FALSE)=1),0))&gt;1,"Duas Restrições de frequência, contando a embutida",""),IF(AND(IFERROR(VLOOKUP(SUBSTITUTE(SUBSTITUTE(SUBSTITUTE(IFERROR(INDEX('DADOS_FORMAS'!$AS$2:$AS$21,MATCH(SUBSTITUTE(SUBSTITUTE(SUBSTITUTE($MU25,"~","~~"),"*","~*"),"?","~?"),'DADOS_FORMAS'!$AH$2:$AH$21,0)),""),"~","~~"),"*","~*"),"?","~?"),'DADOS_RESTRICOES'!$M$2:$Q$54,2,FALSE),"")="Tudo ou Nada",$OH25=0),"Tudo ou Nada exige TR",""),IF(AND(IFERROR(VLOOKUP(SUBSTITUTE(SUBSTITUTE(SUBSTITUTE(IFERROR(INDEX('DADOS_FORMAS'!$AS$2:$AS$21,MATCH(SUBSTITUTE(SUBSTITUTE(SUBSTITUTE($MU25,"~","~~"),"*","~*"),"?","~?"),'DADOS_FORMAS'!$AH$2:$AH$21,0)),""),"~","~~"),"*","~*"),"?","~?"),'DADOS_RESTRICOES'!$M$2:$Q$54,2,FALSE),"")="Corpo a Corpo",OR($RO25="Cone",$RO25="Linha")),"Corpo a Corpo não entra em Cone/Linha","")))</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dela",IF(COUNTIF($RQ25:$RS25,"Atrasar")&gt;0,"Sua Ação Completa",IF(COUNTIF($RK25:$RN25,"Rápido")&gt;0,"Sua Bônus",IF(COUNTIF($RK25:$RN25,"Reação")&gt;0,"Sua Reação","Sua Padrão")))&amp;" + a básica dela"&amp;IF(COUNTIF($RK25:$RN25,"Reação")&gt;0," e a coletiva","")&amp;IF(COUNTIF($RQ25:$RS25,"Carregar")&gt;0," · em dois turnos","")))</f>
        <v/>
      </c>
      <c r="QC25" s="161">
        <f>IF($MW25&lt;&gt;"",$MW25,IF($NJ25=0,"",INDEX('DADOS_FORMAS'!$GE$2:$GE$21,$NJ25)))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IF($NJ25=0,0,CHOOSE(1+INDEX('DADOS_FORMAS'!$GG$2:$GG$21,$NJ25),0,$QF25,$QG25,$QF25+$QG25))</f>
        <v/>
      </c>
      <c r="QI25" s="161">
        <f>IF($NJ25=0,0,CHOOSE(1+INDEX('DADOS_FORMAS'!$GH$2:$GH$21,$NJ25),0,$QF25,$QG25,$QF25+$QG25))</f>
        <v/>
      </c>
      <c r="QJ25" s="161">
        <f>IF(OR($ND25=0,$NJ25=0),"",INDEX('DADOS_FORMAS'!$HU$2:$HZ$81,($NJ25-1)*4+IF($MS25=0,1,IF($MS25&lt;=5,2,IF($MS25=6,3,4))),1+MIN(5,$QH25))&amp;INDEX('DADOS_FORMAS'!$IA$2:$IF$81,($NJ25-1)*4+IF($MS25=0,1,IF($MS25&lt;=5,2,IF($MS25=6,3,4))),1+MIN(5,$QI25))&amp;IF(INDEX('DADOS_FORMAS'!$GI$2:$GI$21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c r="RO25">
        <f>IFERROR(INDEX('DADOS_FORMAS'!$BJ$2:$BJ$21,MATCH(SUBSTITUTE(SUBSTITUTE(SUBSTITUTE($MU25,"~","~~"),"*","~*"),"?","~?"),'DADOS_FORMAS'!$AH$2:$AH$21,0)),"")</f>
        <v/>
      </c>
      <c r="RP25">
        <f>IFERROR(VLOOKUP(SUBSTITUTE(SUBSTITUTE(SUBSTITUTE(IFERROR(INDEX('DADOS_FORMAS'!$AS$2:$AS$21,MATCH(SUBSTITUTE(SUBSTITUTE(SUBSTITUTE($MU25,"~","~~"),"*","~*"),"?","~?"),'DADOS_FORMAS'!$AH$2:$AH$21,0)),""),"~","~~"),"*","~*"),"?","~?"),'DADOS_RESTRICOES'!$M$2:$Q$54,2,FALSE),"")</f>
        <v/>
      </c>
      <c r="RQ25">
        <f>$OK25</f>
        <v/>
      </c>
      <c r="RR25">
        <f>$OL25</f>
        <v/>
      </c>
      <c r="RS25">
        <f>$RP25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IFERROR(MATCH(SUBSTITUTE(SUBSTITUTE(SUBSTITUTE($MU26,"~","~~"),"*","~*"),"?","~?"),'DADOS_FORMAS'!$FZ$2:$FZ$21,0),0)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IF($MS26=0,0,IF($NJ26=0,0,INDEX('DADOS_FORMAS'!$GB$2:$GB$21,$NJ26)))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IF($NJ26=0,0,IF(INDEX('DADOS_FORMAS'!$GA$2:$GA$21,$NJ26)="",0,IF((COUNTIF(INDEX($EL$2:$EP$13,$MO26,0),INDEX('DADOS_FORMAS'!$GA$2:$GA$21,$NJ26))+COUNTIF(INDEX($QV$2:$QY$13,$MO26,0),INDEX('DADOS_FORMAS'!$GA$2:$GA$21,$NJ26)))=0,1,0)))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IFERROR(N(AND(INDEX('DADOS_FORMAS'!$AO$2:$AO$21,MATCH(SUBSTITUTE(SUBSTITUTE(SUBSTITUTE($MU26,"~","~~"),"*","~*"),"?","~?"),'DADOS_FORMAS'!$AH$2:$AH$21,0))="Acerto",$OH26=1)),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IF($NJ26=0,0,INDEX('DADOS_FORMAS'!$GC$2:$GC$21,$NJ26))</f>
        <v/>
      </c>
      <c r="OG26" s="161">
        <f>IF($NJ26=0,0,INDEX('DADOS_FORMAS'!$GD$2:$GD$21,$NJ26))</f>
        <v/>
      </c>
      <c r="OH26" s="161">
        <f>IF($NJ26=0,0,INDEX('DADOS_FORMAS'!$GF$2:$GF$21,$NJ26))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IF(IFERROR(INDEX('DADOS_FORMAS'!$AS$2:$AS$21,MATCH(SUBSTITUTE(SUBSTITUTE(SUBSTITUTE($MU26,"~","~~"),"*","~*"),"?","~?"),'DADOS_FORMAS'!$AH$2:$AH$21,0)),"")="",0,IFERROR(N(VLOOKUP(SUBSTITUTE(SUBSTITUTE(SUBSTITUTE(IFERROR(INDEX('DADOS_FORMAS'!$AS$2:$AS$21,MATCH(SUBSTITUTE(SUBSTITUTE(SUBSTITUTE($MU26,"~","~~"),"*","~*"),"?","~?"),'DADOS_FORMAS'!$AH$2:$AH$21,0)),""),"~","~~"),"*","~*"),"?","~?"),'DADOS_RESTRICOES'!$M$2:$Q$54,3,FALSE)=1),0))</f>
        <v/>
      </c>
      <c r="OT26" s="161">
        <f>COUNTIF($OI26:$OJ26,2)+IF(IFERROR(INDEX('DADOS_FORMAS'!$AS$2:$AS$21,MATCH(SUBSTITUTE(SUBSTITUTE(SUBSTITUTE($MU26,"~","~~"),"*","~*"),"?","~?"),'DADOS_FORMAS'!$AH$2:$AH$21,0)),"")="",0,IFERROR(N(VLOOKUP(SUBSTITUTE(SUBSTITUTE(SUBSTITUTE(IFERROR(INDEX('DADOS_FORMAS'!$AS$2:$AS$21,MATCH(SUBSTITUTE(SUBSTITUTE(SUBSTITUTE($MU26,"~","~~"),"*","~*"),"?","~?"),'DADOS_FORMAS'!$AH$2:$AH$21,0)),""),"~","~~"),"*","~*"),"?","~?"),'DADOS_RESTRICOES'!$M$2:$Q$54,3,FALSE)=2),0))</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",TRUE,IF($ND26=0,"",TEXTJOIN(" · ",TRUE,IF($MQ26&gt;$NE26,"Este lugar abre no nível "&amp;$MQ26,""),IF($MS26&gt;$NF26,"Classe "&amp;$MS26&amp;": o nível "&amp;$NE26&amp;" libera até a "&amp;$NF26,""),IF($NX26=1,"A Forma "&amp;$MU26&amp;" pede "&amp;INDEX('DADOS_FORMAS'!$GA$2:$GA$21,$NJ26)&amp;" aberta",""),IF(AND($MS26=0,$NJ26&gt;0,IF($NJ26=0,0,INDEX('DADOS_FORMAS'!$GJ$2:$GJ$21,$NJ26))=0),$MU26&amp;"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Corpo")&gt;0,$OF26=0,OR($RO26="Cone",$RO26="Linha")),"Corpo a Corpo não entra em "&amp;$MU26,""),IF(AND(COUNTIF($OK26:$OL26,"Corpo a Corpo")&gt;0,$RP26="Corpo a Corpo"),"A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"&amp;$NC26,""))),IF(AND($MU26&lt;&gt;"",COUNTIF('DADOS_FORMAS'!$AH$2:$AH$21,SUBSTITUTE(SUBSTITUTE(SUBSTITUTE($MU26,"~","~~"),"*","~*"),"?","~?"))=0),"Forma não cadastrada ou com erro: "&amp;$MU26,""),IF(AND(IFERROR(INDEX('DADOS_FORMAS'!$AS$2:$AS$21,MATCH(SUBSTITUTE(SUBSTITUTE(SUBSTITUTE($MU26,"~","~~"),"*","~*"),"?","~?"),'DADOS_FORMAS'!$AH$2:$AH$21,0)),"")&lt;&gt;"",OR(IFERROR(VLOOKUP(SUBSTITUTE(SUBSTITUTE(SUBSTITUTE(IFERROR(INDEX('DADOS_FORMAS'!$AS$2:$AS$21,MATCH(SUBSTITUTE(SUBSTITUTE(SUBSTITUTE($MU26,"~","~~"),"*","~*"),"?","~?"),'DADOS_FORMAS'!$AH$2:$AH$21,0)),""),"~","~~"),"*","~*"),"?","~?"),'DADOS_RESTRICOES'!$M$2:$Q$54,2,FALSE),"")=$OK26,IFERROR(VLOOKUP(SUBSTITUTE(SUBSTITUTE(SUBSTITUTE(IFERROR(INDEX('DADOS_FORMAS'!$AS$2:$AS$21,MATCH(SUBSTITUTE(SUBSTITUTE(SUBSTITUTE($MU26,"~","~~"),"*","~*"),"?","~?"),'DADOS_FORMAS'!$AH$2:$AH$21,0)),""),"~","~~"),"*","~*"),"?","~?"),'DADOS_RESTRICOES'!$M$2:$Q$54,2,FALSE),"")=$OL26)),"Restrição repetida, contando a embutida",""),IF(IF(IFERROR(INDEX('DADOS_FORMAS'!$AS$2:$AS$21,MATCH(SUBSTITUTE(SUBSTITUTE(SUBSTITUTE($MU26,"~","~~"),"*","~*"),"?","~?"),'DADOS_FORMAS'!$AH$2:$AH$21,0)),"")="",0,IFERROR(N(VLOOKUP(SUBSTITUTE(SUBSTITUTE(SUBSTITUTE(IFERROR(INDEX('DADOS_FORMAS'!$AS$2:$AS$21,MATCH(SUBSTITUTE(SUBSTITUTE(SUBSTITUTE($MU26,"~","~~"),"*","~*"),"?","~?"),'DADOS_FORMAS'!$AH$2:$AH$21,0)),""),"~","~~"),"*","~*"),"?","~?"),'DADOS_RESTRICOES'!$M$2:$Q$54,4,FALSE)=1),0))+IF($NB26="",0,IFERROR(N(VLOOKUP(SUBSTITUTE(SUBSTITUTE(SUBSTITUTE($NB26,"~","~~"),"*","~*"),"?","~?"),'DADOS_RESTRICOES'!$M$2:$Q$54,4,FALSE)=1),0))+IF($NC26="",0,IFERROR(N(VLOOKUP(SUBSTITUTE(SUBSTITUTE(SUBSTITUTE($NC26,"~","~~"),"*","~*"),"?","~?"),'DADOS_RESTRICOES'!$M$2:$Q$54,4,FALSE)=1),0))&gt;1,"Duas Restrições de frequência, contando a embutida",""),IF(AND(IFERROR(VLOOKUP(SUBSTITUTE(SUBSTITUTE(SUBSTITUTE(IFERROR(INDEX('DADOS_FORMAS'!$AS$2:$AS$21,MATCH(SUBSTITUTE(SUBSTITUTE(SUBSTITUTE($MU26,"~","~~"),"*","~*"),"?","~?"),'DADOS_FORMAS'!$AH$2:$AH$21,0)),""),"~","~~"),"*","~*"),"?","~?"),'DADOS_RESTRICOES'!$M$2:$Q$54,2,FALSE),"")="Tudo ou Nada",$OH26=0),"Tudo ou Nada exige TR",""),IF(AND(IFERROR(VLOOKUP(SUBSTITUTE(SUBSTITUTE(SUBSTITUTE(IFERROR(INDEX('DADOS_FORMAS'!$AS$2:$AS$21,MATCH(SUBSTITUTE(SUBSTITUTE(SUBSTITUTE($MU26,"~","~~"),"*","~*"),"?","~?"),'DADOS_FORMAS'!$AH$2:$AH$21,0)),""),"~","~~"),"*","~*"),"?","~?"),'DADOS_RESTRICOES'!$M$2:$Q$54,2,FALSE),"")="Corpo a Corpo",OR($RO26="Cone",$RO26="Linha")),"Corpo a Corpo não entra em Cone/Linha","")))</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dela",IF(COUNTIF($RQ26:$RS26,"Atrasar")&gt;0,"Sua Ação Completa",IF(COUNTIF($RK26:$RN26,"Rápido")&gt;0,"Sua Bônus",IF(COUNTIF($RK26:$RN26,"Reação")&gt;0,"Sua Reação","Sua Padrão")))&amp;" + a básica dela"&amp;IF(COUNTIF($RK26:$RN26,"Reação")&gt;0," e a coletiva","")&amp;IF(COUNTIF($RQ26:$RS26,"Carregar")&gt;0," · em dois turnos","")))</f>
        <v/>
      </c>
      <c r="QC26" s="161">
        <f>IF($MW26&lt;&gt;"",$MW26,IF($NJ26=0,"",INDEX('DADOS_FORMAS'!$GE$2:$GE$21,$NJ26)))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IF($NJ26=0,0,CHOOSE(1+INDEX('DADOS_FORMAS'!$GG$2:$GG$21,$NJ26),0,$QF26,$QG26,$QF26+$QG26))</f>
        <v/>
      </c>
      <c r="QI26" s="161">
        <f>IF($NJ26=0,0,CHOOSE(1+INDEX('DADOS_FORMAS'!$GH$2:$GH$21,$NJ26),0,$QF26,$QG26,$QF26+$QG26))</f>
        <v/>
      </c>
      <c r="QJ26" s="161">
        <f>IF(OR($ND26=0,$NJ26=0),"",INDEX('DADOS_FORMAS'!$HU$2:$HZ$81,($NJ26-1)*4+IF($MS26=0,1,IF($MS26&lt;=5,2,IF($MS26=6,3,4))),1+MIN(5,$QH26))&amp;INDEX('DADOS_FORMAS'!$IA$2:$IF$81,($NJ26-1)*4+IF($MS26=0,1,IF($MS26&lt;=5,2,IF($MS26=6,3,4))),1+MIN(5,$QI26))&amp;IF(INDEX('DADOS_FORMAS'!$GI$2:$GI$21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c r="RO26">
        <f>IFERROR(INDEX('DADOS_FORMAS'!$BJ$2:$BJ$21,MATCH(SUBSTITUTE(SUBSTITUTE(SUBSTITUTE($MU26,"~","~~"),"*","~*"),"?","~?"),'DADOS_FORMAS'!$AH$2:$AH$21,0)),"")</f>
        <v/>
      </c>
      <c r="RP26">
        <f>IFERROR(VLOOKUP(SUBSTITUTE(SUBSTITUTE(SUBSTITUTE(IFERROR(INDEX('DADOS_FORMAS'!$AS$2:$AS$21,MATCH(SUBSTITUTE(SUBSTITUTE(SUBSTITUTE($MU26,"~","~~"),"*","~*"),"?","~?"),'DADOS_FORMAS'!$AH$2:$AH$21,0)),""),"~","~~"),"*","~*"),"?","~?"),'DADOS_RESTRICOES'!$M$2:$Q$54,2,FALSE),"")</f>
        <v/>
      </c>
      <c r="RQ26">
        <f>$OK26</f>
        <v/>
      </c>
      <c r="RR26">
        <f>$OL26</f>
        <v/>
      </c>
      <c r="RS26">
        <f>$RP26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IFERROR(MATCH(SUBSTITUTE(SUBSTITUTE(SUBSTITUTE($MU27,"~","~~"),"*","~*"),"?","~?"),'DADOS_FORMAS'!$FZ$2:$FZ$21,0),0)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IF($MS27=0,0,IF($NJ27=0,0,INDEX('DADOS_FORMAS'!$GB$2:$GB$21,$NJ27)))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IF($NJ27=0,0,IF(INDEX('DADOS_FORMAS'!$GA$2:$GA$21,$NJ27)="",0,IF((COUNTIF(INDEX($EL$2:$EP$13,$MO27,0),INDEX('DADOS_FORMAS'!$GA$2:$GA$21,$NJ27))+COUNTIF(INDEX($QV$2:$QY$13,$MO27,0),INDEX('DADOS_FORMAS'!$GA$2:$GA$21,$NJ27)))=0,1,0)))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IFERROR(N(AND(INDEX('DADOS_FORMAS'!$AO$2:$AO$21,MATCH(SUBSTITUTE(SUBSTITUTE(SUBSTITUTE($MU27,"~","~~"),"*","~*"),"?","~?"),'DADOS_FORMAS'!$AH$2:$AH$21,0))="Acerto",$OH27=1)),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IF($NJ27=0,0,INDEX('DADOS_FORMAS'!$GC$2:$GC$21,$NJ27))</f>
        <v/>
      </c>
      <c r="OG27" s="161">
        <f>IF($NJ27=0,0,INDEX('DADOS_FORMAS'!$GD$2:$GD$21,$NJ27))</f>
        <v/>
      </c>
      <c r="OH27" s="161">
        <f>IF($NJ27=0,0,INDEX('DADOS_FORMAS'!$GF$2:$GF$21,$NJ27))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IF(IFERROR(INDEX('DADOS_FORMAS'!$AS$2:$AS$21,MATCH(SUBSTITUTE(SUBSTITUTE(SUBSTITUTE($MU27,"~","~~"),"*","~*"),"?","~?"),'DADOS_FORMAS'!$AH$2:$AH$21,0)),"")="",0,IFERROR(N(VLOOKUP(SUBSTITUTE(SUBSTITUTE(SUBSTITUTE(IFERROR(INDEX('DADOS_FORMAS'!$AS$2:$AS$21,MATCH(SUBSTITUTE(SUBSTITUTE(SUBSTITUTE($MU27,"~","~~"),"*","~*"),"?","~?"),'DADOS_FORMAS'!$AH$2:$AH$21,0)),""),"~","~~"),"*","~*"),"?","~?"),'DADOS_RESTRICOES'!$M$2:$Q$54,3,FALSE)=1),0))</f>
        <v/>
      </c>
      <c r="OT27" s="161">
        <f>COUNTIF($OI27:$OJ27,2)+IF(IFERROR(INDEX('DADOS_FORMAS'!$AS$2:$AS$21,MATCH(SUBSTITUTE(SUBSTITUTE(SUBSTITUTE($MU27,"~","~~"),"*","~*"),"?","~?"),'DADOS_FORMAS'!$AH$2:$AH$21,0)),"")="",0,IFERROR(N(VLOOKUP(SUBSTITUTE(SUBSTITUTE(SUBSTITUTE(IFERROR(INDEX('DADOS_FORMAS'!$AS$2:$AS$21,MATCH(SUBSTITUTE(SUBSTITUTE(SUBSTITUTE($MU27,"~","~~"),"*","~*"),"?","~?"),'DADOS_FORMAS'!$AH$2:$AH$21,0)),""),"~","~~"),"*","~*"),"?","~?"),'DADOS_RESTRICOES'!$M$2:$Q$54,3,FALSE)=2),0))</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",TRUE,IF($ND27=0,"",TEXTJOIN(" · ",TRUE,IF($MQ27&gt;$NE27,"Este lugar abre no nível "&amp;$MQ27,""),IF($MS27&gt;$NF27,"Classe "&amp;$MS27&amp;": o nível "&amp;$NE27&amp;" libera até a "&amp;$NF27,""),IF($NX27=1,"A Forma "&amp;$MU27&amp;" pede "&amp;INDEX('DADOS_FORMAS'!$GA$2:$GA$21,$NJ27)&amp;" aberta",""),IF(AND($MS27=0,$NJ27&gt;0,IF($NJ27=0,0,INDEX('DADOS_FORMAS'!$GJ$2:$GJ$21,$NJ27))=0),$MU27&amp;"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Corpo")&gt;0,$OF27=0,OR($RO27="Cone",$RO27="Linha")),"Corpo a Corpo não entra em "&amp;$MU27,""),IF(AND(COUNTIF($OK27:$OL27,"Corpo a Corpo")&gt;0,$RP27="Corpo a Corpo"),"A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"&amp;$NC27,""))),IF(AND($MU27&lt;&gt;"",COUNTIF('DADOS_FORMAS'!$AH$2:$AH$21,SUBSTITUTE(SUBSTITUTE(SUBSTITUTE($MU27,"~","~~"),"*","~*"),"?","~?"))=0),"Forma não cadastrada ou com erro: "&amp;$MU27,""),IF(AND(IFERROR(INDEX('DADOS_FORMAS'!$AS$2:$AS$21,MATCH(SUBSTITUTE(SUBSTITUTE(SUBSTITUTE($MU27,"~","~~"),"*","~*"),"?","~?"),'DADOS_FORMAS'!$AH$2:$AH$21,0)),"")&lt;&gt;"",OR(IFERROR(VLOOKUP(SUBSTITUTE(SUBSTITUTE(SUBSTITUTE(IFERROR(INDEX('DADOS_FORMAS'!$AS$2:$AS$21,MATCH(SUBSTITUTE(SUBSTITUTE(SUBSTITUTE($MU27,"~","~~"),"*","~*"),"?","~?"),'DADOS_FORMAS'!$AH$2:$AH$21,0)),""),"~","~~"),"*","~*"),"?","~?"),'DADOS_RESTRICOES'!$M$2:$Q$54,2,FALSE),"")=$OK27,IFERROR(VLOOKUP(SUBSTITUTE(SUBSTITUTE(SUBSTITUTE(IFERROR(INDEX('DADOS_FORMAS'!$AS$2:$AS$21,MATCH(SUBSTITUTE(SUBSTITUTE(SUBSTITUTE($MU27,"~","~~"),"*","~*"),"?","~?"),'DADOS_FORMAS'!$AH$2:$AH$21,0)),""),"~","~~"),"*","~*"),"?","~?"),'DADOS_RESTRICOES'!$M$2:$Q$54,2,FALSE),"")=$OL27)),"Restrição repetida, contando a embutida",""),IF(IF(IFERROR(INDEX('DADOS_FORMAS'!$AS$2:$AS$21,MATCH(SUBSTITUTE(SUBSTITUTE(SUBSTITUTE($MU27,"~","~~"),"*","~*"),"?","~?"),'DADOS_FORMAS'!$AH$2:$AH$21,0)),"")="",0,IFERROR(N(VLOOKUP(SUBSTITUTE(SUBSTITUTE(SUBSTITUTE(IFERROR(INDEX('DADOS_FORMAS'!$AS$2:$AS$21,MATCH(SUBSTITUTE(SUBSTITUTE(SUBSTITUTE($MU27,"~","~~"),"*","~*"),"?","~?"),'DADOS_FORMAS'!$AH$2:$AH$21,0)),""),"~","~~"),"*","~*"),"?","~?"),'DADOS_RESTRICOES'!$M$2:$Q$54,4,FALSE)=1),0))+IF($NB27="",0,IFERROR(N(VLOOKUP(SUBSTITUTE(SUBSTITUTE(SUBSTITUTE($NB27,"~","~~"),"*","~*"),"?","~?"),'DADOS_RESTRICOES'!$M$2:$Q$54,4,FALSE)=1),0))+IF($NC27="",0,IFERROR(N(VLOOKUP(SUBSTITUTE(SUBSTITUTE(SUBSTITUTE($NC27,"~","~~"),"*","~*"),"?","~?"),'DADOS_RESTRICOES'!$M$2:$Q$54,4,FALSE)=1),0))&gt;1,"Duas Restrições de frequência, contando a embutida",""),IF(AND(IFERROR(VLOOKUP(SUBSTITUTE(SUBSTITUTE(SUBSTITUTE(IFERROR(INDEX('DADOS_FORMAS'!$AS$2:$AS$21,MATCH(SUBSTITUTE(SUBSTITUTE(SUBSTITUTE($MU27,"~","~~"),"*","~*"),"?","~?"),'DADOS_FORMAS'!$AH$2:$AH$21,0)),""),"~","~~"),"*","~*"),"?","~?"),'DADOS_RESTRICOES'!$M$2:$Q$54,2,FALSE),"")="Tudo ou Nada",$OH27=0),"Tudo ou Nada exige TR",""),IF(AND(IFERROR(VLOOKUP(SUBSTITUTE(SUBSTITUTE(SUBSTITUTE(IFERROR(INDEX('DADOS_FORMAS'!$AS$2:$AS$21,MATCH(SUBSTITUTE(SUBSTITUTE(SUBSTITUTE($MU27,"~","~~"),"*","~*"),"?","~?"),'DADOS_FORMAS'!$AH$2:$AH$21,0)),""),"~","~~"),"*","~*"),"?","~?"),'DADOS_RESTRICOES'!$M$2:$Q$54,2,FALSE),"")="Corpo a Corpo",OR($RO27="Cone",$RO27="Linha")),"Corpo a Corpo não entra em Cone/Linha","")))</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dela",IF(COUNTIF($RQ27:$RS27,"Atrasar")&gt;0,"Sua Ação Completa",IF(COUNTIF($RK27:$RN27,"Rápido")&gt;0,"Sua Bônus",IF(COUNTIF($RK27:$RN27,"Reação")&gt;0,"Sua Reação","Sua Padrão")))&amp;" + a básica dela"&amp;IF(COUNTIF($RK27:$RN27,"Reação")&gt;0," e a coletiva","")&amp;IF(COUNTIF($RQ27:$RS27,"Carregar")&gt;0," · em dois turnos","")))</f>
        <v/>
      </c>
      <c r="QC27" s="161">
        <f>IF($MW27&lt;&gt;"",$MW27,IF($NJ27=0,"",INDEX('DADOS_FORMAS'!$GE$2:$GE$21,$NJ27)))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IF($NJ27=0,0,CHOOSE(1+INDEX('DADOS_FORMAS'!$GG$2:$GG$21,$NJ27),0,$QF27,$QG27,$QF27+$QG27))</f>
        <v/>
      </c>
      <c r="QI27" s="161">
        <f>IF($NJ27=0,0,CHOOSE(1+INDEX('DADOS_FORMAS'!$GH$2:$GH$21,$NJ27),0,$QF27,$QG27,$QF27+$QG27))</f>
        <v/>
      </c>
      <c r="QJ27" s="161">
        <f>IF(OR($ND27=0,$NJ27=0),"",INDEX('DADOS_FORMAS'!$HU$2:$HZ$81,($NJ27-1)*4+IF($MS27=0,1,IF($MS27&lt;=5,2,IF($MS27=6,3,4))),1+MIN(5,$QH27))&amp;INDEX('DADOS_FORMAS'!$IA$2:$IF$81,($NJ27-1)*4+IF($MS27=0,1,IF($MS27&lt;=5,2,IF($MS27=6,3,4))),1+MIN(5,$QI27))&amp;IF(INDEX('DADOS_FORMAS'!$GI$2:$GI$21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c r="RO27">
        <f>IFERROR(INDEX('DADOS_FORMAS'!$BJ$2:$BJ$21,MATCH(SUBSTITUTE(SUBSTITUTE(SUBSTITUTE($MU27,"~","~~"),"*","~*"),"?","~?"),'DADOS_FORMAS'!$AH$2:$AH$21,0)),"")</f>
        <v/>
      </c>
      <c r="RP27">
        <f>IFERROR(VLOOKUP(SUBSTITUTE(SUBSTITUTE(SUBSTITUTE(IFERROR(INDEX('DADOS_FORMAS'!$AS$2:$AS$21,MATCH(SUBSTITUTE(SUBSTITUTE(SUBSTITUTE($MU27,"~","~~"),"*","~*"),"?","~?"),'DADOS_FORMAS'!$AH$2:$AH$21,0)),""),"~","~~"),"*","~*"),"?","~?"),'DADOS_RESTRICOES'!$M$2:$Q$54,2,FALSE),"")</f>
        <v/>
      </c>
      <c r="RQ27">
        <f>$OK27</f>
        <v/>
      </c>
      <c r="RR27">
        <f>$OL27</f>
        <v/>
      </c>
      <c r="RS27">
        <f>$RP27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IFERROR(MATCH(SUBSTITUTE(SUBSTITUTE(SUBSTITUTE($MU28,"~","~~"),"*","~*"),"?","~?"),'DADOS_FORMAS'!$FZ$2:$FZ$21,0),0)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IF($MS28=0,0,IF($NJ28=0,0,INDEX('DADOS_FORMAS'!$GB$2:$GB$21,$NJ28)))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IF($NJ28=0,0,IF(INDEX('DADOS_FORMAS'!$GA$2:$GA$21,$NJ28)="",0,IF((COUNTIF(INDEX($EL$2:$EP$13,$MO28,0),INDEX('DADOS_FORMAS'!$GA$2:$GA$21,$NJ28))+COUNTIF(INDEX($QV$2:$QY$13,$MO28,0),INDEX('DADOS_FORMAS'!$GA$2:$GA$21,$NJ28)))=0,1,0)))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IFERROR(N(AND(INDEX('DADOS_FORMAS'!$AO$2:$AO$21,MATCH(SUBSTITUTE(SUBSTITUTE(SUBSTITUTE($MU28,"~","~~"),"*","~*"),"?","~?"),'DADOS_FORMAS'!$AH$2:$AH$21,0))="Acerto",$OH28=1)),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IF($NJ28=0,0,INDEX('DADOS_FORMAS'!$GC$2:$GC$21,$NJ28))</f>
        <v/>
      </c>
      <c r="OG28" s="161">
        <f>IF($NJ28=0,0,INDEX('DADOS_FORMAS'!$GD$2:$GD$21,$NJ28))</f>
        <v/>
      </c>
      <c r="OH28" s="161">
        <f>IF($NJ28=0,0,INDEX('DADOS_FORMAS'!$GF$2:$GF$21,$NJ28))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IF(IFERROR(INDEX('DADOS_FORMAS'!$AS$2:$AS$21,MATCH(SUBSTITUTE(SUBSTITUTE(SUBSTITUTE($MU28,"~","~~"),"*","~*"),"?","~?"),'DADOS_FORMAS'!$AH$2:$AH$21,0)),"")="",0,IFERROR(N(VLOOKUP(SUBSTITUTE(SUBSTITUTE(SUBSTITUTE(IFERROR(INDEX('DADOS_FORMAS'!$AS$2:$AS$21,MATCH(SUBSTITUTE(SUBSTITUTE(SUBSTITUTE($MU28,"~","~~"),"*","~*"),"?","~?"),'DADOS_FORMAS'!$AH$2:$AH$21,0)),""),"~","~~"),"*","~*"),"?","~?"),'DADOS_RESTRICOES'!$M$2:$Q$54,3,FALSE)=1),0))</f>
        <v/>
      </c>
      <c r="OT28" s="161">
        <f>COUNTIF($OI28:$OJ28,2)+IF(IFERROR(INDEX('DADOS_FORMAS'!$AS$2:$AS$21,MATCH(SUBSTITUTE(SUBSTITUTE(SUBSTITUTE($MU28,"~","~~"),"*","~*"),"?","~?"),'DADOS_FORMAS'!$AH$2:$AH$21,0)),"")="",0,IFERROR(N(VLOOKUP(SUBSTITUTE(SUBSTITUTE(SUBSTITUTE(IFERROR(INDEX('DADOS_FORMAS'!$AS$2:$AS$21,MATCH(SUBSTITUTE(SUBSTITUTE(SUBSTITUTE($MU28,"~","~~"),"*","~*"),"?","~?"),'DADOS_FORMAS'!$AH$2:$AH$21,0)),""),"~","~~"),"*","~*"),"?","~?"),'DADOS_RESTRICOES'!$M$2:$Q$54,3,FALSE)=2),0))</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",TRUE,IF($ND28=0,"",TEXTJOIN(" · ",TRUE,IF($MQ28&gt;$NE28,"Este lugar abre no nível "&amp;$MQ28,""),IF($MS28&gt;$NF28,"Classe "&amp;$MS28&amp;": o nível "&amp;$NE28&amp;" libera até a "&amp;$NF28,""),IF($NX28=1,"A Forma "&amp;$MU28&amp;" pede "&amp;INDEX('DADOS_FORMAS'!$GA$2:$GA$21,$NJ28)&amp;" aberta",""),IF(AND($MS28=0,$NJ28&gt;0,IF($NJ28=0,0,INDEX('DADOS_FORMAS'!$GJ$2:$GJ$21,$NJ28))=0),$MU28&amp;"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Corpo")&gt;0,$OF28=0,OR($RO28="Cone",$RO28="Linha")),"Corpo a Corpo não entra em "&amp;$MU28,""),IF(AND(COUNTIF($OK28:$OL28,"Corpo a Corpo")&gt;0,$RP28="Corpo a Corpo"),"A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"&amp;$NC28,""))),IF(AND($MU28&lt;&gt;"",COUNTIF('DADOS_FORMAS'!$AH$2:$AH$21,SUBSTITUTE(SUBSTITUTE(SUBSTITUTE($MU28,"~","~~"),"*","~*"),"?","~?"))=0),"Forma não cadastrada ou com erro: "&amp;$MU28,""),IF(AND(IFERROR(INDEX('DADOS_FORMAS'!$AS$2:$AS$21,MATCH(SUBSTITUTE(SUBSTITUTE(SUBSTITUTE($MU28,"~","~~"),"*","~*"),"?","~?"),'DADOS_FORMAS'!$AH$2:$AH$21,0)),"")&lt;&gt;"",OR(IFERROR(VLOOKUP(SUBSTITUTE(SUBSTITUTE(SUBSTITUTE(IFERROR(INDEX('DADOS_FORMAS'!$AS$2:$AS$21,MATCH(SUBSTITUTE(SUBSTITUTE(SUBSTITUTE($MU28,"~","~~"),"*","~*"),"?","~?"),'DADOS_FORMAS'!$AH$2:$AH$21,0)),""),"~","~~"),"*","~*"),"?","~?"),'DADOS_RESTRICOES'!$M$2:$Q$54,2,FALSE),"")=$OK28,IFERROR(VLOOKUP(SUBSTITUTE(SUBSTITUTE(SUBSTITUTE(IFERROR(INDEX('DADOS_FORMAS'!$AS$2:$AS$21,MATCH(SUBSTITUTE(SUBSTITUTE(SUBSTITUTE($MU28,"~","~~"),"*","~*"),"?","~?"),'DADOS_FORMAS'!$AH$2:$AH$21,0)),""),"~","~~"),"*","~*"),"?","~?"),'DADOS_RESTRICOES'!$M$2:$Q$54,2,FALSE),"")=$OL28)),"Restrição repetida, contando a embutida",""),IF(IF(IFERROR(INDEX('DADOS_FORMAS'!$AS$2:$AS$21,MATCH(SUBSTITUTE(SUBSTITUTE(SUBSTITUTE($MU28,"~","~~"),"*","~*"),"?","~?"),'DADOS_FORMAS'!$AH$2:$AH$21,0)),"")="",0,IFERROR(N(VLOOKUP(SUBSTITUTE(SUBSTITUTE(SUBSTITUTE(IFERROR(INDEX('DADOS_FORMAS'!$AS$2:$AS$21,MATCH(SUBSTITUTE(SUBSTITUTE(SUBSTITUTE($MU28,"~","~~"),"*","~*"),"?","~?"),'DADOS_FORMAS'!$AH$2:$AH$21,0)),""),"~","~~"),"*","~*"),"?","~?"),'DADOS_RESTRICOES'!$M$2:$Q$54,4,FALSE)=1),0))+IF($NB28="",0,IFERROR(N(VLOOKUP(SUBSTITUTE(SUBSTITUTE(SUBSTITUTE($NB28,"~","~~"),"*","~*"),"?","~?"),'DADOS_RESTRICOES'!$M$2:$Q$54,4,FALSE)=1),0))+IF($NC28="",0,IFERROR(N(VLOOKUP(SUBSTITUTE(SUBSTITUTE(SUBSTITUTE($NC28,"~","~~"),"*","~*"),"?","~?"),'DADOS_RESTRICOES'!$M$2:$Q$54,4,FALSE)=1),0))&gt;1,"Duas Restrições de frequência, contando a embutida",""),IF(AND(IFERROR(VLOOKUP(SUBSTITUTE(SUBSTITUTE(SUBSTITUTE(IFERROR(INDEX('DADOS_FORMAS'!$AS$2:$AS$21,MATCH(SUBSTITUTE(SUBSTITUTE(SUBSTITUTE($MU28,"~","~~"),"*","~*"),"?","~?"),'DADOS_FORMAS'!$AH$2:$AH$21,0)),""),"~","~~"),"*","~*"),"?","~?"),'DADOS_RESTRICOES'!$M$2:$Q$54,2,FALSE),"")="Tudo ou Nada",$OH28=0),"Tudo ou Nada exige TR",""),IF(AND(IFERROR(VLOOKUP(SUBSTITUTE(SUBSTITUTE(SUBSTITUTE(IFERROR(INDEX('DADOS_FORMAS'!$AS$2:$AS$21,MATCH(SUBSTITUTE(SUBSTITUTE(SUBSTITUTE($MU28,"~","~~"),"*","~*"),"?","~?"),'DADOS_FORMAS'!$AH$2:$AH$21,0)),""),"~","~~"),"*","~*"),"?","~?"),'DADOS_RESTRICOES'!$M$2:$Q$54,2,FALSE),"")="Corpo a Corpo",OR($RO28="Cone",$RO28="Linha")),"Corpo a Corpo não entra em Cone/Linha","")))</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dela",IF(COUNTIF($RQ28:$RS28,"Atrasar")&gt;0,"Sua Ação Completa",IF(COUNTIF($RK28:$RN28,"Rápido")&gt;0,"Sua Bônus",IF(COUNTIF($RK28:$RN28,"Reação")&gt;0,"Sua Reação","Sua Padrão")))&amp;" + a básica dela"&amp;IF(COUNTIF($RK28:$RN28,"Reação")&gt;0," e a coletiva","")&amp;IF(COUNTIF($RQ28:$RS28,"Carregar")&gt;0," · em dois turnos","")))</f>
        <v/>
      </c>
      <c r="QC28" s="161">
        <f>IF($MW28&lt;&gt;"",$MW28,IF($NJ28=0,"",INDEX('DADOS_FORMAS'!$GE$2:$GE$21,$NJ28)))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IF($NJ28=0,0,CHOOSE(1+INDEX('DADOS_FORMAS'!$GG$2:$GG$21,$NJ28),0,$QF28,$QG28,$QF28+$QG28))</f>
        <v/>
      </c>
      <c r="QI28" s="161">
        <f>IF($NJ28=0,0,CHOOSE(1+INDEX('DADOS_FORMAS'!$GH$2:$GH$21,$NJ28),0,$QF28,$QG28,$QF28+$QG28))</f>
        <v/>
      </c>
      <c r="QJ28" s="161">
        <f>IF(OR($ND28=0,$NJ28=0),"",INDEX('DADOS_FORMAS'!$HU$2:$HZ$81,($NJ28-1)*4+IF($MS28=0,1,IF($MS28&lt;=5,2,IF($MS28=6,3,4))),1+MIN(5,$QH28))&amp;INDEX('DADOS_FORMAS'!$IA$2:$IF$81,($NJ28-1)*4+IF($MS28=0,1,IF($MS28&lt;=5,2,IF($MS28=6,3,4))),1+MIN(5,$QI28))&amp;IF(INDEX('DADOS_FORMAS'!$GI$2:$GI$21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c r="RO28">
        <f>IFERROR(INDEX('DADOS_FORMAS'!$BJ$2:$BJ$21,MATCH(SUBSTITUTE(SUBSTITUTE(SUBSTITUTE($MU28,"~","~~"),"*","~*"),"?","~?"),'DADOS_FORMAS'!$AH$2:$AH$21,0)),"")</f>
        <v/>
      </c>
      <c r="RP28">
        <f>IFERROR(VLOOKUP(SUBSTITUTE(SUBSTITUTE(SUBSTITUTE(IFERROR(INDEX('DADOS_FORMAS'!$AS$2:$AS$21,MATCH(SUBSTITUTE(SUBSTITUTE(SUBSTITUTE($MU28,"~","~~"),"*","~*"),"?","~?"),'DADOS_FORMAS'!$AH$2:$AH$21,0)),""),"~","~~"),"*","~*"),"?","~?"),'DADOS_RESTRICOES'!$M$2:$Q$54,2,FALSE),"")</f>
        <v/>
      </c>
      <c r="RQ28">
        <f>$OK28</f>
        <v/>
      </c>
      <c r="RR28">
        <f>$OL28</f>
        <v/>
      </c>
      <c r="RS28">
        <f>$RP28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IFERROR(MATCH(SUBSTITUTE(SUBSTITUTE(SUBSTITUTE($MU29,"~","~~"),"*","~*"),"?","~?"),'DADOS_FORMAS'!$FZ$2:$FZ$21,0),0)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IF($MS29=0,0,IF($NJ29=0,0,INDEX('DADOS_FORMAS'!$GB$2:$GB$21,$NJ29)))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IF($NJ29=0,0,IF(INDEX('DADOS_FORMAS'!$GA$2:$GA$21,$NJ29)="",0,IF((COUNTIF(INDEX($EL$2:$EP$13,$MO29,0),INDEX('DADOS_FORMAS'!$GA$2:$GA$21,$NJ29))+COUNTIF(INDEX($QV$2:$QY$13,$MO29,0),INDEX('DADOS_FORMAS'!$GA$2:$GA$21,$NJ29)))=0,1,0)))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IFERROR(N(AND(INDEX('DADOS_FORMAS'!$AO$2:$AO$21,MATCH(SUBSTITUTE(SUBSTITUTE(SUBSTITUTE($MU29,"~","~~"),"*","~*"),"?","~?"),'DADOS_FORMAS'!$AH$2:$AH$21,0))="Acerto",$OH29=1)),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IF($NJ29=0,0,INDEX('DADOS_FORMAS'!$GC$2:$GC$21,$NJ29))</f>
        <v/>
      </c>
      <c r="OG29" s="161">
        <f>IF($NJ29=0,0,INDEX('DADOS_FORMAS'!$GD$2:$GD$21,$NJ29))</f>
        <v/>
      </c>
      <c r="OH29" s="161">
        <f>IF($NJ29=0,0,INDEX('DADOS_FORMAS'!$GF$2:$GF$21,$NJ29))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IF(IFERROR(INDEX('DADOS_FORMAS'!$AS$2:$AS$21,MATCH(SUBSTITUTE(SUBSTITUTE(SUBSTITUTE($MU29,"~","~~"),"*","~*"),"?","~?"),'DADOS_FORMAS'!$AH$2:$AH$21,0)),"")="",0,IFERROR(N(VLOOKUP(SUBSTITUTE(SUBSTITUTE(SUBSTITUTE(IFERROR(INDEX('DADOS_FORMAS'!$AS$2:$AS$21,MATCH(SUBSTITUTE(SUBSTITUTE(SUBSTITUTE($MU29,"~","~~"),"*","~*"),"?","~?"),'DADOS_FORMAS'!$AH$2:$AH$21,0)),""),"~","~~"),"*","~*"),"?","~?"),'DADOS_RESTRICOES'!$M$2:$Q$54,3,FALSE)=1),0))</f>
        <v/>
      </c>
      <c r="OT29" s="161">
        <f>COUNTIF($OI29:$OJ29,2)+IF(IFERROR(INDEX('DADOS_FORMAS'!$AS$2:$AS$21,MATCH(SUBSTITUTE(SUBSTITUTE(SUBSTITUTE($MU29,"~","~~"),"*","~*"),"?","~?"),'DADOS_FORMAS'!$AH$2:$AH$21,0)),"")="",0,IFERROR(N(VLOOKUP(SUBSTITUTE(SUBSTITUTE(SUBSTITUTE(IFERROR(INDEX('DADOS_FORMAS'!$AS$2:$AS$21,MATCH(SUBSTITUTE(SUBSTITUTE(SUBSTITUTE($MU29,"~","~~"),"*","~*"),"?","~?"),'DADOS_FORMAS'!$AH$2:$AH$21,0)),""),"~","~~"),"*","~*"),"?","~?"),'DADOS_RESTRICOES'!$M$2:$Q$54,3,FALSE)=2),0))</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",TRUE,IF($ND29=0,"",TEXTJOIN(" · ",TRUE,IF($MQ29&gt;$NE29,"Este lugar abre no nível "&amp;$MQ29,""),IF($MS29&gt;$NF29,"Classe "&amp;$MS29&amp;": o nível "&amp;$NE29&amp;" libera até a "&amp;$NF29,""),IF($NX29=1,"A Forma "&amp;$MU29&amp;" pede "&amp;INDEX('DADOS_FORMAS'!$GA$2:$GA$21,$NJ29)&amp;" aberta",""),IF(AND($MS29=0,$NJ29&gt;0,IF($NJ29=0,0,INDEX('DADOS_FORMAS'!$GJ$2:$GJ$21,$NJ29))=0),$MU29&amp;"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Corpo")&gt;0,$OF29=0,OR($RO29="Cone",$RO29="Linha")),"Corpo a Corpo não entra em "&amp;$MU29,""),IF(AND(COUNTIF($OK29:$OL29,"Corpo a Corpo")&gt;0,$RP29="Corpo a Corpo"),"A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"&amp;$NC29,""))),IF(AND($MU29&lt;&gt;"",COUNTIF('DADOS_FORMAS'!$AH$2:$AH$21,SUBSTITUTE(SUBSTITUTE(SUBSTITUTE($MU29,"~","~~"),"*","~*"),"?","~?"))=0),"Forma não cadastrada ou com erro: "&amp;$MU29,""),IF(AND(IFERROR(INDEX('DADOS_FORMAS'!$AS$2:$AS$21,MATCH(SUBSTITUTE(SUBSTITUTE(SUBSTITUTE($MU29,"~","~~"),"*","~*"),"?","~?"),'DADOS_FORMAS'!$AH$2:$AH$21,0)),"")&lt;&gt;"",OR(IFERROR(VLOOKUP(SUBSTITUTE(SUBSTITUTE(SUBSTITUTE(IFERROR(INDEX('DADOS_FORMAS'!$AS$2:$AS$21,MATCH(SUBSTITUTE(SUBSTITUTE(SUBSTITUTE($MU29,"~","~~"),"*","~*"),"?","~?"),'DADOS_FORMAS'!$AH$2:$AH$21,0)),""),"~","~~"),"*","~*"),"?","~?"),'DADOS_RESTRICOES'!$M$2:$Q$54,2,FALSE),"")=$OK29,IFERROR(VLOOKUP(SUBSTITUTE(SUBSTITUTE(SUBSTITUTE(IFERROR(INDEX('DADOS_FORMAS'!$AS$2:$AS$21,MATCH(SUBSTITUTE(SUBSTITUTE(SUBSTITUTE($MU29,"~","~~"),"*","~*"),"?","~?"),'DADOS_FORMAS'!$AH$2:$AH$21,0)),""),"~","~~"),"*","~*"),"?","~?"),'DADOS_RESTRICOES'!$M$2:$Q$54,2,FALSE),"")=$OL29)),"Restrição repetida, contando a embutida",""),IF(IF(IFERROR(INDEX('DADOS_FORMAS'!$AS$2:$AS$21,MATCH(SUBSTITUTE(SUBSTITUTE(SUBSTITUTE($MU29,"~","~~"),"*","~*"),"?","~?"),'DADOS_FORMAS'!$AH$2:$AH$21,0)),"")="",0,IFERROR(N(VLOOKUP(SUBSTITUTE(SUBSTITUTE(SUBSTITUTE(IFERROR(INDEX('DADOS_FORMAS'!$AS$2:$AS$21,MATCH(SUBSTITUTE(SUBSTITUTE(SUBSTITUTE($MU29,"~","~~"),"*","~*"),"?","~?"),'DADOS_FORMAS'!$AH$2:$AH$21,0)),""),"~","~~"),"*","~*"),"?","~?"),'DADOS_RESTRICOES'!$M$2:$Q$54,4,FALSE)=1),0))+IF($NB29="",0,IFERROR(N(VLOOKUP(SUBSTITUTE(SUBSTITUTE(SUBSTITUTE($NB29,"~","~~"),"*","~*"),"?","~?"),'DADOS_RESTRICOES'!$M$2:$Q$54,4,FALSE)=1),0))+IF($NC29="",0,IFERROR(N(VLOOKUP(SUBSTITUTE(SUBSTITUTE(SUBSTITUTE($NC29,"~","~~"),"*","~*"),"?","~?"),'DADOS_RESTRICOES'!$M$2:$Q$54,4,FALSE)=1),0))&gt;1,"Duas Restrições de frequência, contando a embutida",""),IF(AND(IFERROR(VLOOKUP(SUBSTITUTE(SUBSTITUTE(SUBSTITUTE(IFERROR(INDEX('DADOS_FORMAS'!$AS$2:$AS$21,MATCH(SUBSTITUTE(SUBSTITUTE(SUBSTITUTE($MU29,"~","~~"),"*","~*"),"?","~?"),'DADOS_FORMAS'!$AH$2:$AH$21,0)),""),"~","~~"),"*","~*"),"?","~?"),'DADOS_RESTRICOES'!$M$2:$Q$54,2,FALSE),"")="Tudo ou Nada",$OH29=0),"Tudo ou Nada exige TR",""),IF(AND(IFERROR(VLOOKUP(SUBSTITUTE(SUBSTITUTE(SUBSTITUTE(IFERROR(INDEX('DADOS_FORMAS'!$AS$2:$AS$21,MATCH(SUBSTITUTE(SUBSTITUTE(SUBSTITUTE($MU29,"~","~~"),"*","~*"),"?","~?"),'DADOS_FORMAS'!$AH$2:$AH$21,0)),""),"~","~~"),"*","~*"),"?","~?"),'DADOS_RESTRICOES'!$M$2:$Q$54,2,FALSE),"")="Corpo a Corpo",OR($RO29="Cone",$RO29="Linha")),"Corpo a Corpo não entra em Cone/Linha","")))</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dela",IF(COUNTIF($RQ29:$RS29,"Atrasar")&gt;0,"Sua Ação Completa",IF(COUNTIF($RK29:$RN29,"Rápido")&gt;0,"Sua Bônus",IF(COUNTIF($RK29:$RN29,"Reação")&gt;0,"Sua Reação","Sua Padrão")))&amp;" + a básica dela"&amp;IF(COUNTIF($RK29:$RN29,"Reação")&gt;0," e a coletiva","")&amp;IF(COUNTIF($RQ29:$RS29,"Carregar")&gt;0," · em dois turnos","")))</f>
        <v/>
      </c>
      <c r="QC29" s="161">
        <f>IF($MW29&lt;&gt;"",$MW29,IF($NJ29=0,"",INDEX('DADOS_FORMAS'!$GE$2:$GE$21,$NJ29)))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IF($NJ29=0,0,CHOOSE(1+INDEX('DADOS_FORMAS'!$GG$2:$GG$21,$NJ29),0,$QF29,$QG29,$QF29+$QG29))</f>
        <v/>
      </c>
      <c r="QI29" s="161">
        <f>IF($NJ29=0,0,CHOOSE(1+INDEX('DADOS_FORMAS'!$GH$2:$GH$21,$NJ29),0,$QF29,$QG29,$QF29+$QG29))</f>
        <v/>
      </c>
      <c r="QJ29" s="161">
        <f>IF(OR($ND29=0,$NJ29=0),"",INDEX('DADOS_FORMAS'!$HU$2:$HZ$81,($NJ29-1)*4+IF($MS29=0,1,IF($MS29&lt;=5,2,IF($MS29=6,3,4))),1+MIN(5,$QH29))&amp;INDEX('DADOS_FORMAS'!$IA$2:$IF$81,($NJ29-1)*4+IF($MS29=0,1,IF($MS29&lt;=5,2,IF($MS29=6,3,4))),1+MIN(5,$QI29))&amp;IF(INDEX('DADOS_FORMAS'!$GI$2:$GI$21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c r="RO29">
        <f>IFERROR(INDEX('DADOS_FORMAS'!$BJ$2:$BJ$21,MATCH(SUBSTITUTE(SUBSTITUTE(SUBSTITUTE($MU29,"~","~~"),"*","~*"),"?","~?"),'DADOS_FORMAS'!$AH$2:$AH$21,0)),"")</f>
        <v/>
      </c>
      <c r="RP29">
        <f>IFERROR(VLOOKUP(SUBSTITUTE(SUBSTITUTE(SUBSTITUTE(IFERROR(INDEX('DADOS_FORMAS'!$AS$2:$AS$21,MATCH(SUBSTITUTE(SUBSTITUTE(SUBSTITUTE($MU29,"~","~~"),"*","~*"),"?","~?"),'DADOS_FORMAS'!$AH$2:$AH$21,0)),""),"~","~~"),"*","~*"),"?","~?"),'DADOS_RESTRICOES'!$M$2:$Q$54,2,FALSE),"")</f>
        <v/>
      </c>
      <c r="RQ29">
        <f>$OK29</f>
        <v/>
      </c>
      <c r="RR29">
        <f>$OL29</f>
        <v/>
      </c>
      <c r="RS29">
        <f>$RP29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IFERROR(MATCH(SUBSTITUTE(SUBSTITUTE(SUBSTITUTE($MU30,"~","~~"),"*","~*"),"?","~?"),'DADOS_FORMAS'!$FZ$2:$FZ$21,0),0)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IF($MS30=0,0,IF($NJ30=0,0,INDEX('DADOS_FORMAS'!$GB$2:$GB$21,$NJ30)))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IF($NJ30=0,0,IF(INDEX('DADOS_FORMAS'!$GA$2:$GA$21,$NJ30)="",0,IF((COUNTIF(INDEX($EL$2:$EP$13,$MO30,0),INDEX('DADOS_FORMAS'!$GA$2:$GA$21,$NJ30))+COUNTIF(INDEX($QV$2:$QY$13,$MO30,0),INDEX('DADOS_FORMAS'!$GA$2:$GA$21,$NJ30)))=0,1,0)))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IFERROR(N(AND(INDEX('DADOS_FORMAS'!$AO$2:$AO$21,MATCH(SUBSTITUTE(SUBSTITUTE(SUBSTITUTE($MU30,"~","~~"),"*","~*"),"?","~?"),'DADOS_FORMAS'!$AH$2:$AH$21,0))="Acerto",$OH30=1)),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IF($NJ30=0,0,INDEX('DADOS_FORMAS'!$GC$2:$GC$21,$NJ30))</f>
        <v/>
      </c>
      <c r="OG30" s="161">
        <f>IF($NJ30=0,0,INDEX('DADOS_FORMAS'!$GD$2:$GD$21,$NJ30))</f>
        <v/>
      </c>
      <c r="OH30" s="161">
        <f>IF($NJ30=0,0,INDEX('DADOS_FORMAS'!$GF$2:$GF$21,$NJ30))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IF(IFERROR(INDEX('DADOS_FORMAS'!$AS$2:$AS$21,MATCH(SUBSTITUTE(SUBSTITUTE(SUBSTITUTE($MU30,"~","~~"),"*","~*"),"?","~?"),'DADOS_FORMAS'!$AH$2:$AH$21,0)),"")="",0,IFERROR(N(VLOOKUP(SUBSTITUTE(SUBSTITUTE(SUBSTITUTE(IFERROR(INDEX('DADOS_FORMAS'!$AS$2:$AS$21,MATCH(SUBSTITUTE(SUBSTITUTE(SUBSTITUTE($MU30,"~","~~"),"*","~*"),"?","~?"),'DADOS_FORMAS'!$AH$2:$AH$21,0)),""),"~","~~"),"*","~*"),"?","~?"),'DADOS_RESTRICOES'!$M$2:$Q$54,3,FALSE)=1),0))</f>
        <v/>
      </c>
      <c r="OT30" s="161">
        <f>COUNTIF($OI30:$OJ30,2)+IF(IFERROR(INDEX('DADOS_FORMAS'!$AS$2:$AS$21,MATCH(SUBSTITUTE(SUBSTITUTE(SUBSTITUTE($MU30,"~","~~"),"*","~*"),"?","~?"),'DADOS_FORMAS'!$AH$2:$AH$21,0)),"")="",0,IFERROR(N(VLOOKUP(SUBSTITUTE(SUBSTITUTE(SUBSTITUTE(IFERROR(INDEX('DADOS_FORMAS'!$AS$2:$AS$21,MATCH(SUBSTITUTE(SUBSTITUTE(SUBSTITUTE($MU30,"~","~~"),"*","~*"),"?","~?"),'DADOS_FORMAS'!$AH$2:$AH$21,0)),""),"~","~~"),"*","~*"),"?","~?"),'DADOS_RESTRICOES'!$M$2:$Q$54,3,FALSE)=2),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",TRUE,IF($ND30=0,"",TEXTJOIN(" · ",TRUE,IF($MQ30&gt;$NE30,"Este lugar abre no nível "&amp;$MQ30,""),IF($MS30&gt;$NF30,"Classe "&amp;$MS30&amp;": o nível "&amp;$NE30&amp;" libera até a "&amp;$NF30,""),IF($NX30=1,"A Forma "&amp;$MU30&amp;" pede "&amp;INDEX('DADOS_FORMAS'!$GA$2:$GA$21,$NJ30)&amp;" aberta",""),IF(AND($MS30=0,$NJ30&gt;0,IF($NJ30=0,0,INDEX('DADOS_FORMAS'!$GJ$2:$GJ$21,$NJ30))=0),$MU30&amp;"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Corpo")&gt;0,$OF30=0,OR($RO30="Cone",$RO30="Linha")),"Corpo a Corpo não entra em "&amp;$MU30,""),IF(AND(COUNTIF($OK30:$OL30,"Corpo a Corpo")&gt;0,$RP30="Corpo a Corpo"),"A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"&amp;$NC30,""))),IF(AND($MU30&lt;&gt;"",COUNTIF('DADOS_FORMAS'!$AH$2:$AH$21,SUBSTITUTE(SUBSTITUTE(SUBSTITUTE($MU30,"~","~~"),"*","~*"),"?","~?"))=0),"Forma não cadastrada ou com erro: "&amp;$MU30,""),IF(AND(IFERROR(INDEX('DADOS_FORMAS'!$AS$2:$AS$21,MATCH(SUBSTITUTE(SUBSTITUTE(SUBSTITUTE($MU30,"~","~~"),"*","~*"),"?","~?"),'DADOS_FORMAS'!$AH$2:$AH$21,0)),"")&lt;&gt;"",OR(IFERROR(VLOOKUP(SUBSTITUTE(SUBSTITUTE(SUBSTITUTE(IFERROR(INDEX('DADOS_FORMAS'!$AS$2:$AS$21,MATCH(SUBSTITUTE(SUBSTITUTE(SUBSTITUTE($MU30,"~","~~"),"*","~*"),"?","~?"),'DADOS_FORMAS'!$AH$2:$AH$21,0)),""),"~","~~"),"*","~*"),"?","~?"),'DADOS_RESTRICOES'!$M$2:$Q$54,2,FALSE),"")=$OK30,IFERROR(VLOOKUP(SUBSTITUTE(SUBSTITUTE(SUBSTITUTE(IFERROR(INDEX('DADOS_FORMAS'!$AS$2:$AS$21,MATCH(SUBSTITUTE(SUBSTITUTE(SUBSTITUTE($MU30,"~","~~"),"*","~*"),"?","~?"),'DADOS_FORMAS'!$AH$2:$AH$21,0)),""),"~","~~"),"*","~*"),"?","~?"),'DADOS_RESTRICOES'!$M$2:$Q$54,2,FALSE),"")=$OL30)),"Restrição repetida, contando a embutida",""),IF(IF(IFERROR(INDEX('DADOS_FORMAS'!$AS$2:$AS$21,MATCH(SUBSTITUTE(SUBSTITUTE(SUBSTITUTE($MU30,"~","~~"),"*","~*"),"?","~?"),'DADOS_FORMAS'!$AH$2:$AH$21,0)),"")="",0,IFERROR(N(VLOOKUP(SUBSTITUTE(SUBSTITUTE(SUBSTITUTE(IFERROR(INDEX('DADOS_FORMAS'!$AS$2:$AS$21,MATCH(SUBSTITUTE(SUBSTITUTE(SUBSTITUTE($MU30,"~","~~"),"*","~*"),"?","~?"),'DADOS_FORMAS'!$AH$2:$AH$21,0)),""),"~","~~"),"*","~*"),"?","~?"),'DADOS_RESTRICOES'!$M$2:$Q$54,4,FALSE)=1),0))+IF($NB30="",0,IFERROR(N(VLOOKUP(SUBSTITUTE(SUBSTITUTE(SUBSTITUTE($NB30,"~","~~"),"*","~*"),"?","~?"),'DADOS_RESTRICOES'!$M$2:$Q$54,4,FALSE)=1),0))+IF($NC30="",0,IFERROR(N(VLOOKUP(SUBSTITUTE(SUBSTITUTE(SUBSTITUTE($NC30,"~","~~"),"*","~*"),"?","~?"),'DADOS_RESTRICOES'!$M$2:$Q$54,4,FALSE)=1),0))&gt;1,"Duas Restrições de frequência, contando a embutida",""),IF(AND(IFERROR(VLOOKUP(SUBSTITUTE(SUBSTITUTE(SUBSTITUTE(IFERROR(INDEX('DADOS_FORMAS'!$AS$2:$AS$21,MATCH(SUBSTITUTE(SUBSTITUTE(SUBSTITUTE($MU30,"~","~~"),"*","~*"),"?","~?"),'DADOS_FORMAS'!$AH$2:$AH$21,0)),""),"~","~~"),"*","~*"),"?","~?"),'DADOS_RESTRICOES'!$M$2:$Q$54,2,FALSE),"")="Tudo ou Nada",$OH30=0),"Tudo ou Nada exige TR",""),IF(AND(IFERROR(VLOOKUP(SUBSTITUTE(SUBSTITUTE(SUBSTITUTE(IFERROR(INDEX('DADOS_FORMAS'!$AS$2:$AS$21,MATCH(SUBSTITUTE(SUBSTITUTE(SUBSTITUTE($MU30,"~","~~"),"*","~*"),"?","~?"),'DADOS_FORMAS'!$AH$2:$AH$21,0)),""),"~","~~"),"*","~*"),"?","~?"),'DADOS_RESTRICOES'!$M$2:$Q$54,2,FALSE),"")="Corpo a Corpo",OR($RO30="Cone",$RO30="Linha")),"Corpo a Corpo não entra em Cone/Linha","")))</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dela",IF(COUNTIF($RQ30:$RS30,"Atrasar")&gt;0,"Sua Ação Completa",IF(COUNTIF($RK30:$RN30,"Rápido")&gt;0,"Sua Bônus",IF(COUNTIF($RK30:$RN30,"Reação")&gt;0,"Sua Reação","Sua Padrão")))&amp;" + a básica dela"&amp;IF(COUNTIF($RK30:$RN30,"Reação")&gt;0," e a coletiva","")&amp;IF(COUNTIF($RQ30:$RS30,"Carregar")&gt;0," · em dois turnos","")))</f>
        <v/>
      </c>
      <c r="QC30" s="161">
        <f>IF($MW30&lt;&gt;"",$MW30,IF($NJ30=0,"",INDEX('DADOS_FORMAS'!$GE$2:$GE$21,$NJ30)))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IF($NJ30=0,0,CHOOSE(1+INDEX('DADOS_FORMAS'!$GG$2:$GG$21,$NJ30),0,$QF30,$QG30,$QF30+$QG30))</f>
        <v/>
      </c>
      <c r="QI30" s="161">
        <f>IF($NJ30=0,0,CHOOSE(1+INDEX('DADOS_FORMAS'!$GH$2:$GH$21,$NJ30),0,$QF30,$QG30,$QF30+$QG30))</f>
        <v/>
      </c>
      <c r="QJ30" s="161">
        <f>IF(OR($ND30=0,$NJ30=0),"",INDEX('DADOS_FORMAS'!$HU$2:$HZ$81,($NJ30-1)*4+IF($MS30=0,1,IF($MS30&lt;=5,2,IF($MS30=6,3,4))),1+MIN(5,$QH30))&amp;INDEX('DADOS_FORMAS'!$IA$2:$IF$81,($NJ30-1)*4+IF($MS30=0,1,IF($MS30&lt;=5,2,IF($MS30=6,3,4))),1+MIN(5,$QI30))&amp;IF(INDEX('DADOS_FORMAS'!$GI$2:$GI$21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c r="RO30">
        <f>IFERROR(INDEX('DADOS_FORMAS'!$BJ$2:$BJ$21,MATCH(SUBSTITUTE(SUBSTITUTE(SUBSTITUTE($MU30,"~","~~"),"*","~*"),"?","~?"),'DADOS_FORMAS'!$AH$2:$AH$21,0)),"")</f>
        <v/>
      </c>
      <c r="RP30">
        <f>IFERROR(VLOOKUP(SUBSTITUTE(SUBSTITUTE(SUBSTITUTE(IFERROR(INDEX('DADOS_FORMAS'!$AS$2:$AS$21,MATCH(SUBSTITUTE(SUBSTITUTE(SUBSTITUTE($MU30,"~","~~"),"*","~*"),"?","~?"),'DADOS_FORMAS'!$AH$2:$AH$21,0)),""),"~","~~"),"*","~*"),"?","~?"),'DADOS_RESTRICOES'!$M$2:$Q$54,2,FALSE),"")</f>
        <v/>
      </c>
      <c r="RQ30">
        <f>$OK30</f>
        <v/>
      </c>
      <c r="RR30">
        <f>$OL30</f>
        <v/>
      </c>
      <c r="RS30">
        <f>$RP30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IFERROR(MATCH(SUBSTITUTE(SUBSTITUTE(SUBSTITUTE($MU31,"~","~~"),"*","~*"),"?","~?"),'DADOS_FORMAS'!$FZ$2:$FZ$21,0),0)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IF($MS31=0,0,IF($NJ31=0,0,INDEX('DADOS_FORMAS'!$GB$2:$GB$21,$NJ31)))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IF($NJ31=0,0,IF(INDEX('DADOS_FORMAS'!$GA$2:$GA$21,$NJ31)="",0,IF((COUNTIF(INDEX($EL$2:$EP$13,$MO31,0),INDEX('DADOS_FORMAS'!$GA$2:$GA$21,$NJ31))+COUNTIF(INDEX($QV$2:$QY$13,$MO31,0),INDEX('DADOS_FORMAS'!$GA$2:$GA$21,$NJ31)))=0,1,0)))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IFERROR(N(AND(INDEX('DADOS_FORMAS'!$AO$2:$AO$21,MATCH(SUBSTITUTE(SUBSTITUTE(SUBSTITUTE($MU31,"~","~~"),"*","~*"),"?","~?"),'DADOS_FORMAS'!$AH$2:$AH$21,0))="Acerto",$OH31=1)),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IF($NJ31=0,0,INDEX('DADOS_FORMAS'!$GC$2:$GC$21,$NJ31))</f>
        <v/>
      </c>
      <c r="OG31" s="161">
        <f>IF($NJ31=0,0,INDEX('DADOS_FORMAS'!$GD$2:$GD$21,$NJ31))</f>
        <v/>
      </c>
      <c r="OH31" s="161">
        <f>IF($NJ31=0,0,INDEX('DADOS_FORMAS'!$GF$2:$GF$21,$NJ31))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IF(IFERROR(INDEX('DADOS_FORMAS'!$AS$2:$AS$21,MATCH(SUBSTITUTE(SUBSTITUTE(SUBSTITUTE($MU31,"~","~~"),"*","~*"),"?","~?"),'DADOS_FORMAS'!$AH$2:$AH$21,0)),"")="",0,IFERROR(N(VLOOKUP(SUBSTITUTE(SUBSTITUTE(SUBSTITUTE(IFERROR(INDEX('DADOS_FORMAS'!$AS$2:$AS$21,MATCH(SUBSTITUTE(SUBSTITUTE(SUBSTITUTE($MU31,"~","~~"),"*","~*"),"?","~?"),'DADOS_FORMAS'!$AH$2:$AH$21,0)),""),"~","~~"),"*","~*"),"?","~?"),'DADOS_RESTRICOES'!$M$2:$Q$54,3,FALSE)=1),0))</f>
        <v/>
      </c>
      <c r="OT31" s="161">
        <f>COUNTIF($OI31:$OJ31,2)+IF(IFERROR(INDEX('DADOS_FORMAS'!$AS$2:$AS$21,MATCH(SUBSTITUTE(SUBSTITUTE(SUBSTITUTE($MU31,"~","~~"),"*","~*"),"?","~?"),'DADOS_FORMAS'!$AH$2:$AH$21,0)),"")="",0,IFERROR(N(VLOOKUP(SUBSTITUTE(SUBSTITUTE(SUBSTITUTE(IFERROR(INDEX('DADOS_FORMAS'!$AS$2:$AS$21,MATCH(SUBSTITUTE(SUBSTITUTE(SUBSTITUTE($MU31,"~","~~"),"*","~*"),"?","~?"),'DADOS_FORMAS'!$AH$2:$AH$21,0)),""),"~","~~"),"*","~*"),"?","~?"),'DADOS_RESTRICOES'!$M$2:$Q$54,3,FALSE)=2),0))</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",TRUE,IF($ND31=0,"",TEXTJOIN(" · ",TRUE,IF($MQ31&gt;$NE31,"Este lugar abre no nível "&amp;$MQ31,""),IF($MS31&gt;$NF31,"Classe "&amp;$MS31&amp;": o nível "&amp;$NE31&amp;" libera até a "&amp;$NF31,""),IF($NX31=1,"A Forma "&amp;$MU31&amp;" pede "&amp;INDEX('DADOS_FORMAS'!$GA$2:$GA$21,$NJ31)&amp;" aberta",""),IF(AND($MS31=0,$NJ31&gt;0,IF($NJ31=0,0,INDEX('DADOS_FORMAS'!$GJ$2:$GJ$21,$NJ31))=0),$MU31&amp;"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Corpo")&gt;0,$OF31=0,OR($RO31="Cone",$RO31="Linha")),"Corpo a Corpo não entra em "&amp;$MU31,""),IF(AND(COUNTIF($OK31:$OL31,"Corpo a Corpo")&gt;0,$RP31="Corpo a Corpo"),"A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"&amp;$NC31,""))),IF(AND($MU31&lt;&gt;"",COUNTIF('DADOS_FORMAS'!$AH$2:$AH$21,SUBSTITUTE(SUBSTITUTE(SUBSTITUTE($MU31,"~","~~"),"*","~*"),"?","~?"))=0),"Forma não cadastrada ou com erro: "&amp;$MU31,""),IF(AND(IFERROR(INDEX('DADOS_FORMAS'!$AS$2:$AS$21,MATCH(SUBSTITUTE(SUBSTITUTE(SUBSTITUTE($MU31,"~","~~"),"*","~*"),"?","~?"),'DADOS_FORMAS'!$AH$2:$AH$21,0)),"")&lt;&gt;"",OR(IFERROR(VLOOKUP(SUBSTITUTE(SUBSTITUTE(SUBSTITUTE(IFERROR(INDEX('DADOS_FORMAS'!$AS$2:$AS$21,MATCH(SUBSTITUTE(SUBSTITUTE(SUBSTITUTE($MU31,"~","~~"),"*","~*"),"?","~?"),'DADOS_FORMAS'!$AH$2:$AH$21,0)),""),"~","~~"),"*","~*"),"?","~?"),'DADOS_RESTRICOES'!$M$2:$Q$54,2,FALSE),"")=$OK31,IFERROR(VLOOKUP(SUBSTITUTE(SUBSTITUTE(SUBSTITUTE(IFERROR(INDEX('DADOS_FORMAS'!$AS$2:$AS$21,MATCH(SUBSTITUTE(SUBSTITUTE(SUBSTITUTE($MU31,"~","~~"),"*","~*"),"?","~?"),'DADOS_FORMAS'!$AH$2:$AH$21,0)),""),"~","~~"),"*","~*"),"?","~?"),'DADOS_RESTRICOES'!$M$2:$Q$54,2,FALSE),"")=$OL31)),"Restrição repetida, contando a embutida",""),IF(IF(IFERROR(INDEX('DADOS_FORMAS'!$AS$2:$AS$21,MATCH(SUBSTITUTE(SUBSTITUTE(SUBSTITUTE($MU31,"~","~~"),"*","~*"),"?","~?"),'DADOS_FORMAS'!$AH$2:$AH$21,0)),"")="",0,IFERROR(N(VLOOKUP(SUBSTITUTE(SUBSTITUTE(SUBSTITUTE(IFERROR(INDEX('DADOS_FORMAS'!$AS$2:$AS$21,MATCH(SUBSTITUTE(SUBSTITUTE(SUBSTITUTE($MU31,"~","~~"),"*","~*"),"?","~?"),'DADOS_FORMAS'!$AH$2:$AH$21,0)),""),"~","~~"),"*","~*"),"?","~?"),'DADOS_RESTRICOES'!$M$2:$Q$54,4,FALSE)=1),0))+IF($NB31="",0,IFERROR(N(VLOOKUP(SUBSTITUTE(SUBSTITUTE(SUBSTITUTE($NB31,"~","~~"),"*","~*"),"?","~?"),'DADOS_RESTRICOES'!$M$2:$Q$54,4,FALSE)=1),0))+IF($NC31="",0,IFERROR(N(VLOOKUP(SUBSTITUTE(SUBSTITUTE(SUBSTITUTE($NC31,"~","~~"),"*","~*"),"?","~?"),'DADOS_RESTRICOES'!$M$2:$Q$54,4,FALSE)=1),0))&gt;1,"Duas Restrições de frequência, contando a embutida",""),IF(AND(IFERROR(VLOOKUP(SUBSTITUTE(SUBSTITUTE(SUBSTITUTE(IFERROR(INDEX('DADOS_FORMAS'!$AS$2:$AS$21,MATCH(SUBSTITUTE(SUBSTITUTE(SUBSTITUTE($MU31,"~","~~"),"*","~*"),"?","~?"),'DADOS_FORMAS'!$AH$2:$AH$21,0)),""),"~","~~"),"*","~*"),"?","~?"),'DADOS_RESTRICOES'!$M$2:$Q$54,2,FALSE),"")="Tudo ou Nada",$OH31=0),"Tudo ou Nada exige TR",""),IF(AND(IFERROR(VLOOKUP(SUBSTITUTE(SUBSTITUTE(SUBSTITUTE(IFERROR(INDEX('DADOS_FORMAS'!$AS$2:$AS$21,MATCH(SUBSTITUTE(SUBSTITUTE(SUBSTITUTE($MU31,"~","~~"),"*","~*"),"?","~?"),'DADOS_FORMAS'!$AH$2:$AH$21,0)),""),"~","~~"),"*","~*"),"?","~?"),'DADOS_RESTRICOES'!$M$2:$Q$54,2,FALSE),"")="Corpo a Corpo",OR($RO31="Cone",$RO31="Linha")),"Corpo a Corpo não entra em Cone/Linha","")))</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dela",IF(COUNTIF($RQ31:$RS31,"Atrasar")&gt;0,"Sua Ação Completa",IF(COUNTIF($RK31:$RN31,"Rápido")&gt;0,"Sua Bônus",IF(COUNTIF($RK31:$RN31,"Reação")&gt;0,"Sua Reação","Sua Padrão")))&amp;" + a básica dela"&amp;IF(COUNTIF($RK31:$RN31,"Reação")&gt;0," e a coletiva","")&amp;IF(COUNTIF($RQ31:$RS31,"Carregar")&gt;0," · em dois turnos","")))</f>
        <v/>
      </c>
      <c r="QC31" s="161">
        <f>IF($MW31&lt;&gt;"",$MW31,IF($NJ31=0,"",INDEX('DADOS_FORMAS'!$GE$2:$GE$21,$NJ31)))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IF($NJ31=0,0,CHOOSE(1+INDEX('DADOS_FORMAS'!$GG$2:$GG$21,$NJ31),0,$QF31,$QG31,$QF31+$QG31))</f>
        <v/>
      </c>
      <c r="QI31" s="161">
        <f>IF($NJ31=0,0,CHOOSE(1+INDEX('DADOS_FORMAS'!$GH$2:$GH$21,$NJ31),0,$QF31,$QG31,$QF31+$QG31))</f>
        <v/>
      </c>
      <c r="QJ31" s="161">
        <f>IF(OR($ND31=0,$NJ31=0),"",INDEX('DADOS_FORMAS'!$HU$2:$HZ$81,($NJ31-1)*4+IF($MS31=0,1,IF($MS31&lt;=5,2,IF($MS31=6,3,4))),1+MIN(5,$QH31))&amp;INDEX('DADOS_FORMAS'!$IA$2:$IF$81,($NJ31-1)*4+IF($MS31=0,1,IF($MS31&lt;=5,2,IF($MS31=6,3,4))),1+MIN(5,$QI31))&amp;IF(INDEX('DADOS_FORMAS'!$GI$2:$GI$21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c r="RO31">
        <f>IFERROR(INDEX('DADOS_FORMAS'!$BJ$2:$BJ$21,MATCH(SUBSTITUTE(SUBSTITUTE(SUBSTITUTE($MU31,"~","~~"),"*","~*"),"?","~?"),'DADOS_FORMAS'!$AH$2:$AH$21,0)),"")</f>
        <v/>
      </c>
      <c r="RP31">
        <f>IFERROR(VLOOKUP(SUBSTITUTE(SUBSTITUTE(SUBSTITUTE(IFERROR(INDEX('DADOS_FORMAS'!$AS$2:$AS$21,MATCH(SUBSTITUTE(SUBSTITUTE(SUBSTITUTE($MU31,"~","~~"),"*","~*"),"?","~?"),'DADOS_FORMAS'!$AH$2:$AH$21,0)),""),"~","~~"),"*","~*"),"?","~?"),'DADOS_RESTRICOES'!$M$2:$Q$54,2,FALSE),"")</f>
        <v/>
      </c>
      <c r="RQ31">
        <f>$OK31</f>
        <v/>
      </c>
      <c r="RR31">
        <f>$OL31</f>
        <v/>
      </c>
      <c r="RS31">
        <f>$RP31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IFERROR(MATCH(SUBSTITUTE(SUBSTITUTE(SUBSTITUTE($MU32,"~","~~"),"*","~*"),"?","~?"),'DADOS_FORMAS'!$FZ$2:$FZ$21,0),0)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IF($MS32=0,0,IF($NJ32=0,0,INDEX('DADOS_FORMAS'!$GB$2:$GB$21,$NJ32)))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IF($NJ32=0,0,IF(INDEX('DADOS_FORMAS'!$GA$2:$GA$21,$NJ32)="",0,IF((COUNTIF(INDEX($EL$2:$EP$13,$MO32,0),INDEX('DADOS_FORMAS'!$GA$2:$GA$21,$NJ32))+COUNTIF(INDEX($QV$2:$QY$13,$MO32,0),INDEX('DADOS_FORMAS'!$GA$2:$GA$21,$NJ32)))=0,1,0)))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IFERROR(N(AND(INDEX('DADOS_FORMAS'!$AO$2:$AO$21,MATCH(SUBSTITUTE(SUBSTITUTE(SUBSTITUTE($MU32,"~","~~"),"*","~*"),"?","~?"),'DADOS_FORMAS'!$AH$2:$AH$21,0))="Acerto",$OH32=1)),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IF($NJ32=0,0,INDEX('DADOS_FORMAS'!$GC$2:$GC$21,$NJ32))</f>
        <v/>
      </c>
      <c r="OG32" s="161">
        <f>IF($NJ32=0,0,INDEX('DADOS_FORMAS'!$GD$2:$GD$21,$NJ32))</f>
        <v/>
      </c>
      <c r="OH32" s="161">
        <f>IF($NJ32=0,0,INDEX('DADOS_FORMAS'!$GF$2:$GF$21,$NJ32))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IF(IFERROR(INDEX('DADOS_FORMAS'!$AS$2:$AS$21,MATCH(SUBSTITUTE(SUBSTITUTE(SUBSTITUTE($MU32,"~","~~"),"*","~*"),"?","~?"),'DADOS_FORMAS'!$AH$2:$AH$21,0)),"")="",0,IFERROR(N(VLOOKUP(SUBSTITUTE(SUBSTITUTE(SUBSTITUTE(IFERROR(INDEX('DADOS_FORMAS'!$AS$2:$AS$21,MATCH(SUBSTITUTE(SUBSTITUTE(SUBSTITUTE($MU32,"~","~~"),"*","~*"),"?","~?"),'DADOS_FORMAS'!$AH$2:$AH$21,0)),""),"~","~~"),"*","~*"),"?","~?"),'DADOS_RESTRICOES'!$M$2:$Q$54,3,FALSE)=1),0))</f>
        <v/>
      </c>
      <c r="OT32" s="161">
        <f>COUNTIF($OI32:$OJ32,2)+IF(IFERROR(INDEX('DADOS_FORMAS'!$AS$2:$AS$21,MATCH(SUBSTITUTE(SUBSTITUTE(SUBSTITUTE($MU32,"~","~~"),"*","~*"),"?","~?"),'DADOS_FORMAS'!$AH$2:$AH$21,0)),"")="",0,IFERROR(N(VLOOKUP(SUBSTITUTE(SUBSTITUTE(SUBSTITUTE(IFERROR(INDEX('DADOS_FORMAS'!$AS$2:$AS$21,MATCH(SUBSTITUTE(SUBSTITUTE(SUBSTITUTE($MU32,"~","~~"),"*","~*"),"?","~?"),'DADOS_FORMAS'!$AH$2:$AH$21,0)),""),"~","~~"),"*","~*"),"?","~?"),'DADOS_RESTRICOES'!$M$2:$Q$54,3,FALSE)=2),0))</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",TRUE,IF($ND32=0,"",TEXTJOIN(" · ",TRUE,IF($MQ32&gt;$NE32,"Este lugar abre no nível "&amp;$MQ32,""),IF($MS32&gt;$NF32,"Classe "&amp;$MS32&amp;": o nível "&amp;$NE32&amp;" libera até a "&amp;$NF32,""),IF($NX32=1,"A Forma "&amp;$MU32&amp;" pede "&amp;INDEX('DADOS_FORMAS'!$GA$2:$GA$21,$NJ32)&amp;" aberta",""),IF(AND($MS32=0,$NJ32&gt;0,IF($NJ32=0,0,INDEX('DADOS_FORMAS'!$GJ$2:$GJ$21,$NJ32))=0),$MU32&amp;"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Corpo")&gt;0,$OF32=0,OR($RO32="Cone",$RO32="Linha")),"Corpo a Corpo não entra em "&amp;$MU32,""),IF(AND(COUNTIF($OK32:$OL32,"Corpo a Corpo")&gt;0,$RP32="Corpo a Corpo"),"A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"&amp;$NC32,""))),IF(AND($MU32&lt;&gt;"",COUNTIF('DADOS_FORMAS'!$AH$2:$AH$21,SUBSTITUTE(SUBSTITUTE(SUBSTITUTE($MU32,"~","~~"),"*","~*"),"?","~?"))=0),"Forma não cadastrada ou com erro: "&amp;$MU32,""),IF(AND(IFERROR(INDEX('DADOS_FORMAS'!$AS$2:$AS$21,MATCH(SUBSTITUTE(SUBSTITUTE(SUBSTITUTE($MU32,"~","~~"),"*","~*"),"?","~?"),'DADOS_FORMAS'!$AH$2:$AH$21,0)),"")&lt;&gt;"",OR(IFERROR(VLOOKUP(SUBSTITUTE(SUBSTITUTE(SUBSTITUTE(IFERROR(INDEX('DADOS_FORMAS'!$AS$2:$AS$21,MATCH(SUBSTITUTE(SUBSTITUTE(SUBSTITUTE($MU32,"~","~~"),"*","~*"),"?","~?"),'DADOS_FORMAS'!$AH$2:$AH$21,0)),""),"~","~~"),"*","~*"),"?","~?"),'DADOS_RESTRICOES'!$M$2:$Q$54,2,FALSE),"")=$OK32,IFERROR(VLOOKUP(SUBSTITUTE(SUBSTITUTE(SUBSTITUTE(IFERROR(INDEX('DADOS_FORMAS'!$AS$2:$AS$21,MATCH(SUBSTITUTE(SUBSTITUTE(SUBSTITUTE($MU32,"~","~~"),"*","~*"),"?","~?"),'DADOS_FORMAS'!$AH$2:$AH$21,0)),""),"~","~~"),"*","~*"),"?","~?"),'DADOS_RESTRICOES'!$M$2:$Q$54,2,FALSE),"")=$OL32)),"Restrição repetida, contando a embutida",""),IF(IF(IFERROR(INDEX('DADOS_FORMAS'!$AS$2:$AS$21,MATCH(SUBSTITUTE(SUBSTITUTE(SUBSTITUTE($MU32,"~","~~"),"*","~*"),"?","~?"),'DADOS_FORMAS'!$AH$2:$AH$21,0)),"")="",0,IFERROR(N(VLOOKUP(SUBSTITUTE(SUBSTITUTE(SUBSTITUTE(IFERROR(INDEX('DADOS_FORMAS'!$AS$2:$AS$21,MATCH(SUBSTITUTE(SUBSTITUTE(SUBSTITUTE($MU32,"~","~~"),"*","~*"),"?","~?"),'DADOS_FORMAS'!$AH$2:$AH$21,0)),""),"~","~~"),"*","~*"),"?","~?"),'DADOS_RESTRICOES'!$M$2:$Q$54,4,FALSE)=1),0))+IF($NB32="",0,IFERROR(N(VLOOKUP(SUBSTITUTE(SUBSTITUTE(SUBSTITUTE($NB32,"~","~~"),"*","~*"),"?","~?"),'DADOS_RESTRICOES'!$M$2:$Q$54,4,FALSE)=1),0))+IF($NC32="",0,IFERROR(N(VLOOKUP(SUBSTITUTE(SUBSTITUTE(SUBSTITUTE($NC32,"~","~~"),"*","~*"),"?","~?"),'DADOS_RESTRICOES'!$M$2:$Q$54,4,FALSE)=1),0))&gt;1,"Duas Restrições de frequência, contando a embutida",""),IF(AND(IFERROR(VLOOKUP(SUBSTITUTE(SUBSTITUTE(SUBSTITUTE(IFERROR(INDEX('DADOS_FORMAS'!$AS$2:$AS$21,MATCH(SUBSTITUTE(SUBSTITUTE(SUBSTITUTE($MU32,"~","~~"),"*","~*"),"?","~?"),'DADOS_FORMAS'!$AH$2:$AH$21,0)),""),"~","~~"),"*","~*"),"?","~?"),'DADOS_RESTRICOES'!$M$2:$Q$54,2,FALSE),"")="Tudo ou Nada",$OH32=0),"Tudo ou Nada exige TR",""),IF(AND(IFERROR(VLOOKUP(SUBSTITUTE(SUBSTITUTE(SUBSTITUTE(IFERROR(INDEX('DADOS_FORMAS'!$AS$2:$AS$21,MATCH(SUBSTITUTE(SUBSTITUTE(SUBSTITUTE($MU32,"~","~~"),"*","~*"),"?","~?"),'DADOS_FORMAS'!$AH$2:$AH$21,0)),""),"~","~~"),"*","~*"),"?","~?"),'DADOS_RESTRICOES'!$M$2:$Q$54,2,FALSE),"")="Corpo a Corpo",OR($RO32="Cone",$RO32="Linha")),"Corpo a Corpo não entra em Cone/Linha","")))</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dela",IF(COUNTIF($RQ32:$RS32,"Atrasar")&gt;0,"Sua Ação Completa",IF(COUNTIF($RK32:$RN32,"Rápido")&gt;0,"Sua Bônus",IF(COUNTIF($RK32:$RN32,"Reação")&gt;0,"Sua Reação","Sua Padrão")))&amp;" + a básica dela"&amp;IF(COUNTIF($RK32:$RN32,"Reação")&gt;0," e a coletiva","")&amp;IF(COUNTIF($RQ32:$RS32,"Carregar")&gt;0," · em dois turnos","")))</f>
        <v/>
      </c>
      <c r="QC32" s="161">
        <f>IF($MW32&lt;&gt;"",$MW32,IF($NJ32=0,"",INDEX('DADOS_FORMAS'!$GE$2:$GE$21,$NJ32)))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IF($NJ32=0,0,CHOOSE(1+INDEX('DADOS_FORMAS'!$GG$2:$GG$21,$NJ32),0,$QF32,$QG32,$QF32+$QG32))</f>
        <v/>
      </c>
      <c r="QI32" s="161">
        <f>IF($NJ32=0,0,CHOOSE(1+INDEX('DADOS_FORMAS'!$GH$2:$GH$21,$NJ32),0,$QF32,$QG32,$QF32+$QG32))</f>
        <v/>
      </c>
      <c r="QJ32" s="161">
        <f>IF(OR($ND32=0,$NJ32=0),"",INDEX('DADOS_FORMAS'!$HU$2:$HZ$81,($NJ32-1)*4+IF($MS32=0,1,IF($MS32&lt;=5,2,IF($MS32=6,3,4))),1+MIN(5,$QH32))&amp;INDEX('DADOS_FORMAS'!$IA$2:$IF$81,($NJ32-1)*4+IF($MS32=0,1,IF($MS32&lt;=5,2,IF($MS32=6,3,4))),1+MIN(5,$QI32))&amp;IF(INDEX('DADOS_FORMAS'!$GI$2:$GI$21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c r="RO32">
        <f>IFERROR(INDEX('DADOS_FORMAS'!$BJ$2:$BJ$21,MATCH(SUBSTITUTE(SUBSTITUTE(SUBSTITUTE($MU32,"~","~~"),"*","~*"),"?","~?"),'DADOS_FORMAS'!$AH$2:$AH$21,0)),"")</f>
        <v/>
      </c>
      <c r="RP32">
        <f>IFERROR(VLOOKUP(SUBSTITUTE(SUBSTITUTE(SUBSTITUTE(IFERROR(INDEX('DADOS_FORMAS'!$AS$2:$AS$21,MATCH(SUBSTITUTE(SUBSTITUTE(SUBSTITUTE($MU32,"~","~~"),"*","~*"),"?","~?"),'DADOS_FORMAS'!$AH$2:$AH$21,0)),""),"~","~~"),"*","~*"),"?","~?"),'DADOS_RESTRICOES'!$M$2:$Q$54,2,FALSE),"")</f>
        <v/>
      </c>
      <c r="RQ32">
        <f>$OK32</f>
        <v/>
      </c>
      <c r="RR32">
        <f>$OL32</f>
        <v/>
      </c>
      <c r="RS32">
        <f>$RP32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IFERROR(MATCH(SUBSTITUTE(SUBSTITUTE(SUBSTITUTE($MU33,"~","~~"),"*","~*"),"?","~?"),'DADOS_FORMAS'!$FZ$2:$FZ$21,0),0)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IF($MS33=0,0,IF($NJ33=0,0,INDEX('DADOS_FORMAS'!$GB$2:$GB$21,$NJ33)))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IF($NJ33=0,0,IF(INDEX('DADOS_FORMAS'!$GA$2:$GA$21,$NJ33)="",0,IF((COUNTIF(INDEX($EL$2:$EP$13,$MO33,0),INDEX('DADOS_FORMAS'!$GA$2:$GA$21,$NJ33))+COUNTIF(INDEX($QV$2:$QY$13,$MO33,0),INDEX('DADOS_FORMAS'!$GA$2:$GA$21,$NJ33)))=0,1,0)))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IFERROR(N(AND(INDEX('DADOS_FORMAS'!$AO$2:$AO$21,MATCH(SUBSTITUTE(SUBSTITUTE(SUBSTITUTE($MU33,"~","~~"),"*","~*"),"?","~?"),'DADOS_FORMAS'!$AH$2:$AH$21,0))="Acerto",$OH33=1)),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IF($NJ33=0,0,INDEX('DADOS_FORMAS'!$GC$2:$GC$21,$NJ33))</f>
        <v/>
      </c>
      <c r="OG33" s="161">
        <f>IF($NJ33=0,0,INDEX('DADOS_FORMAS'!$GD$2:$GD$21,$NJ33))</f>
        <v/>
      </c>
      <c r="OH33" s="161">
        <f>IF($NJ33=0,0,INDEX('DADOS_FORMAS'!$GF$2:$GF$21,$NJ33))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IF(IFERROR(INDEX('DADOS_FORMAS'!$AS$2:$AS$21,MATCH(SUBSTITUTE(SUBSTITUTE(SUBSTITUTE($MU33,"~","~~"),"*","~*"),"?","~?"),'DADOS_FORMAS'!$AH$2:$AH$21,0)),"")="",0,IFERROR(N(VLOOKUP(SUBSTITUTE(SUBSTITUTE(SUBSTITUTE(IFERROR(INDEX('DADOS_FORMAS'!$AS$2:$AS$21,MATCH(SUBSTITUTE(SUBSTITUTE(SUBSTITUTE($MU33,"~","~~"),"*","~*"),"?","~?"),'DADOS_FORMAS'!$AH$2:$AH$21,0)),""),"~","~~"),"*","~*"),"?","~?"),'DADOS_RESTRICOES'!$M$2:$Q$54,3,FALSE)=1),0))</f>
        <v/>
      </c>
      <c r="OT33" s="161">
        <f>COUNTIF($OI33:$OJ33,2)+IF(IFERROR(INDEX('DADOS_FORMAS'!$AS$2:$AS$21,MATCH(SUBSTITUTE(SUBSTITUTE(SUBSTITUTE($MU33,"~","~~"),"*","~*"),"?","~?"),'DADOS_FORMAS'!$AH$2:$AH$21,0)),"")="",0,IFERROR(N(VLOOKUP(SUBSTITUTE(SUBSTITUTE(SUBSTITUTE(IFERROR(INDEX('DADOS_FORMAS'!$AS$2:$AS$21,MATCH(SUBSTITUTE(SUBSTITUTE(SUBSTITUTE($MU33,"~","~~"),"*","~*"),"?","~?"),'DADOS_FORMAS'!$AH$2:$AH$21,0)),""),"~","~~"),"*","~*"),"?","~?"),'DADOS_RESTRICOES'!$M$2:$Q$54,3,FALSE)=2),0))</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",TRUE,IF($ND33=0,"",TEXTJOIN(" · ",TRUE,IF($MQ33&gt;$NE33,"Este lugar abre no nível "&amp;$MQ33,""),IF($MS33&gt;$NF33,"Classe "&amp;$MS33&amp;": o nível "&amp;$NE33&amp;" libera até a "&amp;$NF33,""),IF($NX33=1,"A Forma "&amp;$MU33&amp;" pede "&amp;INDEX('DADOS_FORMAS'!$GA$2:$GA$21,$NJ33)&amp;" aberta",""),IF(AND($MS33=0,$NJ33&gt;0,IF($NJ33=0,0,INDEX('DADOS_FORMAS'!$GJ$2:$GJ$21,$NJ33))=0),$MU33&amp;"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Corpo")&gt;0,$OF33=0,OR($RO33="Cone",$RO33="Linha")),"Corpo a Corpo não entra em "&amp;$MU33,""),IF(AND(COUNTIF($OK33:$OL33,"Corpo a Corpo")&gt;0,$RP33="Corpo a Corpo"),"A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"&amp;$NC33,""))),IF(AND($MU33&lt;&gt;"",COUNTIF('DADOS_FORMAS'!$AH$2:$AH$21,SUBSTITUTE(SUBSTITUTE(SUBSTITUTE($MU33,"~","~~"),"*","~*"),"?","~?"))=0),"Forma não cadastrada ou com erro: "&amp;$MU33,""),IF(AND(IFERROR(INDEX('DADOS_FORMAS'!$AS$2:$AS$21,MATCH(SUBSTITUTE(SUBSTITUTE(SUBSTITUTE($MU33,"~","~~"),"*","~*"),"?","~?"),'DADOS_FORMAS'!$AH$2:$AH$21,0)),"")&lt;&gt;"",OR(IFERROR(VLOOKUP(SUBSTITUTE(SUBSTITUTE(SUBSTITUTE(IFERROR(INDEX('DADOS_FORMAS'!$AS$2:$AS$21,MATCH(SUBSTITUTE(SUBSTITUTE(SUBSTITUTE($MU33,"~","~~"),"*","~*"),"?","~?"),'DADOS_FORMAS'!$AH$2:$AH$21,0)),""),"~","~~"),"*","~*"),"?","~?"),'DADOS_RESTRICOES'!$M$2:$Q$54,2,FALSE),"")=$OK33,IFERROR(VLOOKUP(SUBSTITUTE(SUBSTITUTE(SUBSTITUTE(IFERROR(INDEX('DADOS_FORMAS'!$AS$2:$AS$21,MATCH(SUBSTITUTE(SUBSTITUTE(SUBSTITUTE($MU33,"~","~~"),"*","~*"),"?","~?"),'DADOS_FORMAS'!$AH$2:$AH$21,0)),""),"~","~~"),"*","~*"),"?","~?"),'DADOS_RESTRICOES'!$M$2:$Q$54,2,FALSE),"")=$OL33)),"Restrição repetida, contando a embutida",""),IF(IF(IFERROR(INDEX('DADOS_FORMAS'!$AS$2:$AS$21,MATCH(SUBSTITUTE(SUBSTITUTE(SUBSTITUTE($MU33,"~","~~"),"*","~*"),"?","~?"),'DADOS_FORMAS'!$AH$2:$AH$21,0)),"")="",0,IFERROR(N(VLOOKUP(SUBSTITUTE(SUBSTITUTE(SUBSTITUTE(IFERROR(INDEX('DADOS_FORMAS'!$AS$2:$AS$21,MATCH(SUBSTITUTE(SUBSTITUTE(SUBSTITUTE($MU33,"~","~~"),"*","~*"),"?","~?"),'DADOS_FORMAS'!$AH$2:$AH$21,0)),""),"~","~~"),"*","~*"),"?","~?"),'DADOS_RESTRICOES'!$M$2:$Q$54,4,FALSE)=1),0))+IF($NB33="",0,IFERROR(N(VLOOKUP(SUBSTITUTE(SUBSTITUTE(SUBSTITUTE($NB33,"~","~~"),"*","~*"),"?","~?"),'DADOS_RESTRICOES'!$M$2:$Q$54,4,FALSE)=1),0))+IF($NC33="",0,IFERROR(N(VLOOKUP(SUBSTITUTE(SUBSTITUTE(SUBSTITUTE($NC33,"~","~~"),"*","~*"),"?","~?"),'DADOS_RESTRICOES'!$M$2:$Q$54,4,FALSE)=1),0))&gt;1,"Duas Restrições de frequência, contando a embutida",""),IF(AND(IFERROR(VLOOKUP(SUBSTITUTE(SUBSTITUTE(SUBSTITUTE(IFERROR(INDEX('DADOS_FORMAS'!$AS$2:$AS$21,MATCH(SUBSTITUTE(SUBSTITUTE(SUBSTITUTE($MU33,"~","~~"),"*","~*"),"?","~?"),'DADOS_FORMAS'!$AH$2:$AH$21,0)),""),"~","~~"),"*","~*"),"?","~?"),'DADOS_RESTRICOES'!$M$2:$Q$54,2,FALSE),"")="Tudo ou Nada",$OH33=0),"Tudo ou Nada exige TR",""),IF(AND(IFERROR(VLOOKUP(SUBSTITUTE(SUBSTITUTE(SUBSTITUTE(IFERROR(INDEX('DADOS_FORMAS'!$AS$2:$AS$21,MATCH(SUBSTITUTE(SUBSTITUTE(SUBSTITUTE($MU33,"~","~~"),"*","~*"),"?","~?"),'DADOS_FORMAS'!$AH$2:$AH$21,0)),""),"~","~~"),"*","~*"),"?","~?"),'DADOS_RESTRICOES'!$M$2:$Q$54,2,FALSE),"")="Corpo a Corpo",OR($RO33="Cone",$RO33="Linha")),"Corpo a Corpo não entra em Cone/Linha","")))</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dela",IF(COUNTIF($RQ33:$RS33,"Atrasar")&gt;0,"Sua Ação Completa",IF(COUNTIF($RK33:$RN33,"Rápido")&gt;0,"Sua Bônus",IF(COUNTIF($RK33:$RN33,"Reação")&gt;0,"Sua Reação","Sua Padrão")))&amp;" + a básica dela"&amp;IF(COUNTIF($RK33:$RN33,"Reação")&gt;0," e a coletiva","")&amp;IF(COUNTIF($RQ33:$RS33,"Carregar")&gt;0," · em dois turnos","")))</f>
        <v/>
      </c>
      <c r="QC33" s="161">
        <f>IF($MW33&lt;&gt;"",$MW33,IF($NJ33=0,"",INDEX('DADOS_FORMAS'!$GE$2:$GE$21,$NJ33)))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IF($NJ33=0,0,CHOOSE(1+INDEX('DADOS_FORMAS'!$GG$2:$GG$21,$NJ33),0,$QF33,$QG33,$QF33+$QG33))</f>
        <v/>
      </c>
      <c r="QI33" s="161">
        <f>IF($NJ33=0,0,CHOOSE(1+INDEX('DADOS_FORMAS'!$GH$2:$GH$21,$NJ33),0,$QF33,$QG33,$QF33+$QG33))</f>
        <v/>
      </c>
      <c r="QJ33" s="161">
        <f>IF(OR($ND33=0,$NJ33=0),"",INDEX('DADOS_FORMAS'!$HU$2:$HZ$81,($NJ33-1)*4+IF($MS33=0,1,IF($MS33&lt;=5,2,IF($MS33=6,3,4))),1+MIN(5,$QH33))&amp;INDEX('DADOS_FORMAS'!$IA$2:$IF$81,($NJ33-1)*4+IF($MS33=0,1,IF($MS33&lt;=5,2,IF($MS33=6,3,4))),1+MIN(5,$QI33))&amp;IF(INDEX('DADOS_FORMAS'!$GI$2:$GI$21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c r="RO33">
        <f>IFERROR(INDEX('DADOS_FORMAS'!$BJ$2:$BJ$21,MATCH(SUBSTITUTE(SUBSTITUTE(SUBSTITUTE($MU33,"~","~~"),"*","~*"),"?","~?"),'DADOS_FORMAS'!$AH$2:$AH$21,0)),"")</f>
        <v/>
      </c>
      <c r="RP33">
        <f>IFERROR(VLOOKUP(SUBSTITUTE(SUBSTITUTE(SUBSTITUTE(IFERROR(INDEX('DADOS_FORMAS'!$AS$2:$AS$21,MATCH(SUBSTITUTE(SUBSTITUTE(SUBSTITUTE($MU33,"~","~~"),"*","~*"),"?","~?"),'DADOS_FORMAS'!$AH$2:$AH$21,0)),""),"~","~~"),"*","~*"),"?","~?"),'DADOS_RESTRICOES'!$M$2:$Q$54,2,FALSE),"")</f>
        <v/>
      </c>
      <c r="RQ33">
        <f>$OK33</f>
        <v/>
      </c>
      <c r="RR33">
        <f>$OL33</f>
        <v/>
      </c>
      <c r="RS33">
        <f>$RP33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IFERROR(MATCH(SUBSTITUTE(SUBSTITUTE(SUBSTITUTE($MU34,"~","~~"),"*","~*"),"?","~?"),'DADOS_FORMAS'!$FZ$2:$FZ$21,0),0)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IF($MS34=0,0,IF($NJ34=0,0,INDEX('DADOS_FORMAS'!$GB$2:$GB$21,$NJ34)))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IF($NJ34=0,0,IF(INDEX('DADOS_FORMAS'!$GA$2:$GA$21,$NJ34)="",0,IF((COUNTIF(INDEX($EL$2:$EP$13,$MO34,0),INDEX('DADOS_FORMAS'!$GA$2:$GA$21,$NJ34))+COUNTIF(INDEX($QV$2:$QY$13,$MO34,0),INDEX('DADOS_FORMAS'!$GA$2:$GA$21,$NJ34)))=0,1,0)))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IFERROR(N(AND(INDEX('DADOS_FORMAS'!$AO$2:$AO$21,MATCH(SUBSTITUTE(SUBSTITUTE(SUBSTITUTE($MU34,"~","~~"),"*","~*"),"?","~?"),'DADOS_FORMAS'!$AH$2:$AH$21,0))="Acerto",$OH34=1)),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IF($NJ34=0,0,INDEX('DADOS_FORMAS'!$GC$2:$GC$21,$NJ34))</f>
        <v/>
      </c>
      <c r="OG34" s="161">
        <f>IF($NJ34=0,0,INDEX('DADOS_FORMAS'!$GD$2:$GD$21,$NJ34))</f>
        <v/>
      </c>
      <c r="OH34" s="161">
        <f>IF($NJ34=0,0,INDEX('DADOS_FORMAS'!$GF$2:$GF$21,$NJ34))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IF(IFERROR(INDEX('DADOS_FORMAS'!$AS$2:$AS$21,MATCH(SUBSTITUTE(SUBSTITUTE(SUBSTITUTE($MU34,"~","~~"),"*","~*"),"?","~?"),'DADOS_FORMAS'!$AH$2:$AH$21,0)),"")="",0,IFERROR(N(VLOOKUP(SUBSTITUTE(SUBSTITUTE(SUBSTITUTE(IFERROR(INDEX('DADOS_FORMAS'!$AS$2:$AS$21,MATCH(SUBSTITUTE(SUBSTITUTE(SUBSTITUTE($MU34,"~","~~"),"*","~*"),"?","~?"),'DADOS_FORMAS'!$AH$2:$AH$21,0)),""),"~","~~"),"*","~*"),"?","~?"),'DADOS_RESTRICOES'!$M$2:$Q$54,3,FALSE)=1),0))</f>
        <v/>
      </c>
      <c r="OT34" s="161">
        <f>COUNTIF($OI34:$OJ34,2)+IF(IFERROR(INDEX('DADOS_FORMAS'!$AS$2:$AS$21,MATCH(SUBSTITUTE(SUBSTITUTE(SUBSTITUTE($MU34,"~","~~"),"*","~*"),"?","~?"),'DADOS_FORMAS'!$AH$2:$AH$21,0)),"")="",0,IFERROR(N(VLOOKUP(SUBSTITUTE(SUBSTITUTE(SUBSTITUTE(IFERROR(INDEX('DADOS_FORMAS'!$AS$2:$AS$21,MATCH(SUBSTITUTE(SUBSTITUTE(SUBSTITUTE($MU34,"~","~~"),"*","~*"),"?","~?"),'DADOS_FORMAS'!$AH$2:$AH$21,0)),""),"~","~~"),"*","~*"),"?","~?"),'DADOS_RESTRICOES'!$M$2:$Q$54,3,FALSE)=2),0))</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",TRUE,IF($ND34=0,"",TEXTJOIN(" · ",TRUE,IF($MQ34&gt;$NE34,"Este lugar abre no nível "&amp;$MQ34,""),IF($MS34&gt;$NF34,"Classe "&amp;$MS34&amp;": o nível "&amp;$NE34&amp;" libera até a "&amp;$NF34,""),IF($NX34=1,"A Forma "&amp;$MU34&amp;" pede "&amp;INDEX('DADOS_FORMAS'!$GA$2:$GA$21,$NJ34)&amp;" aberta",""),IF(AND($MS34=0,$NJ34&gt;0,IF($NJ34=0,0,INDEX('DADOS_FORMAS'!$GJ$2:$GJ$21,$NJ34))=0),$MU34&amp;"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Corpo")&gt;0,$OF34=0,OR($RO34="Cone",$RO34="Linha")),"Corpo a Corpo não entra em "&amp;$MU34,""),IF(AND(COUNTIF($OK34:$OL34,"Corpo a Corpo")&gt;0,$RP34="Corpo a Corpo"),"A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"&amp;$NC34,""))),IF(AND($MU34&lt;&gt;"",COUNTIF('DADOS_FORMAS'!$AH$2:$AH$21,SUBSTITUTE(SUBSTITUTE(SUBSTITUTE($MU34,"~","~~"),"*","~*"),"?","~?"))=0),"Forma não cadastrada ou com erro: "&amp;$MU34,""),IF(AND(IFERROR(INDEX('DADOS_FORMAS'!$AS$2:$AS$21,MATCH(SUBSTITUTE(SUBSTITUTE(SUBSTITUTE($MU34,"~","~~"),"*","~*"),"?","~?"),'DADOS_FORMAS'!$AH$2:$AH$21,0)),"")&lt;&gt;"",OR(IFERROR(VLOOKUP(SUBSTITUTE(SUBSTITUTE(SUBSTITUTE(IFERROR(INDEX('DADOS_FORMAS'!$AS$2:$AS$21,MATCH(SUBSTITUTE(SUBSTITUTE(SUBSTITUTE($MU34,"~","~~"),"*","~*"),"?","~?"),'DADOS_FORMAS'!$AH$2:$AH$21,0)),""),"~","~~"),"*","~*"),"?","~?"),'DADOS_RESTRICOES'!$M$2:$Q$54,2,FALSE),"")=$OK34,IFERROR(VLOOKUP(SUBSTITUTE(SUBSTITUTE(SUBSTITUTE(IFERROR(INDEX('DADOS_FORMAS'!$AS$2:$AS$21,MATCH(SUBSTITUTE(SUBSTITUTE(SUBSTITUTE($MU34,"~","~~"),"*","~*"),"?","~?"),'DADOS_FORMAS'!$AH$2:$AH$21,0)),""),"~","~~"),"*","~*"),"?","~?"),'DADOS_RESTRICOES'!$M$2:$Q$54,2,FALSE),"")=$OL34)),"Restrição repetida, contando a embutida",""),IF(IF(IFERROR(INDEX('DADOS_FORMAS'!$AS$2:$AS$21,MATCH(SUBSTITUTE(SUBSTITUTE(SUBSTITUTE($MU34,"~","~~"),"*","~*"),"?","~?"),'DADOS_FORMAS'!$AH$2:$AH$21,0)),"")="",0,IFERROR(N(VLOOKUP(SUBSTITUTE(SUBSTITUTE(SUBSTITUTE(IFERROR(INDEX('DADOS_FORMAS'!$AS$2:$AS$21,MATCH(SUBSTITUTE(SUBSTITUTE(SUBSTITUTE($MU34,"~","~~"),"*","~*"),"?","~?"),'DADOS_FORMAS'!$AH$2:$AH$21,0)),""),"~","~~"),"*","~*"),"?","~?"),'DADOS_RESTRICOES'!$M$2:$Q$54,4,FALSE)=1),0))+IF($NB34="",0,IFERROR(N(VLOOKUP(SUBSTITUTE(SUBSTITUTE(SUBSTITUTE($NB34,"~","~~"),"*","~*"),"?","~?"),'DADOS_RESTRICOES'!$M$2:$Q$54,4,FALSE)=1),0))+IF($NC34="",0,IFERROR(N(VLOOKUP(SUBSTITUTE(SUBSTITUTE(SUBSTITUTE($NC34,"~","~~"),"*","~*"),"?","~?"),'DADOS_RESTRICOES'!$M$2:$Q$54,4,FALSE)=1),0))&gt;1,"Duas Restrições de frequência, contando a embutida",""),IF(AND(IFERROR(VLOOKUP(SUBSTITUTE(SUBSTITUTE(SUBSTITUTE(IFERROR(INDEX('DADOS_FORMAS'!$AS$2:$AS$21,MATCH(SUBSTITUTE(SUBSTITUTE(SUBSTITUTE($MU34,"~","~~"),"*","~*"),"?","~?"),'DADOS_FORMAS'!$AH$2:$AH$21,0)),""),"~","~~"),"*","~*"),"?","~?"),'DADOS_RESTRICOES'!$M$2:$Q$54,2,FALSE),"")="Tudo ou Nada",$OH34=0),"Tudo ou Nada exige TR",""),IF(AND(IFERROR(VLOOKUP(SUBSTITUTE(SUBSTITUTE(SUBSTITUTE(IFERROR(INDEX('DADOS_FORMAS'!$AS$2:$AS$21,MATCH(SUBSTITUTE(SUBSTITUTE(SUBSTITUTE($MU34,"~","~~"),"*","~*"),"?","~?"),'DADOS_FORMAS'!$AH$2:$AH$21,0)),""),"~","~~"),"*","~*"),"?","~?"),'DADOS_RESTRICOES'!$M$2:$Q$54,2,FALSE),"")="Corpo a Corpo",OR($RO34="Cone",$RO34="Linha")),"Corpo a Corpo não entra em Cone/Linha","")))</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dela",IF(COUNTIF($RQ34:$RS34,"Atrasar")&gt;0,"Sua Ação Completa",IF(COUNTIF($RK34:$RN34,"Rápido")&gt;0,"Sua Bônus",IF(COUNTIF($RK34:$RN34,"Reação")&gt;0,"Sua Reação","Sua Padrão")))&amp;" + a básica dela"&amp;IF(COUNTIF($RK34:$RN34,"Reação")&gt;0," e a coletiva","")&amp;IF(COUNTIF($RQ34:$RS34,"Carregar")&gt;0," · em dois turnos","")))</f>
        <v/>
      </c>
      <c r="QC34" s="161">
        <f>IF($MW34&lt;&gt;"",$MW34,IF($NJ34=0,"",INDEX('DADOS_FORMAS'!$GE$2:$GE$21,$NJ34)))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IF($NJ34=0,0,CHOOSE(1+INDEX('DADOS_FORMAS'!$GG$2:$GG$21,$NJ34),0,$QF34,$QG34,$QF34+$QG34))</f>
        <v/>
      </c>
      <c r="QI34" s="161">
        <f>IF($NJ34=0,0,CHOOSE(1+INDEX('DADOS_FORMAS'!$GH$2:$GH$21,$NJ34),0,$QF34,$QG34,$QF34+$QG34))</f>
        <v/>
      </c>
      <c r="QJ34" s="161">
        <f>IF(OR($ND34=0,$NJ34=0),"",INDEX('DADOS_FORMAS'!$HU$2:$HZ$81,($NJ34-1)*4+IF($MS34=0,1,IF($MS34&lt;=5,2,IF($MS34=6,3,4))),1+MIN(5,$QH34))&amp;INDEX('DADOS_FORMAS'!$IA$2:$IF$81,($NJ34-1)*4+IF($MS34=0,1,IF($MS34&lt;=5,2,IF($MS34=6,3,4))),1+MIN(5,$QI34))&amp;IF(INDEX('DADOS_FORMAS'!$GI$2:$GI$21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c r="RO34">
        <f>IFERROR(INDEX('DADOS_FORMAS'!$BJ$2:$BJ$21,MATCH(SUBSTITUTE(SUBSTITUTE(SUBSTITUTE($MU34,"~","~~"),"*","~*"),"?","~?"),'DADOS_FORMAS'!$AH$2:$AH$21,0)),"")</f>
        <v/>
      </c>
      <c r="RP34">
        <f>IFERROR(VLOOKUP(SUBSTITUTE(SUBSTITUTE(SUBSTITUTE(IFERROR(INDEX('DADOS_FORMAS'!$AS$2:$AS$21,MATCH(SUBSTITUTE(SUBSTITUTE(SUBSTITUTE($MU34,"~","~~"),"*","~*"),"?","~?"),'DADOS_FORMAS'!$AH$2:$AH$21,0)),""),"~","~~"),"*","~*"),"?","~?"),'DADOS_RESTRICOES'!$M$2:$Q$54,2,FALSE),"")</f>
        <v/>
      </c>
      <c r="RQ34">
        <f>$OK34</f>
        <v/>
      </c>
      <c r="RR34">
        <f>$OL34</f>
        <v/>
      </c>
      <c r="RS34">
        <f>$RP34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IFERROR(MATCH(SUBSTITUTE(SUBSTITUTE(SUBSTITUTE($MU35,"~","~~"),"*","~*"),"?","~?"),'DADOS_FORMAS'!$FZ$2:$FZ$21,0),0)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IF($MS35=0,0,IF($NJ35=0,0,INDEX('DADOS_FORMAS'!$GB$2:$GB$21,$NJ35)))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IF($NJ35=0,0,IF(INDEX('DADOS_FORMAS'!$GA$2:$GA$21,$NJ35)="",0,IF((COUNTIF(INDEX($EL$2:$EP$13,$MO35,0),INDEX('DADOS_FORMAS'!$GA$2:$GA$21,$NJ35))+COUNTIF(INDEX($QV$2:$QY$13,$MO35,0),INDEX('DADOS_FORMAS'!$GA$2:$GA$21,$NJ35)))=0,1,0)))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IFERROR(N(AND(INDEX('DADOS_FORMAS'!$AO$2:$AO$21,MATCH(SUBSTITUTE(SUBSTITUTE(SUBSTITUTE($MU35,"~","~~"),"*","~*"),"?","~?"),'DADOS_FORMAS'!$AH$2:$AH$21,0))="Acerto",$OH35=1)),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IF($NJ35=0,0,INDEX('DADOS_FORMAS'!$GC$2:$GC$21,$NJ35))</f>
        <v/>
      </c>
      <c r="OG35" s="161">
        <f>IF($NJ35=0,0,INDEX('DADOS_FORMAS'!$GD$2:$GD$21,$NJ35))</f>
        <v/>
      </c>
      <c r="OH35" s="161">
        <f>IF($NJ35=0,0,INDEX('DADOS_FORMAS'!$GF$2:$GF$21,$NJ35))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IF(IFERROR(INDEX('DADOS_FORMAS'!$AS$2:$AS$21,MATCH(SUBSTITUTE(SUBSTITUTE(SUBSTITUTE($MU35,"~","~~"),"*","~*"),"?","~?"),'DADOS_FORMAS'!$AH$2:$AH$21,0)),"")="",0,IFERROR(N(VLOOKUP(SUBSTITUTE(SUBSTITUTE(SUBSTITUTE(IFERROR(INDEX('DADOS_FORMAS'!$AS$2:$AS$21,MATCH(SUBSTITUTE(SUBSTITUTE(SUBSTITUTE($MU35,"~","~~"),"*","~*"),"?","~?"),'DADOS_FORMAS'!$AH$2:$AH$21,0)),""),"~","~~"),"*","~*"),"?","~?"),'DADOS_RESTRICOES'!$M$2:$Q$54,3,FALSE)=1),0))</f>
        <v/>
      </c>
      <c r="OT35" s="161">
        <f>COUNTIF($OI35:$OJ35,2)+IF(IFERROR(INDEX('DADOS_FORMAS'!$AS$2:$AS$21,MATCH(SUBSTITUTE(SUBSTITUTE(SUBSTITUTE($MU35,"~","~~"),"*","~*"),"?","~?"),'DADOS_FORMAS'!$AH$2:$AH$21,0)),"")="",0,IFERROR(N(VLOOKUP(SUBSTITUTE(SUBSTITUTE(SUBSTITUTE(IFERROR(INDEX('DADOS_FORMAS'!$AS$2:$AS$21,MATCH(SUBSTITUTE(SUBSTITUTE(SUBSTITUTE($MU35,"~","~~"),"*","~*"),"?","~?"),'DADOS_FORMAS'!$AH$2:$AH$21,0)),""),"~","~~"),"*","~*"),"?","~?"),'DADOS_RESTRICOES'!$M$2:$Q$54,3,FALSE)=2),0))</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",TRUE,IF($ND35=0,"",TEXTJOIN(" · ",TRUE,IF($MQ35&gt;$NE35,"Este lugar abre no nível "&amp;$MQ35,""),IF($MS35&gt;$NF35,"Classe "&amp;$MS35&amp;": o nível "&amp;$NE35&amp;" libera até a "&amp;$NF35,""),IF($NX35=1,"A Forma "&amp;$MU35&amp;" pede "&amp;INDEX('DADOS_FORMAS'!$GA$2:$GA$21,$NJ35)&amp;" aberta",""),IF(AND($MS35=0,$NJ35&gt;0,IF($NJ35=0,0,INDEX('DADOS_FORMAS'!$GJ$2:$GJ$21,$NJ35))=0),$MU35&amp;"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Corpo")&gt;0,$OF35=0,OR($RO35="Cone",$RO35="Linha")),"Corpo a Corpo não entra em "&amp;$MU35,""),IF(AND(COUNTIF($OK35:$OL35,"Corpo a Corpo")&gt;0,$RP35="Corpo a Corpo"),"A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"&amp;$NC35,""))),IF(AND($MU35&lt;&gt;"",COUNTIF('DADOS_FORMAS'!$AH$2:$AH$21,SUBSTITUTE(SUBSTITUTE(SUBSTITUTE($MU35,"~","~~"),"*","~*"),"?","~?"))=0),"Forma não cadastrada ou com erro: "&amp;$MU35,""),IF(AND(IFERROR(INDEX('DADOS_FORMAS'!$AS$2:$AS$21,MATCH(SUBSTITUTE(SUBSTITUTE(SUBSTITUTE($MU35,"~","~~"),"*","~*"),"?","~?"),'DADOS_FORMAS'!$AH$2:$AH$21,0)),"")&lt;&gt;"",OR(IFERROR(VLOOKUP(SUBSTITUTE(SUBSTITUTE(SUBSTITUTE(IFERROR(INDEX('DADOS_FORMAS'!$AS$2:$AS$21,MATCH(SUBSTITUTE(SUBSTITUTE(SUBSTITUTE($MU35,"~","~~"),"*","~*"),"?","~?"),'DADOS_FORMAS'!$AH$2:$AH$21,0)),""),"~","~~"),"*","~*"),"?","~?"),'DADOS_RESTRICOES'!$M$2:$Q$54,2,FALSE),"")=$OK35,IFERROR(VLOOKUP(SUBSTITUTE(SUBSTITUTE(SUBSTITUTE(IFERROR(INDEX('DADOS_FORMAS'!$AS$2:$AS$21,MATCH(SUBSTITUTE(SUBSTITUTE(SUBSTITUTE($MU35,"~","~~"),"*","~*"),"?","~?"),'DADOS_FORMAS'!$AH$2:$AH$21,0)),""),"~","~~"),"*","~*"),"?","~?"),'DADOS_RESTRICOES'!$M$2:$Q$54,2,FALSE),"")=$OL35)),"Restrição repetida, contando a embutida",""),IF(IF(IFERROR(INDEX('DADOS_FORMAS'!$AS$2:$AS$21,MATCH(SUBSTITUTE(SUBSTITUTE(SUBSTITUTE($MU35,"~","~~"),"*","~*"),"?","~?"),'DADOS_FORMAS'!$AH$2:$AH$21,0)),"")="",0,IFERROR(N(VLOOKUP(SUBSTITUTE(SUBSTITUTE(SUBSTITUTE(IFERROR(INDEX('DADOS_FORMAS'!$AS$2:$AS$21,MATCH(SUBSTITUTE(SUBSTITUTE(SUBSTITUTE($MU35,"~","~~"),"*","~*"),"?","~?"),'DADOS_FORMAS'!$AH$2:$AH$21,0)),""),"~","~~"),"*","~*"),"?","~?"),'DADOS_RESTRICOES'!$M$2:$Q$54,4,FALSE)=1),0))+IF($NB35="",0,IFERROR(N(VLOOKUP(SUBSTITUTE(SUBSTITUTE(SUBSTITUTE($NB35,"~","~~"),"*","~*"),"?","~?"),'DADOS_RESTRICOES'!$M$2:$Q$54,4,FALSE)=1),0))+IF($NC35="",0,IFERROR(N(VLOOKUP(SUBSTITUTE(SUBSTITUTE(SUBSTITUTE($NC35,"~","~~"),"*","~*"),"?","~?"),'DADOS_RESTRICOES'!$M$2:$Q$54,4,FALSE)=1),0))&gt;1,"Duas Restrições de frequência, contando a embutida",""),IF(AND(IFERROR(VLOOKUP(SUBSTITUTE(SUBSTITUTE(SUBSTITUTE(IFERROR(INDEX('DADOS_FORMAS'!$AS$2:$AS$21,MATCH(SUBSTITUTE(SUBSTITUTE(SUBSTITUTE($MU35,"~","~~"),"*","~*"),"?","~?"),'DADOS_FORMAS'!$AH$2:$AH$21,0)),""),"~","~~"),"*","~*"),"?","~?"),'DADOS_RESTRICOES'!$M$2:$Q$54,2,FALSE),"")="Tudo ou Nada",$OH35=0),"Tudo ou Nada exige TR",""),IF(AND(IFERROR(VLOOKUP(SUBSTITUTE(SUBSTITUTE(SUBSTITUTE(IFERROR(INDEX('DADOS_FORMAS'!$AS$2:$AS$21,MATCH(SUBSTITUTE(SUBSTITUTE(SUBSTITUTE($MU35,"~","~~"),"*","~*"),"?","~?"),'DADOS_FORMAS'!$AH$2:$AH$21,0)),""),"~","~~"),"*","~*"),"?","~?"),'DADOS_RESTRICOES'!$M$2:$Q$54,2,FALSE),"")="Corpo a Corpo",OR($RO35="Cone",$RO35="Linha")),"Corpo a Corpo não entra em Cone/Linha","")))</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dela",IF(COUNTIF($RQ35:$RS35,"Atrasar")&gt;0,"Sua Ação Completa",IF(COUNTIF($RK35:$RN35,"Rápido")&gt;0,"Sua Bônus",IF(COUNTIF($RK35:$RN35,"Reação")&gt;0,"Sua Reação","Sua Padrão")))&amp;" + a básica dela"&amp;IF(COUNTIF($RK35:$RN35,"Reação")&gt;0," e a coletiva","")&amp;IF(COUNTIF($RQ35:$RS35,"Carregar")&gt;0," · em dois turnos","")))</f>
        <v/>
      </c>
      <c r="QC35" s="161">
        <f>IF($MW35&lt;&gt;"",$MW35,IF($NJ35=0,"",INDEX('DADOS_FORMAS'!$GE$2:$GE$21,$NJ35)))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IF($NJ35=0,0,CHOOSE(1+INDEX('DADOS_FORMAS'!$GG$2:$GG$21,$NJ35),0,$QF35,$QG35,$QF35+$QG35))</f>
        <v/>
      </c>
      <c r="QI35" s="161">
        <f>IF($NJ35=0,0,CHOOSE(1+INDEX('DADOS_FORMAS'!$GH$2:$GH$21,$NJ35),0,$QF35,$QG35,$QF35+$QG35))</f>
        <v/>
      </c>
      <c r="QJ35" s="161">
        <f>IF(OR($ND35=0,$NJ35=0),"",INDEX('DADOS_FORMAS'!$HU$2:$HZ$81,($NJ35-1)*4+IF($MS35=0,1,IF($MS35&lt;=5,2,IF($MS35=6,3,4))),1+MIN(5,$QH35))&amp;INDEX('DADOS_FORMAS'!$IA$2:$IF$81,($NJ35-1)*4+IF($MS35=0,1,IF($MS35&lt;=5,2,IF($MS35=6,3,4))),1+MIN(5,$QI35))&amp;IF(INDEX('DADOS_FORMAS'!$GI$2:$GI$21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c r="RO35">
        <f>IFERROR(INDEX('DADOS_FORMAS'!$BJ$2:$BJ$21,MATCH(SUBSTITUTE(SUBSTITUTE(SUBSTITUTE($MU35,"~","~~"),"*","~*"),"?","~?"),'DADOS_FORMAS'!$AH$2:$AH$21,0)),"")</f>
        <v/>
      </c>
      <c r="RP35">
        <f>IFERROR(VLOOKUP(SUBSTITUTE(SUBSTITUTE(SUBSTITUTE(IFERROR(INDEX('DADOS_FORMAS'!$AS$2:$AS$21,MATCH(SUBSTITUTE(SUBSTITUTE(SUBSTITUTE($MU35,"~","~~"),"*","~*"),"?","~?"),'DADOS_FORMAS'!$AH$2:$AH$21,0)),""),"~","~~"),"*","~*"),"?","~?"),'DADOS_RESTRICOES'!$M$2:$Q$54,2,FALSE),"")</f>
        <v/>
      </c>
      <c r="RQ35">
        <f>$OK35</f>
        <v/>
      </c>
      <c r="RR35">
        <f>$OL35</f>
        <v/>
      </c>
      <c r="RS35">
        <f>$RP35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IFERROR(MATCH(SUBSTITUTE(SUBSTITUTE(SUBSTITUTE($MU36,"~","~~"),"*","~*"),"?","~?"),'DADOS_FORMAS'!$FZ$2:$FZ$21,0),0)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IF($MS36=0,0,IF($NJ36=0,0,INDEX('DADOS_FORMAS'!$GB$2:$GB$21,$NJ36)))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IF($NJ36=0,0,IF(INDEX('DADOS_FORMAS'!$GA$2:$GA$21,$NJ36)="",0,IF((COUNTIF(INDEX($EL$2:$EP$13,$MO36,0),INDEX('DADOS_FORMAS'!$GA$2:$GA$21,$NJ36))+COUNTIF(INDEX($QV$2:$QY$13,$MO36,0),INDEX('DADOS_FORMAS'!$GA$2:$GA$21,$NJ36)))=0,1,0)))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IFERROR(N(AND(INDEX('DADOS_FORMAS'!$AO$2:$AO$21,MATCH(SUBSTITUTE(SUBSTITUTE(SUBSTITUTE($MU36,"~","~~"),"*","~*"),"?","~?"),'DADOS_FORMAS'!$AH$2:$AH$21,0))="Acerto",$OH36=1)),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IF($NJ36=0,0,INDEX('DADOS_FORMAS'!$GC$2:$GC$21,$NJ36))</f>
        <v/>
      </c>
      <c r="OG36" s="161">
        <f>IF($NJ36=0,0,INDEX('DADOS_FORMAS'!$GD$2:$GD$21,$NJ36))</f>
        <v/>
      </c>
      <c r="OH36" s="161">
        <f>IF($NJ36=0,0,INDEX('DADOS_FORMAS'!$GF$2:$GF$21,$NJ36))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IF(IFERROR(INDEX('DADOS_FORMAS'!$AS$2:$AS$21,MATCH(SUBSTITUTE(SUBSTITUTE(SUBSTITUTE($MU36,"~","~~"),"*","~*"),"?","~?"),'DADOS_FORMAS'!$AH$2:$AH$21,0)),"")="",0,IFERROR(N(VLOOKUP(SUBSTITUTE(SUBSTITUTE(SUBSTITUTE(IFERROR(INDEX('DADOS_FORMAS'!$AS$2:$AS$21,MATCH(SUBSTITUTE(SUBSTITUTE(SUBSTITUTE($MU36,"~","~~"),"*","~*"),"?","~?"),'DADOS_FORMAS'!$AH$2:$AH$21,0)),""),"~","~~"),"*","~*"),"?","~?"),'DADOS_RESTRICOES'!$M$2:$Q$54,3,FALSE)=1),0))</f>
        <v/>
      </c>
      <c r="OT36" s="161">
        <f>COUNTIF($OI36:$OJ36,2)+IF(IFERROR(INDEX('DADOS_FORMAS'!$AS$2:$AS$21,MATCH(SUBSTITUTE(SUBSTITUTE(SUBSTITUTE($MU36,"~","~~"),"*","~*"),"?","~?"),'DADOS_FORMAS'!$AH$2:$AH$21,0)),"")="",0,IFERROR(N(VLOOKUP(SUBSTITUTE(SUBSTITUTE(SUBSTITUTE(IFERROR(INDEX('DADOS_FORMAS'!$AS$2:$AS$21,MATCH(SUBSTITUTE(SUBSTITUTE(SUBSTITUTE($MU36,"~","~~"),"*","~*"),"?","~?"),'DADOS_FORMAS'!$AH$2:$AH$21,0)),""),"~","~~"),"*","~*"),"?","~?"),'DADOS_RESTRICOES'!$M$2:$Q$54,3,FALSE)=2),0))</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",TRUE,IF($ND36=0,"",TEXTJOIN(" · ",TRUE,IF($MQ36&gt;$NE36,"Este lugar abre no nível "&amp;$MQ36,""),IF($MS36&gt;$NF36,"Classe "&amp;$MS36&amp;": o nível "&amp;$NE36&amp;" libera até a "&amp;$NF36,""),IF($NX36=1,"A Forma "&amp;$MU36&amp;" pede "&amp;INDEX('DADOS_FORMAS'!$GA$2:$GA$21,$NJ36)&amp;" aberta",""),IF(AND($MS36=0,$NJ36&gt;0,IF($NJ36=0,0,INDEX('DADOS_FORMAS'!$GJ$2:$GJ$21,$NJ36))=0),$MU36&amp;"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Corpo")&gt;0,$OF36=0,OR($RO36="Cone",$RO36="Linha")),"Corpo a Corpo não entra em "&amp;$MU36,""),IF(AND(COUNTIF($OK36:$OL36,"Corpo a Corpo")&gt;0,$RP36="Corpo a Corpo"),"A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"&amp;$NC36,""))),IF(AND($MU36&lt;&gt;"",COUNTIF('DADOS_FORMAS'!$AH$2:$AH$21,SUBSTITUTE(SUBSTITUTE(SUBSTITUTE($MU36,"~","~~"),"*","~*"),"?","~?"))=0),"Forma não cadastrada ou com erro: "&amp;$MU36,""),IF(AND(IFERROR(INDEX('DADOS_FORMAS'!$AS$2:$AS$21,MATCH(SUBSTITUTE(SUBSTITUTE(SUBSTITUTE($MU36,"~","~~"),"*","~*"),"?","~?"),'DADOS_FORMAS'!$AH$2:$AH$21,0)),"")&lt;&gt;"",OR(IFERROR(VLOOKUP(SUBSTITUTE(SUBSTITUTE(SUBSTITUTE(IFERROR(INDEX('DADOS_FORMAS'!$AS$2:$AS$21,MATCH(SUBSTITUTE(SUBSTITUTE(SUBSTITUTE($MU36,"~","~~"),"*","~*"),"?","~?"),'DADOS_FORMAS'!$AH$2:$AH$21,0)),""),"~","~~"),"*","~*"),"?","~?"),'DADOS_RESTRICOES'!$M$2:$Q$54,2,FALSE),"")=$OK36,IFERROR(VLOOKUP(SUBSTITUTE(SUBSTITUTE(SUBSTITUTE(IFERROR(INDEX('DADOS_FORMAS'!$AS$2:$AS$21,MATCH(SUBSTITUTE(SUBSTITUTE(SUBSTITUTE($MU36,"~","~~"),"*","~*"),"?","~?"),'DADOS_FORMAS'!$AH$2:$AH$21,0)),""),"~","~~"),"*","~*"),"?","~?"),'DADOS_RESTRICOES'!$M$2:$Q$54,2,FALSE),"")=$OL36)),"Restrição repetida, contando a embutida",""),IF(IF(IFERROR(INDEX('DADOS_FORMAS'!$AS$2:$AS$21,MATCH(SUBSTITUTE(SUBSTITUTE(SUBSTITUTE($MU36,"~","~~"),"*","~*"),"?","~?"),'DADOS_FORMAS'!$AH$2:$AH$21,0)),"")="",0,IFERROR(N(VLOOKUP(SUBSTITUTE(SUBSTITUTE(SUBSTITUTE(IFERROR(INDEX('DADOS_FORMAS'!$AS$2:$AS$21,MATCH(SUBSTITUTE(SUBSTITUTE(SUBSTITUTE($MU36,"~","~~"),"*","~*"),"?","~?"),'DADOS_FORMAS'!$AH$2:$AH$21,0)),""),"~","~~"),"*","~*"),"?","~?"),'DADOS_RESTRICOES'!$M$2:$Q$54,4,FALSE)=1),0))+IF($NB36="",0,IFERROR(N(VLOOKUP(SUBSTITUTE(SUBSTITUTE(SUBSTITUTE($NB36,"~","~~"),"*","~*"),"?","~?"),'DADOS_RESTRICOES'!$M$2:$Q$54,4,FALSE)=1),0))+IF($NC36="",0,IFERROR(N(VLOOKUP(SUBSTITUTE(SUBSTITUTE(SUBSTITUTE($NC36,"~","~~"),"*","~*"),"?","~?"),'DADOS_RESTRICOES'!$M$2:$Q$54,4,FALSE)=1),0))&gt;1,"Duas Restrições de frequência, contando a embutida",""),IF(AND(IFERROR(VLOOKUP(SUBSTITUTE(SUBSTITUTE(SUBSTITUTE(IFERROR(INDEX('DADOS_FORMAS'!$AS$2:$AS$21,MATCH(SUBSTITUTE(SUBSTITUTE(SUBSTITUTE($MU36,"~","~~"),"*","~*"),"?","~?"),'DADOS_FORMAS'!$AH$2:$AH$21,0)),""),"~","~~"),"*","~*"),"?","~?"),'DADOS_RESTRICOES'!$M$2:$Q$54,2,FALSE),"")="Tudo ou Nada",$OH36=0),"Tudo ou Nada exige TR",""),IF(AND(IFERROR(VLOOKUP(SUBSTITUTE(SUBSTITUTE(SUBSTITUTE(IFERROR(INDEX('DADOS_FORMAS'!$AS$2:$AS$21,MATCH(SUBSTITUTE(SUBSTITUTE(SUBSTITUTE($MU36,"~","~~"),"*","~*"),"?","~?"),'DADOS_FORMAS'!$AH$2:$AH$21,0)),""),"~","~~"),"*","~*"),"?","~?"),'DADOS_RESTRICOES'!$M$2:$Q$54,2,FALSE),"")="Corpo a Corpo",OR($RO36="Cone",$RO36="Linha")),"Corpo a Corpo não entra em Cone/Linha","")))</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dela",IF(COUNTIF($RQ36:$RS36,"Atrasar")&gt;0,"Sua Ação Completa",IF(COUNTIF($RK36:$RN36,"Rápido")&gt;0,"Sua Bônus",IF(COUNTIF($RK36:$RN36,"Reação")&gt;0,"Sua Reação","Sua Padrão")))&amp;" + a básica dela"&amp;IF(COUNTIF($RK36:$RN36,"Reação")&gt;0," e a coletiva","")&amp;IF(COUNTIF($RQ36:$RS36,"Carregar")&gt;0," · em dois turnos","")))</f>
        <v/>
      </c>
      <c r="QC36" s="161">
        <f>IF($MW36&lt;&gt;"",$MW36,IF($NJ36=0,"",INDEX('DADOS_FORMAS'!$GE$2:$GE$21,$NJ36)))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IF($NJ36=0,0,CHOOSE(1+INDEX('DADOS_FORMAS'!$GG$2:$GG$21,$NJ36),0,$QF36,$QG36,$QF36+$QG36))</f>
        <v/>
      </c>
      <c r="QI36" s="161">
        <f>IF($NJ36=0,0,CHOOSE(1+INDEX('DADOS_FORMAS'!$GH$2:$GH$21,$NJ36),0,$QF36,$QG36,$QF36+$QG36))</f>
        <v/>
      </c>
      <c r="QJ36" s="161">
        <f>IF(OR($ND36=0,$NJ36=0),"",INDEX('DADOS_FORMAS'!$HU$2:$HZ$81,($NJ36-1)*4+IF($MS36=0,1,IF($MS36&lt;=5,2,IF($MS36=6,3,4))),1+MIN(5,$QH36))&amp;INDEX('DADOS_FORMAS'!$IA$2:$IF$81,($NJ36-1)*4+IF($MS36=0,1,IF($MS36&lt;=5,2,IF($MS36=6,3,4))),1+MIN(5,$QI36))&amp;IF(INDEX('DADOS_FORMAS'!$GI$2:$GI$21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c r="RO36">
        <f>IFERROR(INDEX('DADOS_FORMAS'!$BJ$2:$BJ$21,MATCH(SUBSTITUTE(SUBSTITUTE(SUBSTITUTE($MU36,"~","~~"),"*","~*"),"?","~?"),'DADOS_FORMAS'!$AH$2:$AH$21,0)),"")</f>
        <v/>
      </c>
      <c r="RP36">
        <f>IFERROR(VLOOKUP(SUBSTITUTE(SUBSTITUTE(SUBSTITUTE(IFERROR(INDEX('DADOS_FORMAS'!$AS$2:$AS$21,MATCH(SUBSTITUTE(SUBSTITUTE(SUBSTITUTE($MU36,"~","~~"),"*","~*"),"?","~?"),'DADOS_FORMAS'!$AH$2:$AH$21,0)),""),"~","~~"),"*","~*"),"?","~?"),'DADOS_RESTRICOES'!$M$2:$Q$54,2,FALSE),"")</f>
        <v/>
      </c>
      <c r="RQ36">
        <f>$OK36</f>
        <v/>
      </c>
      <c r="RR36">
        <f>$OL36</f>
        <v/>
      </c>
      <c r="RS36">
        <f>$RP36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IFERROR(MATCH(SUBSTITUTE(SUBSTITUTE(SUBSTITUTE($MU37,"~","~~"),"*","~*"),"?","~?"),'DADOS_FORMAS'!$FZ$2:$FZ$21,0),0)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IF($MS37=0,0,IF($NJ37=0,0,INDEX('DADOS_FORMAS'!$GB$2:$GB$21,$NJ37)))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IF($NJ37=0,0,IF(INDEX('DADOS_FORMAS'!$GA$2:$GA$21,$NJ37)="",0,IF((COUNTIF(INDEX($EL$2:$EP$13,$MO37,0),INDEX('DADOS_FORMAS'!$GA$2:$GA$21,$NJ37))+COUNTIF(INDEX($QV$2:$QY$13,$MO37,0),INDEX('DADOS_FORMAS'!$GA$2:$GA$21,$NJ37)))=0,1,0)))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IFERROR(N(AND(INDEX('DADOS_FORMAS'!$AO$2:$AO$21,MATCH(SUBSTITUTE(SUBSTITUTE(SUBSTITUTE($MU37,"~","~~"),"*","~*"),"?","~?"),'DADOS_FORMAS'!$AH$2:$AH$21,0))="Acerto",$OH37=1)),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IF($NJ37=0,0,INDEX('DADOS_FORMAS'!$GC$2:$GC$21,$NJ37))</f>
        <v/>
      </c>
      <c r="OG37" s="161">
        <f>IF($NJ37=0,0,INDEX('DADOS_FORMAS'!$GD$2:$GD$21,$NJ37))</f>
        <v/>
      </c>
      <c r="OH37" s="161">
        <f>IF($NJ37=0,0,INDEX('DADOS_FORMAS'!$GF$2:$GF$21,$NJ37))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IF(IFERROR(INDEX('DADOS_FORMAS'!$AS$2:$AS$21,MATCH(SUBSTITUTE(SUBSTITUTE(SUBSTITUTE($MU37,"~","~~"),"*","~*"),"?","~?"),'DADOS_FORMAS'!$AH$2:$AH$21,0)),"")="",0,IFERROR(N(VLOOKUP(SUBSTITUTE(SUBSTITUTE(SUBSTITUTE(IFERROR(INDEX('DADOS_FORMAS'!$AS$2:$AS$21,MATCH(SUBSTITUTE(SUBSTITUTE(SUBSTITUTE($MU37,"~","~~"),"*","~*"),"?","~?"),'DADOS_FORMAS'!$AH$2:$AH$21,0)),""),"~","~~"),"*","~*"),"?","~?"),'DADOS_RESTRICOES'!$M$2:$Q$54,3,FALSE)=1),0))</f>
        <v/>
      </c>
      <c r="OT37" s="161">
        <f>COUNTIF($OI37:$OJ37,2)+IF(IFERROR(INDEX('DADOS_FORMAS'!$AS$2:$AS$21,MATCH(SUBSTITUTE(SUBSTITUTE(SUBSTITUTE($MU37,"~","~~"),"*","~*"),"?","~?"),'DADOS_FORMAS'!$AH$2:$AH$21,0)),"")="",0,IFERROR(N(VLOOKUP(SUBSTITUTE(SUBSTITUTE(SUBSTITUTE(IFERROR(INDEX('DADOS_FORMAS'!$AS$2:$AS$21,MATCH(SUBSTITUTE(SUBSTITUTE(SUBSTITUTE($MU37,"~","~~"),"*","~*"),"?","~?"),'DADOS_FORMAS'!$AH$2:$AH$21,0)),""),"~","~~"),"*","~*"),"?","~?"),'DADOS_RESTRICOES'!$M$2:$Q$54,3,FALSE)=2),0))</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",TRUE,IF($ND37=0,"",TEXTJOIN(" · ",TRUE,IF($MQ37&gt;$NE37,"Este lugar abre no nível "&amp;$MQ37,""),IF($MS37&gt;$NF37,"Classe "&amp;$MS37&amp;": o nível "&amp;$NE37&amp;" libera até a "&amp;$NF37,""),IF($NX37=1,"A Forma "&amp;$MU37&amp;" pede "&amp;INDEX('DADOS_FORMAS'!$GA$2:$GA$21,$NJ37)&amp;" aberta",""),IF(AND($MS37=0,$NJ37&gt;0,IF($NJ37=0,0,INDEX('DADOS_FORMAS'!$GJ$2:$GJ$21,$NJ37))=0),$MU37&amp;"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Corpo")&gt;0,$OF37=0,OR($RO37="Cone",$RO37="Linha")),"Corpo a Corpo não entra em "&amp;$MU37,""),IF(AND(COUNTIF($OK37:$OL37,"Corpo a Corpo")&gt;0,$RP37="Corpo a Corpo"),"A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"&amp;$NC37,""))),IF(AND($MU37&lt;&gt;"",COUNTIF('DADOS_FORMAS'!$AH$2:$AH$21,SUBSTITUTE(SUBSTITUTE(SUBSTITUTE($MU37,"~","~~"),"*","~*"),"?","~?"))=0),"Forma não cadastrada ou com erro: "&amp;$MU37,""),IF(AND(IFERROR(INDEX('DADOS_FORMAS'!$AS$2:$AS$21,MATCH(SUBSTITUTE(SUBSTITUTE(SUBSTITUTE($MU37,"~","~~"),"*","~*"),"?","~?"),'DADOS_FORMAS'!$AH$2:$AH$21,0)),"")&lt;&gt;"",OR(IFERROR(VLOOKUP(SUBSTITUTE(SUBSTITUTE(SUBSTITUTE(IFERROR(INDEX('DADOS_FORMAS'!$AS$2:$AS$21,MATCH(SUBSTITUTE(SUBSTITUTE(SUBSTITUTE($MU37,"~","~~"),"*","~*"),"?","~?"),'DADOS_FORMAS'!$AH$2:$AH$21,0)),""),"~","~~"),"*","~*"),"?","~?"),'DADOS_RESTRICOES'!$M$2:$Q$54,2,FALSE),"")=$OK37,IFERROR(VLOOKUP(SUBSTITUTE(SUBSTITUTE(SUBSTITUTE(IFERROR(INDEX('DADOS_FORMAS'!$AS$2:$AS$21,MATCH(SUBSTITUTE(SUBSTITUTE(SUBSTITUTE($MU37,"~","~~"),"*","~*"),"?","~?"),'DADOS_FORMAS'!$AH$2:$AH$21,0)),""),"~","~~"),"*","~*"),"?","~?"),'DADOS_RESTRICOES'!$M$2:$Q$54,2,FALSE),"")=$OL37)),"Restrição repetida, contando a embutida",""),IF(IF(IFERROR(INDEX('DADOS_FORMAS'!$AS$2:$AS$21,MATCH(SUBSTITUTE(SUBSTITUTE(SUBSTITUTE($MU37,"~","~~"),"*","~*"),"?","~?"),'DADOS_FORMAS'!$AH$2:$AH$21,0)),"")="",0,IFERROR(N(VLOOKUP(SUBSTITUTE(SUBSTITUTE(SUBSTITUTE(IFERROR(INDEX('DADOS_FORMAS'!$AS$2:$AS$21,MATCH(SUBSTITUTE(SUBSTITUTE(SUBSTITUTE($MU37,"~","~~"),"*","~*"),"?","~?"),'DADOS_FORMAS'!$AH$2:$AH$21,0)),""),"~","~~"),"*","~*"),"?","~?"),'DADOS_RESTRICOES'!$M$2:$Q$54,4,FALSE)=1),0))+IF($NB37="",0,IFERROR(N(VLOOKUP(SUBSTITUTE(SUBSTITUTE(SUBSTITUTE($NB37,"~","~~"),"*","~*"),"?","~?"),'DADOS_RESTRICOES'!$M$2:$Q$54,4,FALSE)=1),0))+IF($NC37="",0,IFERROR(N(VLOOKUP(SUBSTITUTE(SUBSTITUTE(SUBSTITUTE($NC37,"~","~~"),"*","~*"),"?","~?"),'DADOS_RESTRICOES'!$M$2:$Q$54,4,FALSE)=1),0))&gt;1,"Duas Restrições de frequência, contando a embutida",""),IF(AND(IFERROR(VLOOKUP(SUBSTITUTE(SUBSTITUTE(SUBSTITUTE(IFERROR(INDEX('DADOS_FORMAS'!$AS$2:$AS$21,MATCH(SUBSTITUTE(SUBSTITUTE(SUBSTITUTE($MU37,"~","~~"),"*","~*"),"?","~?"),'DADOS_FORMAS'!$AH$2:$AH$21,0)),""),"~","~~"),"*","~*"),"?","~?"),'DADOS_RESTRICOES'!$M$2:$Q$54,2,FALSE),"")="Tudo ou Nada",$OH37=0),"Tudo ou Nada exige TR",""),IF(AND(IFERROR(VLOOKUP(SUBSTITUTE(SUBSTITUTE(SUBSTITUTE(IFERROR(INDEX('DADOS_FORMAS'!$AS$2:$AS$21,MATCH(SUBSTITUTE(SUBSTITUTE(SUBSTITUTE($MU37,"~","~~"),"*","~*"),"?","~?"),'DADOS_FORMAS'!$AH$2:$AH$21,0)),""),"~","~~"),"*","~*"),"?","~?"),'DADOS_RESTRICOES'!$M$2:$Q$54,2,FALSE),"")="Corpo a Corpo",OR($RO37="Cone",$RO37="Linha")),"Corpo a Corpo não entra em Cone/Linha","")))</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dela",IF(COUNTIF($RQ37:$RS37,"Atrasar")&gt;0,"Sua Ação Completa",IF(COUNTIF($RK37:$RN37,"Rápido")&gt;0,"Sua Bônus",IF(COUNTIF($RK37:$RN37,"Reação")&gt;0,"Sua Reação","Sua Padrão")))&amp;" + a básica dela"&amp;IF(COUNTIF($RK37:$RN37,"Reação")&gt;0," e a coletiva","")&amp;IF(COUNTIF($RQ37:$RS37,"Carregar")&gt;0," · em dois turnos","")))</f>
        <v/>
      </c>
      <c r="QC37" s="161">
        <f>IF($MW37&lt;&gt;"",$MW37,IF($NJ37=0,"",INDEX('DADOS_FORMAS'!$GE$2:$GE$21,$NJ37)))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IF($NJ37=0,0,CHOOSE(1+INDEX('DADOS_FORMAS'!$GG$2:$GG$21,$NJ37),0,$QF37,$QG37,$QF37+$QG37))</f>
        <v/>
      </c>
      <c r="QI37" s="161">
        <f>IF($NJ37=0,0,CHOOSE(1+INDEX('DADOS_FORMAS'!$GH$2:$GH$21,$NJ37),0,$QF37,$QG37,$QF37+$QG37))</f>
        <v/>
      </c>
      <c r="QJ37" s="161">
        <f>IF(OR($ND37=0,$NJ37=0),"",INDEX('DADOS_FORMAS'!$HU$2:$HZ$81,($NJ37-1)*4+IF($MS37=0,1,IF($MS37&lt;=5,2,IF($MS37=6,3,4))),1+MIN(5,$QH37))&amp;INDEX('DADOS_FORMAS'!$IA$2:$IF$81,($NJ37-1)*4+IF($MS37=0,1,IF($MS37&lt;=5,2,IF($MS37=6,3,4))),1+MIN(5,$QI37))&amp;IF(INDEX('DADOS_FORMAS'!$GI$2:$GI$21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c r="RO37">
        <f>IFERROR(INDEX('DADOS_FORMAS'!$BJ$2:$BJ$21,MATCH(SUBSTITUTE(SUBSTITUTE(SUBSTITUTE($MU37,"~","~~"),"*","~*"),"?","~?"),'DADOS_FORMAS'!$AH$2:$AH$21,0)),"")</f>
        <v/>
      </c>
      <c r="RP37">
        <f>IFERROR(VLOOKUP(SUBSTITUTE(SUBSTITUTE(SUBSTITUTE(IFERROR(INDEX('DADOS_FORMAS'!$AS$2:$AS$21,MATCH(SUBSTITUTE(SUBSTITUTE(SUBSTITUTE($MU37,"~","~~"),"*","~*"),"?","~?"),'DADOS_FORMAS'!$AH$2:$AH$21,0)),""),"~","~~"),"*","~*"),"?","~?"),'DADOS_RESTRICOES'!$M$2:$Q$54,2,FALSE),"")</f>
        <v/>
      </c>
      <c r="RQ37">
        <f>$OK37</f>
        <v/>
      </c>
      <c r="RR37">
        <f>$OL37</f>
        <v/>
      </c>
      <c r="RS37">
        <f>$RP37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IFERROR(MATCH(SUBSTITUTE(SUBSTITUTE(SUBSTITUTE($MU38,"~","~~"),"*","~*"),"?","~?"),'DADOS_FORMAS'!$FZ$2:$FZ$21,0),0)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IF($MS38=0,0,IF($NJ38=0,0,INDEX('DADOS_FORMAS'!$GB$2:$GB$21,$NJ38)))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IF($NJ38=0,0,IF(INDEX('DADOS_FORMAS'!$GA$2:$GA$21,$NJ38)="",0,IF((COUNTIF(INDEX($EL$2:$EP$13,$MO38,0),INDEX('DADOS_FORMAS'!$GA$2:$GA$21,$NJ38))+COUNTIF(INDEX($QV$2:$QY$13,$MO38,0),INDEX('DADOS_FORMAS'!$GA$2:$GA$21,$NJ38)))=0,1,0)))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IFERROR(N(AND(INDEX('DADOS_FORMAS'!$AO$2:$AO$21,MATCH(SUBSTITUTE(SUBSTITUTE(SUBSTITUTE($MU38,"~","~~"),"*","~*"),"?","~?"),'DADOS_FORMAS'!$AH$2:$AH$21,0))="Acerto",$OH38=1)),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IF($NJ38=0,0,INDEX('DADOS_FORMAS'!$GC$2:$GC$21,$NJ38))</f>
        <v/>
      </c>
      <c r="OG38" s="161">
        <f>IF($NJ38=0,0,INDEX('DADOS_FORMAS'!$GD$2:$GD$21,$NJ38))</f>
        <v/>
      </c>
      <c r="OH38" s="161">
        <f>IF($NJ38=0,0,INDEX('DADOS_FORMAS'!$GF$2:$GF$21,$NJ38))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IF(IFERROR(INDEX('DADOS_FORMAS'!$AS$2:$AS$21,MATCH(SUBSTITUTE(SUBSTITUTE(SUBSTITUTE($MU38,"~","~~"),"*","~*"),"?","~?"),'DADOS_FORMAS'!$AH$2:$AH$21,0)),"")="",0,IFERROR(N(VLOOKUP(SUBSTITUTE(SUBSTITUTE(SUBSTITUTE(IFERROR(INDEX('DADOS_FORMAS'!$AS$2:$AS$21,MATCH(SUBSTITUTE(SUBSTITUTE(SUBSTITUTE($MU38,"~","~~"),"*","~*"),"?","~?"),'DADOS_FORMAS'!$AH$2:$AH$21,0)),""),"~","~~"),"*","~*"),"?","~?"),'DADOS_RESTRICOES'!$M$2:$Q$54,3,FALSE)=1),0))</f>
        <v/>
      </c>
      <c r="OT38" s="161">
        <f>COUNTIF($OI38:$OJ38,2)+IF(IFERROR(INDEX('DADOS_FORMAS'!$AS$2:$AS$21,MATCH(SUBSTITUTE(SUBSTITUTE(SUBSTITUTE($MU38,"~","~~"),"*","~*"),"?","~?"),'DADOS_FORMAS'!$AH$2:$AH$21,0)),"")="",0,IFERROR(N(VLOOKUP(SUBSTITUTE(SUBSTITUTE(SUBSTITUTE(IFERROR(INDEX('DADOS_FORMAS'!$AS$2:$AS$21,MATCH(SUBSTITUTE(SUBSTITUTE(SUBSTITUTE($MU38,"~","~~"),"*","~*"),"?","~?"),'DADOS_FORMAS'!$AH$2:$AH$21,0)),""),"~","~~"),"*","~*"),"?","~?"),'DADOS_RESTRICOES'!$M$2:$Q$54,3,FALSE)=2),0))</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",TRUE,IF($ND38=0,"",TEXTJOIN(" · ",TRUE,IF($MQ38&gt;$NE38,"Este lugar abre no nível "&amp;$MQ38,""),IF($MS38&gt;$NF38,"Classe "&amp;$MS38&amp;": o nível "&amp;$NE38&amp;" libera até a "&amp;$NF38,""),IF($NX38=1,"A Forma "&amp;$MU38&amp;" pede "&amp;INDEX('DADOS_FORMAS'!$GA$2:$GA$21,$NJ38)&amp;" aberta",""),IF(AND($MS38=0,$NJ38&gt;0,IF($NJ38=0,0,INDEX('DADOS_FORMAS'!$GJ$2:$GJ$21,$NJ38))=0),$MU38&amp;"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Corpo")&gt;0,$OF38=0,OR($RO38="Cone",$RO38="Linha")),"Corpo a Corpo não entra em "&amp;$MU38,""),IF(AND(COUNTIF($OK38:$OL38,"Corpo a Corpo")&gt;0,$RP38="Corpo a Corpo"),"A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"&amp;$NC38,""))),IF(AND($MU38&lt;&gt;"",COUNTIF('DADOS_FORMAS'!$AH$2:$AH$21,SUBSTITUTE(SUBSTITUTE(SUBSTITUTE($MU38,"~","~~"),"*","~*"),"?","~?"))=0),"Forma não cadastrada ou com erro: "&amp;$MU38,""),IF(AND(IFERROR(INDEX('DADOS_FORMAS'!$AS$2:$AS$21,MATCH(SUBSTITUTE(SUBSTITUTE(SUBSTITUTE($MU38,"~","~~"),"*","~*"),"?","~?"),'DADOS_FORMAS'!$AH$2:$AH$21,0)),"")&lt;&gt;"",OR(IFERROR(VLOOKUP(SUBSTITUTE(SUBSTITUTE(SUBSTITUTE(IFERROR(INDEX('DADOS_FORMAS'!$AS$2:$AS$21,MATCH(SUBSTITUTE(SUBSTITUTE(SUBSTITUTE($MU38,"~","~~"),"*","~*"),"?","~?"),'DADOS_FORMAS'!$AH$2:$AH$21,0)),""),"~","~~"),"*","~*"),"?","~?"),'DADOS_RESTRICOES'!$M$2:$Q$54,2,FALSE),"")=$OK38,IFERROR(VLOOKUP(SUBSTITUTE(SUBSTITUTE(SUBSTITUTE(IFERROR(INDEX('DADOS_FORMAS'!$AS$2:$AS$21,MATCH(SUBSTITUTE(SUBSTITUTE(SUBSTITUTE($MU38,"~","~~"),"*","~*"),"?","~?"),'DADOS_FORMAS'!$AH$2:$AH$21,0)),""),"~","~~"),"*","~*"),"?","~?"),'DADOS_RESTRICOES'!$M$2:$Q$54,2,FALSE),"")=$OL38)),"Restrição repetida, contando a embutida",""),IF(IF(IFERROR(INDEX('DADOS_FORMAS'!$AS$2:$AS$21,MATCH(SUBSTITUTE(SUBSTITUTE(SUBSTITUTE($MU38,"~","~~"),"*","~*"),"?","~?"),'DADOS_FORMAS'!$AH$2:$AH$21,0)),"")="",0,IFERROR(N(VLOOKUP(SUBSTITUTE(SUBSTITUTE(SUBSTITUTE(IFERROR(INDEX('DADOS_FORMAS'!$AS$2:$AS$21,MATCH(SUBSTITUTE(SUBSTITUTE(SUBSTITUTE($MU38,"~","~~"),"*","~*"),"?","~?"),'DADOS_FORMAS'!$AH$2:$AH$21,0)),""),"~","~~"),"*","~*"),"?","~?"),'DADOS_RESTRICOES'!$M$2:$Q$54,4,FALSE)=1),0))+IF($NB38="",0,IFERROR(N(VLOOKUP(SUBSTITUTE(SUBSTITUTE(SUBSTITUTE($NB38,"~","~~"),"*","~*"),"?","~?"),'DADOS_RESTRICOES'!$M$2:$Q$54,4,FALSE)=1),0))+IF($NC38="",0,IFERROR(N(VLOOKUP(SUBSTITUTE(SUBSTITUTE(SUBSTITUTE($NC38,"~","~~"),"*","~*"),"?","~?"),'DADOS_RESTRICOES'!$M$2:$Q$54,4,FALSE)=1),0))&gt;1,"Duas Restrições de frequência, contando a embutida",""),IF(AND(IFERROR(VLOOKUP(SUBSTITUTE(SUBSTITUTE(SUBSTITUTE(IFERROR(INDEX('DADOS_FORMAS'!$AS$2:$AS$21,MATCH(SUBSTITUTE(SUBSTITUTE(SUBSTITUTE($MU38,"~","~~"),"*","~*"),"?","~?"),'DADOS_FORMAS'!$AH$2:$AH$21,0)),""),"~","~~"),"*","~*"),"?","~?"),'DADOS_RESTRICOES'!$M$2:$Q$54,2,FALSE),"")="Tudo ou Nada",$OH38=0),"Tudo ou Nada exige TR",""),IF(AND(IFERROR(VLOOKUP(SUBSTITUTE(SUBSTITUTE(SUBSTITUTE(IFERROR(INDEX('DADOS_FORMAS'!$AS$2:$AS$21,MATCH(SUBSTITUTE(SUBSTITUTE(SUBSTITUTE($MU38,"~","~~"),"*","~*"),"?","~?"),'DADOS_FORMAS'!$AH$2:$AH$21,0)),""),"~","~~"),"*","~*"),"?","~?"),'DADOS_RESTRICOES'!$M$2:$Q$54,2,FALSE),"")="Corpo a Corpo",OR($RO38="Cone",$RO38="Linha")),"Corpo a Corpo não entra em Cone/Linha","")))</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dela",IF(COUNTIF($RQ38:$RS38,"Atrasar")&gt;0,"Sua Ação Completa",IF(COUNTIF($RK38:$RN38,"Rápido")&gt;0,"Sua Bônus",IF(COUNTIF($RK38:$RN38,"Reação")&gt;0,"Sua Reação","Sua Padrão")))&amp;" + a básica dela"&amp;IF(COUNTIF($RK38:$RN38,"Reação")&gt;0," e a coletiva","")&amp;IF(COUNTIF($RQ38:$RS38,"Carregar")&gt;0," · em dois turnos","")))</f>
        <v/>
      </c>
      <c r="QC38" s="161">
        <f>IF($MW38&lt;&gt;"",$MW38,IF($NJ38=0,"",INDEX('DADOS_FORMAS'!$GE$2:$GE$21,$NJ38)))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IF($NJ38=0,0,CHOOSE(1+INDEX('DADOS_FORMAS'!$GG$2:$GG$21,$NJ38),0,$QF38,$QG38,$QF38+$QG38))</f>
        <v/>
      </c>
      <c r="QI38" s="161">
        <f>IF($NJ38=0,0,CHOOSE(1+INDEX('DADOS_FORMAS'!$GH$2:$GH$21,$NJ38),0,$QF38,$QG38,$QF38+$QG38))</f>
        <v/>
      </c>
      <c r="QJ38" s="161">
        <f>IF(OR($ND38=0,$NJ38=0),"",INDEX('DADOS_FORMAS'!$HU$2:$HZ$81,($NJ38-1)*4+IF($MS38=0,1,IF($MS38&lt;=5,2,IF($MS38=6,3,4))),1+MIN(5,$QH38))&amp;INDEX('DADOS_FORMAS'!$IA$2:$IF$81,($NJ38-1)*4+IF($MS38=0,1,IF($MS38&lt;=5,2,IF($MS38=6,3,4))),1+MIN(5,$QI38))&amp;IF(INDEX('DADOS_FORMAS'!$GI$2:$GI$21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c r="RO38">
        <f>IFERROR(INDEX('DADOS_FORMAS'!$BJ$2:$BJ$21,MATCH(SUBSTITUTE(SUBSTITUTE(SUBSTITUTE($MU38,"~","~~"),"*","~*"),"?","~?"),'DADOS_FORMAS'!$AH$2:$AH$21,0)),"")</f>
        <v/>
      </c>
      <c r="RP38">
        <f>IFERROR(VLOOKUP(SUBSTITUTE(SUBSTITUTE(SUBSTITUTE(IFERROR(INDEX('DADOS_FORMAS'!$AS$2:$AS$21,MATCH(SUBSTITUTE(SUBSTITUTE(SUBSTITUTE($MU38,"~","~~"),"*","~*"),"?","~?"),'DADOS_FORMAS'!$AH$2:$AH$21,0)),""),"~","~~"),"*","~*"),"?","~?"),'DADOS_RESTRICOES'!$M$2:$Q$54,2,FALSE),"")</f>
        <v/>
      </c>
      <c r="RQ38">
        <f>$OK38</f>
        <v/>
      </c>
      <c r="RR38">
        <f>$OL38</f>
        <v/>
      </c>
      <c r="RS38">
        <f>$RP38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IFERROR(MATCH(SUBSTITUTE(SUBSTITUTE(SUBSTITUTE($MU39,"~","~~"),"*","~*"),"?","~?"),'DADOS_FORMAS'!$FZ$2:$FZ$21,0),0)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IF($MS39=0,0,IF($NJ39=0,0,INDEX('DADOS_FORMAS'!$GB$2:$GB$21,$NJ39)))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IF($NJ39=0,0,IF(INDEX('DADOS_FORMAS'!$GA$2:$GA$21,$NJ39)="",0,IF((COUNTIF(INDEX($EL$2:$EP$13,$MO39,0),INDEX('DADOS_FORMAS'!$GA$2:$GA$21,$NJ39))+COUNTIF(INDEX($QV$2:$QY$13,$MO39,0),INDEX('DADOS_FORMAS'!$GA$2:$GA$21,$NJ39)))=0,1,0)))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IFERROR(N(AND(INDEX('DADOS_FORMAS'!$AO$2:$AO$21,MATCH(SUBSTITUTE(SUBSTITUTE(SUBSTITUTE($MU39,"~","~~"),"*","~*"),"?","~?"),'DADOS_FORMAS'!$AH$2:$AH$21,0))="Acerto",$OH39=1)),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IF($NJ39=0,0,INDEX('DADOS_FORMAS'!$GC$2:$GC$21,$NJ39))</f>
        <v/>
      </c>
      <c r="OG39" s="161">
        <f>IF($NJ39=0,0,INDEX('DADOS_FORMAS'!$GD$2:$GD$21,$NJ39))</f>
        <v/>
      </c>
      <c r="OH39" s="161">
        <f>IF($NJ39=0,0,INDEX('DADOS_FORMAS'!$GF$2:$GF$21,$NJ39))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IF(IFERROR(INDEX('DADOS_FORMAS'!$AS$2:$AS$21,MATCH(SUBSTITUTE(SUBSTITUTE(SUBSTITUTE($MU39,"~","~~"),"*","~*"),"?","~?"),'DADOS_FORMAS'!$AH$2:$AH$21,0)),"")="",0,IFERROR(N(VLOOKUP(SUBSTITUTE(SUBSTITUTE(SUBSTITUTE(IFERROR(INDEX('DADOS_FORMAS'!$AS$2:$AS$21,MATCH(SUBSTITUTE(SUBSTITUTE(SUBSTITUTE($MU39,"~","~~"),"*","~*"),"?","~?"),'DADOS_FORMAS'!$AH$2:$AH$21,0)),""),"~","~~"),"*","~*"),"?","~?"),'DADOS_RESTRICOES'!$M$2:$Q$54,3,FALSE)=1),0))</f>
        <v/>
      </c>
      <c r="OT39" s="161">
        <f>COUNTIF($OI39:$OJ39,2)+IF(IFERROR(INDEX('DADOS_FORMAS'!$AS$2:$AS$21,MATCH(SUBSTITUTE(SUBSTITUTE(SUBSTITUTE($MU39,"~","~~"),"*","~*"),"?","~?"),'DADOS_FORMAS'!$AH$2:$AH$21,0)),"")="",0,IFERROR(N(VLOOKUP(SUBSTITUTE(SUBSTITUTE(SUBSTITUTE(IFERROR(INDEX('DADOS_FORMAS'!$AS$2:$AS$21,MATCH(SUBSTITUTE(SUBSTITUTE(SUBSTITUTE($MU39,"~","~~"),"*","~*"),"?","~?"),'DADOS_FORMAS'!$AH$2:$AH$21,0)),""),"~","~~"),"*","~*"),"?","~?"),'DADOS_RESTRICOES'!$M$2:$Q$54,3,FALSE)=2),0))</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",TRUE,IF($ND39=0,"",TEXTJOIN(" · ",TRUE,IF($MQ39&gt;$NE39,"Este lugar abre no nível "&amp;$MQ39,""),IF($MS39&gt;$NF39,"Classe "&amp;$MS39&amp;": o nível "&amp;$NE39&amp;" libera até a "&amp;$NF39,""),IF($NX39=1,"A Forma "&amp;$MU39&amp;" pede "&amp;INDEX('DADOS_FORMAS'!$GA$2:$GA$21,$NJ39)&amp;" aberta",""),IF(AND($MS39=0,$NJ39&gt;0,IF($NJ39=0,0,INDEX('DADOS_FORMAS'!$GJ$2:$GJ$21,$NJ39))=0),$MU39&amp;"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Corpo")&gt;0,$OF39=0,OR($RO39="Cone",$RO39="Linha")),"Corpo a Corpo não entra em "&amp;$MU39,""),IF(AND(COUNTIF($OK39:$OL39,"Corpo a Corpo")&gt;0,$RP39="Corpo a Corpo"),"A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"&amp;$NC39,""))),IF(AND($MU39&lt;&gt;"",COUNTIF('DADOS_FORMAS'!$AH$2:$AH$21,SUBSTITUTE(SUBSTITUTE(SUBSTITUTE($MU39,"~","~~"),"*","~*"),"?","~?"))=0),"Forma não cadastrada ou com erro: "&amp;$MU39,""),IF(AND(IFERROR(INDEX('DADOS_FORMAS'!$AS$2:$AS$21,MATCH(SUBSTITUTE(SUBSTITUTE(SUBSTITUTE($MU39,"~","~~"),"*","~*"),"?","~?"),'DADOS_FORMAS'!$AH$2:$AH$21,0)),"")&lt;&gt;"",OR(IFERROR(VLOOKUP(SUBSTITUTE(SUBSTITUTE(SUBSTITUTE(IFERROR(INDEX('DADOS_FORMAS'!$AS$2:$AS$21,MATCH(SUBSTITUTE(SUBSTITUTE(SUBSTITUTE($MU39,"~","~~"),"*","~*"),"?","~?"),'DADOS_FORMAS'!$AH$2:$AH$21,0)),""),"~","~~"),"*","~*"),"?","~?"),'DADOS_RESTRICOES'!$M$2:$Q$54,2,FALSE),"")=$OK39,IFERROR(VLOOKUP(SUBSTITUTE(SUBSTITUTE(SUBSTITUTE(IFERROR(INDEX('DADOS_FORMAS'!$AS$2:$AS$21,MATCH(SUBSTITUTE(SUBSTITUTE(SUBSTITUTE($MU39,"~","~~"),"*","~*"),"?","~?"),'DADOS_FORMAS'!$AH$2:$AH$21,0)),""),"~","~~"),"*","~*"),"?","~?"),'DADOS_RESTRICOES'!$M$2:$Q$54,2,FALSE),"")=$OL39)),"Restrição repetida, contando a embutida",""),IF(IF(IFERROR(INDEX('DADOS_FORMAS'!$AS$2:$AS$21,MATCH(SUBSTITUTE(SUBSTITUTE(SUBSTITUTE($MU39,"~","~~"),"*","~*"),"?","~?"),'DADOS_FORMAS'!$AH$2:$AH$21,0)),"")="",0,IFERROR(N(VLOOKUP(SUBSTITUTE(SUBSTITUTE(SUBSTITUTE(IFERROR(INDEX('DADOS_FORMAS'!$AS$2:$AS$21,MATCH(SUBSTITUTE(SUBSTITUTE(SUBSTITUTE($MU39,"~","~~"),"*","~*"),"?","~?"),'DADOS_FORMAS'!$AH$2:$AH$21,0)),""),"~","~~"),"*","~*"),"?","~?"),'DADOS_RESTRICOES'!$M$2:$Q$54,4,FALSE)=1),0))+IF($NB39="",0,IFERROR(N(VLOOKUP(SUBSTITUTE(SUBSTITUTE(SUBSTITUTE($NB39,"~","~~"),"*","~*"),"?","~?"),'DADOS_RESTRICOES'!$M$2:$Q$54,4,FALSE)=1),0))+IF($NC39="",0,IFERROR(N(VLOOKUP(SUBSTITUTE(SUBSTITUTE(SUBSTITUTE($NC39,"~","~~"),"*","~*"),"?","~?"),'DADOS_RESTRICOES'!$M$2:$Q$54,4,FALSE)=1),0))&gt;1,"Duas Restrições de frequência, contando a embutida",""),IF(AND(IFERROR(VLOOKUP(SUBSTITUTE(SUBSTITUTE(SUBSTITUTE(IFERROR(INDEX('DADOS_FORMAS'!$AS$2:$AS$21,MATCH(SUBSTITUTE(SUBSTITUTE(SUBSTITUTE($MU39,"~","~~"),"*","~*"),"?","~?"),'DADOS_FORMAS'!$AH$2:$AH$21,0)),""),"~","~~"),"*","~*"),"?","~?"),'DADOS_RESTRICOES'!$M$2:$Q$54,2,FALSE),"")="Tudo ou Nada",$OH39=0),"Tudo ou Nada exige TR",""),IF(AND(IFERROR(VLOOKUP(SUBSTITUTE(SUBSTITUTE(SUBSTITUTE(IFERROR(INDEX('DADOS_FORMAS'!$AS$2:$AS$21,MATCH(SUBSTITUTE(SUBSTITUTE(SUBSTITUTE($MU39,"~","~~"),"*","~*"),"?","~?"),'DADOS_FORMAS'!$AH$2:$AH$21,0)),""),"~","~~"),"*","~*"),"?","~?"),'DADOS_RESTRICOES'!$M$2:$Q$54,2,FALSE),"")="Corpo a Corpo",OR($RO39="Cone",$RO39="Linha")),"Corpo a Corpo não entra em Cone/Linha","")))</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dela",IF(COUNTIF($RQ39:$RS39,"Atrasar")&gt;0,"Sua Ação Completa",IF(COUNTIF($RK39:$RN39,"Rápido")&gt;0,"Sua Bônus",IF(COUNTIF($RK39:$RN39,"Reação")&gt;0,"Sua Reação","Sua Padrão")))&amp;" + a básica dela"&amp;IF(COUNTIF($RK39:$RN39,"Reação")&gt;0," e a coletiva","")&amp;IF(COUNTIF($RQ39:$RS39,"Carregar")&gt;0," · em dois turnos","")))</f>
        <v/>
      </c>
      <c r="QC39" s="161">
        <f>IF($MW39&lt;&gt;"",$MW39,IF($NJ39=0,"",INDEX('DADOS_FORMAS'!$GE$2:$GE$21,$NJ39)))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IF($NJ39=0,0,CHOOSE(1+INDEX('DADOS_FORMAS'!$GG$2:$GG$21,$NJ39),0,$QF39,$QG39,$QF39+$QG39))</f>
        <v/>
      </c>
      <c r="QI39" s="161">
        <f>IF($NJ39=0,0,CHOOSE(1+INDEX('DADOS_FORMAS'!$GH$2:$GH$21,$NJ39),0,$QF39,$QG39,$QF39+$QG39))</f>
        <v/>
      </c>
      <c r="QJ39" s="161">
        <f>IF(OR($ND39=0,$NJ39=0),"",INDEX('DADOS_FORMAS'!$HU$2:$HZ$81,($NJ39-1)*4+IF($MS39=0,1,IF($MS39&lt;=5,2,IF($MS39=6,3,4))),1+MIN(5,$QH39))&amp;INDEX('DADOS_FORMAS'!$IA$2:$IF$81,($NJ39-1)*4+IF($MS39=0,1,IF($MS39&lt;=5,2,IF($MS39=6,3,4))),1+MIN(5,$QI39))&amp;IF(INDEX('DADOS_FORMAS'!$GI$2:$GI$21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c r="RO39">
        <f>IFERROR(INDEX('DADOS_FORMAS'!$BJ$2:$BJ$21,MATCH(SUBSTITUTE(SUBSTITUTE(SUBSTITUTE($MU39,"~","~~"),"*","~*"),"?","~?"),'DADOS_FORMAS'!$AH$2:$AH$21,0)),"")</f>
        <v/>
      </c>
      <c r="RP39">
        <f>IFERROR(VLOOKUP(SUBSTITUTE(SUBSTITUTE(SUBSTITUTE(IFERROR(INDEX('DADOS_FORMAS'!$AS$2:$AS$21,MATCH(SUBSTITUTE(SUBSTITUTE(SUBSTITUTE($MU39,"~","~~"),"*","~*"),"?","~?"),'DADOS_FORMAS'!$AH$2:$AH$21,0)),""),"~","~~"),"*","~*"),"?","~?"),'DADOS_RESTRICOES'!$M$2:$Q$54,2,FALSE),"")</f>
        <v/>
      </c>
      <c r="RQ39">
        <f>$OK39</f>
        <v/>
      </c>
      <c r="RR39">
        <f>$OL39</f>
        <v/>
      </c>
      <c r="RS39">
        <f>$RP39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IFERROR(MATCH(SUBSTITUTE(SUBSTITUTE(SUBSTITUTE($MU40,"~","~~"),"*","~*"),"?","~?"),'DADOS_FORMAS'!$FZ$2:$FZ$21,0),0)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IF($MS40=0,0,IF($NJ40=0,0,INDEX('DADOS_FORMAS'!$GB$2:$GB$21,$NJ40)))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IF($NJ40=0,0,IF(INDEX('DADOS_FORMAS'!$GA$2:$GA$21,$NJ40)="",0,IF((COUNTIF(INDEX($EL$2:$EP$13,$MO40,0),INDEX('DADOS_FORMAS'!$GA$2:$GA$21,$NJ40))+COUNTIF(INDEX($QV$2:$QY$13,$MO40,0),INDEX('DADOS_FORMAS'!$GA$2:$GA$21,$NJ40)))=0,1,0)))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IFERROR(N(AND(INDEX('DADOS_FORMAS'!$AO$2:$AO$21,MATCH(SUBSTITUTE(SUBSTITUTE(SUBSTITUTE($MU40,"~","~~"),"*","~*"),"?","~?"),'DADOS_FORMAS'!$AH$2:$AH$21,0))="Acerto",$OH40=1)),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IF($NJ40=0,0,INDEX('DADOS_FORMAS'!$GC$2:$GC$21,$NJ40))</f>
        <v/>
      </c>
      <c r="OG40" s="161">
        <f>IF($NJ40=0,0,INDEX('DADOS_FORMAS'!$GD$2:$GD$21,$NJ40))</f>
        <v/>
      </c>
      <c r="OH40" s="161">
        <f>IF($NJ40=0,0,INDEX('DADOS_FORMAS'!$GF$2:$GF$21,$NJ40))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IF(IFERROR(INDEX('DADOS_FORMAS'!$AS$2:$AS$21,MATCH(SUBSTITUTE(SUBSTITUTE(SUBSTITUTE($MU40,"~","~~"),"*","~*"),"?","~?"),'DADOS_FORMAS'!$AH$2:$AH$21,0)),"")="",0,IFERROR(N(VLOOKUP(SUBSTITUTE(SUBSTITUTE(SUBSTITUTE(IFERROR(INDEX('DADOS_FORMAS'!$AS$2:$AS$21,MATCH(SUBSTITUTE(SUBSTITUTE(SUBSTITUTE($MU40,"~","~~"),"*","~*"),"?","~?"),'DADOS_FORMAS'!$AH$2:$AH$21,0)),""),"~","~~"),"*","~*"),"?","~?"),'DADOS_RESTRICOES'!$M$2:$Q$54,3,FALSE)=1),0))</f>
        <v/>
      </c>
      <c r="OT40" s="161">
        <f>COUNTIF($OI40:$OJ40,2)+IF(IFERROR(INDEX('DADOS_FORMAS'!$AS$2:$AS$21,MATCH(SUBSTITUTE(SUBSTITUTE(SUBSTITUTE($MU40,"~","~~"),"*","~*"),"?","~?"),'DADOS_FORMAS'!$AH$2:$AH$21,0)),"")="",0,IFERROR(N(VLOOKUP(SUBSTITUTE(SUBSTITUTE(SUBSTITUTE(IFERROR(INDEX('DADOS_FORMAS'!$AS$2:$AS$21,MATCH(SUBSTITUTE(SUBSTITUTE(SUBSTITUTE($MU40,"~","~~"),"*","~*"),"?","~?"),'DADOS_FORMAS'!$AH$2:$AH$21,0)),""),"~","~~"),"*","~*"),"?","~?"),'DADOS_RESTRICOES'!$M$2:$Q$54,3,FALSE)=2),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",TRUE,IF($ND40=0,"",TEXTJOIN(" · ",TRUE,IF($MQ40&gt;$NE40,"Este lugar abre no nível "&amp;$MQ40,""),IF($MS40&gt;$NF40,"Classe "&amp;$MS40&amp;": o nível "&amp;$NE40&amp;" libera até a "&amp;$NF40,""),IF($NX40=1,"A Forma "&amp;$MU40&amp;" pede "&amp;INDEX('DADOS_FORMAS'!$GA$2:$GA$21,$NJ40)&amp;" aberta",""),IF(AND($MS40=0,$NJ40&gt;0,IF($NJ40=0,0,INDEX('DADOS_FORMAS'!$GJ$2:$GJ$21,$NJ40))=0),$MU40&amp;"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Corpo")&gt;0,$OF40=0,OR($RO40="Cone",$RO40="Linha")),"Corpo a Corpo não entra em "&amp;$MU40,""),IF(AND(COUNTIF($OK40:$OL40,"Corpo a Corpo")&gt;0,$RP40="Corpo a Corpo"),"A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"&amp;$NC40,""))),IF(AND($MU40&lt;&gt;"",COUNTIF('DADOS_FORMAS'!$AH$2:$AH$21,SUBSTITUTE(SUBSTITUTE(SUBSTITUTE($MU40,"~","~~"),"*","~*"),"?","~?"))=0),"Forma não cadastrada ou com erro: "&amp;$MU40,""),IF(AND(IFERROR(INDEX('DADOS_FORMAS'!$AS$2:$AS$21,MATCH(SUBSTITUTE(SUBSTITUTE(SUBSTITUTE($MU40,"~","~~"),"*","~*"),"?","~?"),'DADOS_FORMAS'!$AH$2:$AH$21,0)),"")&lt;&gt;"",OR(IFERROR(VLOOKUP(SUBSTITUTE(SUBSTITUTE(SUBSTITUTE(IFERROR(INDEX('DADOS_FORMAS'!$AS$2:$AS$21,MATCH(SUBSTITUTE(SUBSTITUTE(SUBSTITUTE($MU40,"~","~~"),"*","~*"),"?","~?"),'DADOS_FORMAS'!$AH$2:$AH$21,0)),""),"~","~~"),"*","~*"),"?","~?"),'DADOS_RESTRICOES'!$M$2:$Q$54,2,FALSE),"")=$OK40,IFERROR(VLOOKUP(SUBSTITUTE(SUBSTITUTE(SUBSTITUTE(IFERROR(INDEX('DADOS_FORMAS'!$AS$2:$AS$21,MATCH(SUBSTITUTE(SUBSTITUTE(SUBSTITUTE($MU40,"~","~~"),"*","~*"),"?","~?"),'DADOS_FORMAS'!$AH$2:$AH$21,0)),""),"~","~~"),"*","~*"),"?","~?"),'DADOS_RESTRICOES'!$M$2:$Q$54,2,FALSE),"")=$OL40)),"Restrição repetida, contando a embutida",""),IF(IF(IFERROR(INDEX('DADOS_FORMAS'!$AS$2:$AS$21,MATCH(SUBSTITUTE(SUBSTITUTE(SUBSTITUTE($MU40,"~","~~"),"*","~*"),"?","~?"),'DADOS_FORMAS'!$AH$2:$AH$21,0)),"")="",0,IFERROR(N(VLOOKUP(SUBSTITUTE(SUBSTITUTE(SUBSTITUTE(IFERROR(INDEX('DADOS_FORMAS'!$AS$2:$AS$21,MATCH(SUBSTITUTE(SUBSTITUTE(SUBSTITUTE($MU40,"~","~~"),"*","~*"),"?","~?"),'DADOS_FORMAS'!$AH$2:$AH$21,0)),""),"~","~~"),"*","~*"),"?","~?"),'DADOS_RESTRICOES'!$M$2:$Q$54,4,FALSE)=1),0))+IF($NB40="",0,IFERROR(N(VLOOKUP(SUBSTITUTE(SUBSTITUTE(SUBSTITUTE($NB40,"~","~~"),"*","~*"),"?","~?"),'DADOS_RESTRICOES'!$M$2:$Q$54,4,FALSE)=1),0))+IF($NC40="",0,IFERROR(N(VLOOKUP(SUBSTITUTE(SUBSTITUTE(SUBSTITUTE($NC40,"~","~~"),"*","~*"),"?","~?"),'DADOS_RESTRICOES'!$M$2:$Q$54,4,FALSE)=1),0))&gt;1,"Duas Restrições de frequência, contando a embutida",""),IF(AND(IFERROR(VLOOKUP(SUBSTITUTE(SUBSTITUTE(SUBSTITUTE(IFERROR(INDEX('DADOS_FORMAS'!$AS$2:$AS$21,MATCH(SUBSTITUTE(SUBSTITUTE(SUBSTITUTE($MU40,"~","~~"),"*","~*"),"?","~?"),'DADOS_FORMAS'!$AH$2:$AH$21,0)),""),"~","~~"),"*","~*"),"?","~?"),'DADOS_RESTRICOES'!$M$2:$Q$54,2,FALSE),"")="Tudo ou Nada",$OH40=0),"Tudo ou Nada exige TR",""),IF(AND(IFERROR(VLOOKUP(SUBSTITUTE(SUBSTITUTE(SUBSTITUTE(IFERROR(INDEX('DADOS_FORMAS'!$AS$2:$AS$21,MATCH(SUBSTITUTE(SUBSTITUTE(SUBSTITUTE($MU40,"~","~~"),"*","~*"),"?","~?"),'DADOS_FORMAS'!$AH$2:$AH$21,0)),""),"~","~~"),"*","~*"),"?","~?"),'DADOS_RESTRICOES'!$M$2:$Q$54,2,FALSE),"")="Corpo a Corpo",OR($RO40="Cone",$RO40="Linha")),"Corpo a Corpo não entra em Cone/Linha","")))</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dela",IF(COUNTIF($RQ40:$RS40,"Atrasar")&gt;0,"Sua Ação Completa",IF(COUNTIF($RK40:$RN40,"Rápido")&gt;0,"Sua Bônus",IF(COUNTIF($RK40:$RN40,"Reação")&gt;0,"Sua Reação","Sua Padrão")))&amp;" + a básica dela"&amp;IF(COUNTIF($RK40:$RN40,"Reação")&gt;0," e a coletiva","")&amp;IF(COUNTIF($RQ40:$RS40,"Carregar")&gt;0," · em dois turnos","")))</f>
        <v/>
      </c>
      <c r="QC40" s="161">
        <f>IF($MW40&lt;&gt;"",$MW40,IF($NJ40=0,"",INDEX('DADOS_FORMAS'!$GE$2:$GE$21,$NJ40)))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IF($NJ40=0,0,CHOOSE(1+INDEX('DADOS_FORMAS'!$GG$2:$GG$21,$NJ40),0,$QF40,$QG40,$QF40+$QG40))</f>
        <v/>
      </c>
      <c r="QI40" s="161">
        <f>IF($NJ40=0,0,CHOOSE(1+INDEX('DADOS_FORMAS'!$GH$2:$GH$21,$NJ40),0,$QF40,$QG40,$QF40+$QG40))</f>
        <v/>
      </c>
      <c r="QJ40" s="161">
        <f>IF(OR($ND40=0,$NJ40=0),"",INDEX('DADOS_FORMAS'!$HU$2:$HZ$81,($NJ40-1)*4+IF($MS40=0,1,IF($MS40&lt;=5,2,IF($MS40=6,3,4))),1+MIN(5,$QH40))&amp;INDEX('DADOS_FORMAS'!$IA$2:$IF$81,($NJ40-1)*4+IF($MS40=0,1,IF($MS40&lt;=5,2,IF($MS40=6,3,4))),1+MIN(5,$QI40))&amp;IF(INDEX('DADOS_FORMAS'!$GI$2:$GI$21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c r="RO40">
        <f>IFERROR(INDEX('DADOS_FORMAS'!$BJ$2:$BJ$21,MATCH(SUBSTITUTE(SUBSTITUTE(SUBSTITUTE($MU40,"~","~~"),"*","~*"),"?","~?"),'DADOS_FORMAS'!$AH$2:$AH$21,0)),"")</f>
        <v/>
      </c>
      <c r="RP40">
        <f>IFERROR(VLOOKUP(SUBSTITUTE(SUBSTITUTE(SUBSTITUTE(IFERROR(INDEX('DADOS_FORMAS'!$AS$2:$AS$21,MATCH(SUBSTITUTE(SUBSTITUTE(SUBSTITUTE($MU40,"~","~~"),"*","~*"),"?","~?"),'DADOS_FORMAS'!$AH$2:$AH$21,0)),""),"~","~~"),"*","~*"),"?","~?"),'DADOS_RESTRICOES'!$M$2:$Q$54,2,FALSE),"")</f>
        <v/>
      </c>
      <c r="RQ40">
        <f>$OK40</f>
        <v/>
      </c>
      <c r="RR40">
        <f>$OL40</f>
        <v/>
      </c>
      <c r="RS40">
        <f>$RP40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IFERROR(MATCH(SUBSTITUTE(SUBSTITUTE(SUBSTITUTE($MU41,"~","~~"),"*","~*"),"?","~?"),'DADOS_FORMAS'!$FZ$2:$FZ$21,0),0)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IF($MS41=0,0,IF($NJ41=0,0,INDEX('DADOS_FORMAS'!$GB$2:$GB$21,$NJ41)))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IF($NJ41=0,0,IF(INDEX('DADOS_FORMAS'!$GA$2:$GA$21,$NJ41)="",0,IF((COUNTIF(INDEX($EL$2:$EP$13,$MO41,0),INDEX('DADOS_FORMAS'!$GA$2:$GA$21,$NJ41))+COUNTIF(INDEX($QV$2:$QY$13,$MO41,0),INDEX('DADOS_FORMAS'!$GA$2:$GA$21,$NJ41)))=0,1,0)))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IFERROR(N(AND(INDEX('DADOS_FORMAS'!$AO$2:$AO$21,MATCH(SUBSTITUTE(SUBSTITUTE(SUBSTITUTE($MU41,"~","~~"),"*","~*"),"?","~?"),'DADOS_FORMAS'!$AH$2:$AH$21,0))="Acerto",$OH41=1)),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IF($NJ41=0,0,INDEX('DADOS_FORMAS'!$GC$2:$GC$21,$NJ41))</f>
        <v/>
      </c>
      <c r="OG41" s="161">
        <f>IF($NJ41=0,0,INDEX('DADOS_FORMAS'!$GD$2:$GD$21,$NJ41))</f>
        <v/>
      </c>
      <c r="OH41" s="161">
        <f>IF($NJ41=0,0,INDEX('DADOS_FORMAS'!$GF$2:$GF$21,$NJ41))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IF(IFERROR(INDEX('DADOS_FORMAS'!$AS$2:$AS$21,MATCH(SUBSTITUTE(SUBSTITUTE(SUBSTITUTE($MU41,"~","~~"),"*","~*"),"?","~?"),'DADOS_FORMAS'!$AH$2:$AH$21,0)),"")="",0,IFERROR(N(VLOOKUP(SUBSTITUTE(SUBSTITUTE(SUBSTITUTE(IFERROR(INDEX('DADOS_FORMAS'!$AS$2:$AS$21,MATCH(SUBSTITUTE(SUBSTITUTE(SUBSTITUTE($MU41,"~","~~"),"*","~*"),"?","~?"),'DADOS_FORMAS'!$AH$2:$AH$21,0)),""),"~","~~"),"*","~*"),"?","~?"),'DADOS_RESTRICOES'!$M$2:$Q$54,3,FALSE)=1),0))</f>
        <v/>
      </c>
      <c r="OT41" s="161">
        <f>COUNTIF($OI41:$OJ41,2)+IF(IFERROR(INDEX('DADOS_FORMAS'!$AS$2:$AS$21,MATCH(SUBSTITUTE(SUBSTITUTE(SUBSTITUTE($MU41,"~","~~"),"*","~*"),"?","~?"),'DADOS_FORMAS'!$AH$2:$AH$21,0)),"")="",0,IFERROR(N(VLOOKUP(SUBSTITUTE(SUBSTITUTE(SUBSTITUTE(IFERROR(INDEX('DADOS_FORMAS'!$AS$2:$AS$21,MATCH(SUBSTITUTE(SUBSTITUTE(SUBSTITUTE($MU41,"~","~~"),"*","~*"),"?","~?"),'DADOS_FORMAS'!$AH$2:$AH$21,0)),""),"~","~~"),"*","~*"),"?","~?"),'DADOS_RESTRICOES'!$M$2:$Q$54,3,FALSE)=2),0))</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",TRUE,IF($ND41=0,"",TEXTJOIN(" · ",TRUE,IF($MQ41&gt;$NE41,"Este lugar abre no nível "&amp;$MQ41,""),IF($MS41&gt;$NF41,"Classe "&amp;$MS41&amp;": o nível "&amp;$NE41&amp;" libera até a "&amp;$NF41,""),IF($NX41=1,"A Forma "&amp;$MU41&amp;" pede "&amp;INDEX('DADOS_FORMAS'!$GA$2:$GA$21,$NJ41)&amp;" aberta",""),IF(AND($MS41=0,$NJ41&gt;0,IF($NJ41=0,0,INDEX('DADOS_FORMAS'!$GJ$2:$GJ$21,$NJ41))=0),$MU41&amp;"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Corpo")&gt;0,$OF41=0,OR($RO41="Cone",$RO41="Linha")),"Corpo a Corpo não entra em "&amp;$MU41,""),IF(AND(COUNTIF($OK41:$OL41,"Corpo a Corpo")&gt;0,$RP41="Corpo a Corpo"),"A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"&amp;$NC41,""))),IF(AND($MU41&lt;&gt;"",COUNTIF('DADOS_FORMAS'!$AH$2:$AH$21,SUBSTITUTE(SUBSTITUTE(SUBSTITUTE($MU41,"~","~~"),"*","~*"),"?","~?"))=0),"Forma não cadastrada ou com erro: "&amp;$MU41,""),IF(AND(IFERROR(INDEX('DADOS_FORMAS'!$AS$2:$AS$21,MATCH(SUBSTITUTE(SUBSTITUTE(SUBSTITUTE($MU41,"~","~~"),"*","~*"),"?","~?"),'DADOS_FORMAS'!$AH$2:$AH$21,0)),"")&lt;&gt;"",OR(IFERROR(VLOOKUP(SUBSTITUTE(SUBSTITUTE(SUBSTITUTE(IFERROR(INDEX('DADOS_FORMAS'!$AS$2:$AS$21,MATCH(SUBSTITUTE(SUBSTITUTE(SUBSTITUTE($MU41,"~","~~"),"*","~*"),"?","~?"),'DADOS_FORMAS'!$AH$2:$AH$21,0)),""),"~","~~"),"*","~*"),"?","~?"),'DADOS_RESTRICOES'!$M$2:$Q$54,2,FALSE),"")=$OK41,IFERROR(VLOOKUP(SUBSTITUTE(SUBSTITUTE(SUBSTITUTE(IFERROR(INDEX('DADOS_FORMAS'!$AS$2:$AS$21,MATCH(SUBSTITUTE(SUBSTITUTE(SUBSTITUTE($MU41,"~","~~"),"*","~*"),"?","~?"),'DADOS_FORMAS'!$AH$2:$AH$21,0)),""),"~","~~"),"*","~*"),"?","~?"),'DADOS_RESTRICOES'!$M$2:$Q$54,2,FALSE),"")=$OL41)),"Restrição repetida, contando a embutida",""),IF(IF(IFERROR(INDEX('DADOS_FORMAS'!$AS$2:$AS$21,MATCH(SUBSTITUTE(SUBSTITUTE(SUBSTITUTE($MU41,"~","~~"),"*","~*"),"?","~?"),'DADOS_FORMAS'!$AH$2:$AH$21,0)),"")="",0,IFERROR(N(VLOOKUP(SUBSTITUTE(SUBSTITUTE(SUBSTITUTE(IFERROR(INDEX('DADOS_FORMAS'!$AS$2:$AS$21,MATCH(SUBSTITUTE(SUBSTITUTE(SUBSTITUTE($MU41,"~","~~"),"*","~*"),"?","~?"),'DADOS_FORMAS'!$AH$2:$AH$21,0)),""),"~","~~"),"*","~*"),"?","~?"),'DADOS_RESTRICOES'!$M$2:$Q$54,4,FALSE)=1),0))+IF($NB41="",0,IFERROR(N(VLOOKUP(SUBSTITUTE(SUBSTITUTE(SUBSTITUTE($NB41,"~","~~"),"*","~*"),"?","~?"),'DADOS_RESTRICOES'!$M$2:$Q$54,4,FALSE)=1),0))+IF($NC41="",0,IFERROR(N(VLOOKUP(SUBSTITUTE(SUBSTITUTE(SUBSTITUTE($NC41,"~","~~"),"*","~*"),"?","~?"),'DADOS_RESTRICOES'!$M$2:$Q$54,4,FALSE)=1),0))&gt;1,"Duas Restrições de frequência, contando a embutida",""),IF(AND(IFERROR(VLOOKUP(SUBSTITUTE(SUBSTITUTE(SUBSTITUTE(IFERROR(INDEX('DADOS_FORMAS'!$AS$2:$AS$21,MATCH(SUBSTITUTE(SUBSTITUTE(SUBSTITUTE($MU41,"~","~~"),"*","~*"),"?","~?"),'DADOS_FORMAS'!$AH$2:$AH$21,0)),""),"~","~~"),"*","~*"),"?","~?"),'DADOS_RESTRICOES'!$M$2:$Q$54,2,FALSE),"")="Tudo ou Nada",$OH41=0),"Tudo ou Nada exige TR",""),IF(AND(IFERROR(VLOOKUP(SUBSTITUTE(SUBSTITUTE(SUBSTITUTE(IFERROR(INDEX('DADOS_FORMAS'!$AS$2:$AS$21,MATCH(SUBSTITUTE(SUBSTITUTE(SUBSTITUTE($MU41,"~","~~"),"*","~*"),"?","~?"),'DADOS_FORMAS'!$AH$2:$AH$21,0)),""),"~","~~"),"*","~*"),"?","~?"),'DADOS_RESTRICOES'!$M$2:$Q$54,2,FALSE),"")="Corpo a Corpo",OR($RO41="Cone",$RO41="Linha")),"Corpo a Corpo não entra em Cone/Linha","")))</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dela",IF(COUNTIF($RQ41:$RS41,"Atrasar")&gt;0,"Sua Ação Completa",IF(COUNTIF($RK41:$RN41,"Rápido")&gt;0,"Sua Bônus",IF(COUNTIF($RK41:$RN41,"Reação")&gt;0,"Sua Reação","Sua Padrão")))&amp;" + a básica dela"&amp;IF(COUNTIF($RK41:$RN41,"Reação")&gt;0," e a coletiva","")&amp;IF(COUNTIF($RQ41:$RS41,"Carregar")&gt;0," · em dois turnos","")))</f>
        <v/>
      </c>
      <c r="QC41" s="161">
        <f>IF($MW41&lt;&gt;"",$MW41,IF($NJ41=0,"",INDEX('DADOS_FORMAS'!$GE$2:$GE$21,$NJ41)))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IF($NJ41=0,0,CHOOSE(1+INDEX('DADOS_FORMAS'!$GG$2:$GG$21,$NJ41),0,$QF41,$QG41,$QF41+$QG41))</f>
        <v/>
      </c>
      <c r="QI41" s="161">
        <f>IF($NJ41=0,0,CHOOSE(1+INDEX('DADOS_FORMAS'!$GH$2:$GH$21,$NJ41),0,$QF41,$QG41,$QF41+$QG41))</f>
        <v/>
      </c>
      <c r="QJ41" s="161">
        <f>IF(OR($ND41=0,$NJ41=0),"",INDEX('DADOS_FORMAS'!$HU$2:$HZ$81,($NJ41-1)*4+IF($MS41=0,1,IF($MS41&lt;=5,2,IF($MS41=6,3,4))),1+MIN(5,$QH41))&amp;INDEX('DADOS_FORMAS'!$IA$2:$IF$81,($NJ41-1)*4+IF($MS41=0,1,IF($MS41&lt;=5,2,IF($MS41=6,3,4))),1+MIN(5,$QI41))&amp;IF(INDEX('DADOS_FORMAS'!$GI$2:$GI$21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c r="RO41">
        <f>IFERROR(INDEX('DADOS_FORMAS'!$BJ$2:$BJ$21,MATCH(SUBSTITUTE(SUBSTITUTE(SUBSTITUTE($MU41,"~","~~"),"*","~*"),"?","~?"),'DADOS_FORMAS'!$AH$2:$AH$21,0)),"")</f>
        <v/>
      </c>
      <c r="RP41">
        <f>IFERROR(VLOOKUP(SUBSTITUTE(SUBSTITUTE(SUBSTITUTE(IFERROR(INDEX('DADOS_FORMAS'!$AS$2:$AS$21,MATCH(SUBSTITUTE(SUBSTITUTE(SUBSTITUTE($MU41,"~","~~"),"*","~*"),"?","~?"),'DADOS_FORMAS'!$AH$2:$AH$21,0)),""),"~","~~"),"*","~*"),"?","~?"),'DADOS_RESTRICOES'!$M$2:$Q$54,2,FALSE),"")</f>
        <v/>
      </c>
      <c r="RQ41">
        <f>$OK41</f>
        <v/>
      </c>
      <c r="RR41">
        <f>$OL41</f>
        <v/>
      </c>
      <c r="RS41">
        <f>$RP41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IFERROR(MATCH(SUBSTITUTE(SUBSTITUTE(SUBSTITUTE($MU42,"~","~~"),"*","~*"),"?","~?"),'DADOS_FORMAS'!$FZ$2:$FZ$21,0),0)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IF($MS42=0,0,IF($NJ42=0,0,INDEX('DADOS_FORMAS'!$GB$2:$GB$21,$NJ42)))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IF($NJ42=0,0,IF(INDEX('DADOS_FORMAS'!$GA$2:$GA$21,$NJ42)="",0,IF((COUNTIF(INDEX($EL$2:$EP$13,$MO42,0),INDEX('DADOS_FORMAS'!$GA$2:$GA$21,$NJ42))+COUNTIF(INDEX($QV$2:$QY$13,$MO42,0),INDEX('DADOS_FORMAS'!$GA$2:$GA$21,$NJ42)))=0,1,0)))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IFERROR(N(AND(INDEX('DADOS_FORMAS'!$AO$2:$AO$21,MATCH(SUBSTITUTE(SUBSTITUTE(SUBSTITUTE($MU42,"~","~~"),"*","~*"),"?","~?"),'DADOS_FORMAS'!$AH$2:$AH$21,0))="Acerto",$OH42=1)),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IF($NJ42=0,0,INDEX('DADOS_FORMAS'!$GC$2:$GC$21,$NJ42))</f>
        <v/>
      </c>
      <c r="OG42" s="161">
        <f>IF($NJ42=0,0,INDEX('DADOS_FORMAS'!$GD$2:$GD$21,$NJ42))</f>
        <v/>
      </c>
      <c r="OH42" s="161">
        <f>IF($NJ42=0,0,INDEX('DADOS_FORMAS'!$GF$2:$GF$21,$NJ42))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IF(IFERROR(INDEX('DADOS_FORMAS'!$AS$2:$AS$21,MATCH(SUBSTITUTE(SUBSTITUTE(SUBSTITUTE($MU42,"~","~~"),"*","~*"),"?","~?"),'DADOS_FORMAS'!$AH$2:$AH$21,0)),"")="",0,IFERROR(N(VLOOKUP(SUBSTITUTE(SUBSTITUTE(SUBSTITUTE(IFERROR(INDEX('DADOS_FORMAS'!$AS$2:$AS$21,MATCH(SUBSTITUTE(SUBSTITUTE(SUBSTITUTE($MU42,"~","~~"),"*","~*"),"?","~?"),'DADOS_FORMAS'!$AH$2:$AH$21,0)),""),"~","~~"),"*","~*"),"?","~?"),'DADOS_RESTRICOES'!$M$2:$Q$54,3,FALSE)=1),0))</f>
        <v/>
      </c>
      <c r="OT42" s="161">
        <f>COUNTIF($OI42:$OJ42,2)+IF(IFERROR(INDEX('DADOS_FORMAS'!$AS$2:$AS$21,MATCH(SUBSTITUTE(SUBSTITUTE(SUBSTITUTE($MU42,"~","~~"),"*","~*"),"?","~?"),'DADOS_FORMAS'!$AH$2:$AH$21,0)),"")="",0,IFERROR(N(VLOOKUP(SUBSTITUTE(SUBSTITUTE(SUBSTITUTE(IFERROR(INDEX('DADOS_FORMAS'!$AS$2:$AS$21,MATCH(SUBSTITUTE(SUBSTITUTE(SUBSTITUTE($MU42,"~","~~"),"*","~*"),"?","~?"),'DADOS_FORMAS'!$AH$2:$AH$21,0)),""),"~","~~"),"*","~*"),"?","~?"),'DADOS_RESTRICOES'!$M$2:$Q$54,3,FALSE)=2),0))</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",TRUE,IF($ND42=0,"",TEXTJOIN(" · ",TRUE,IF($MQ42&gt;$NE42,"Este lugar abre no nível "&amp;$MQ42,""),IF($MS42&gt;$NF42,"Classe "&amp;$MS42&amp;": o nível "&amp;$NE42&amp;" libera até a "&amp;$NF42,""),IF($NX42=1,"A Forma "&amp;$MU42&amp;" pede "&amp;INDEX('DADOS_FORMAS'!$GA$2:$GA$21,$NJ42)&amp;" aberta",""),IF(AND($MS42=0,$NJ42&gt;0,IF($NJ42=0,0,INDEX('DADOS_FORMAS'!$GJ$2:$GJ$21,$NJ42))=0),$MU42&amp;"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Corpo")&gt;0,$OF42=0,OR($RO42="Cone",$RO42="Linha")),"Corpo a Corpo não entra em "&amp;$MU42,""),IF(AND(COUNTIF($OK42:$OL42,"Corpo a Corpo")&gt;0,$RP42="Corpo a Corpo"),"A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"&amp;$NC42,""))),IF(AND($MU42&lt;&gt;"",COUNTIF('DADOS_FORMAS'!$AH$2:$AH$21,SUBSTITUTE(SUBSTITUTE(SUBSTITUTE($MU42,"~","~~"),"*","~*"),"?","~?"))=0),"Forma não cadastrada ou com erro: "&amp;$MU42,""),IF(AND(IFERROR(INDEX('DADOS_FORMAS'!$AS$2:$AS$21,MATCH(SUBSTITUTE(SUBSTITUTE(SUBSTITUTE($MU42,"~","~~"),"*","~*"),"?","~?"),'DADOS_FORMAS'!$AH$2:$AH$21,0)),"")&lt;&gt;"",OR(IFERROR(VLOOKUP(SUBSTITUTE(SUBSTITUTE(SUBSTITUTE(IFERROR(INDEX('DADOS_FORMAS'!$AS$2:$AS$21,MATCH(SUBSTITUTE(SUBSTITUTE(SUBSTITUTE($MU42,"~","~~"),"*","~*"),"?","~?"),'DADOS_FORMAS'!$AH$2:$AH$21,0)),""),"~","~~"),"*","~*"),"?","~?"),'DADOS_RESTRICOES'!$M$2:$Q$54,2,FALSE),"")=$OK42,IFERROR(VLOOKUP(SUBSTITUTE(SUBSTITUTE(SUBSTITUTE(IFERROR(INDEX('DADOS_FORMAS'!$AS$2:$AS$21,MATCH(SUBSTITUTE(SUBSTITUTE(SUBSTITUTE($MU42,"~","~~"),"*","~*"),"?","~?"),'DADOS_FORMAS'!$AH$2:$AH$21,0)),""),"~","~~"),"*","~*"),"?","~?"),'DADOS_RESTRICOES'!$M$2:$Q$54,2,FALSE),"")=$OL42)),"Restrição repetida, contando a embutida",""),IF(IF(IFERROR(INDEX('DADOS_FORMAS'!$AS$2:$AS$21,MATCH(SUBSTITUTE(SUBSTITUTE(SUBSTITUTE($MU42,"~","~~"),"*","~*"),"?","~?"),'DADOS_FORMAS'!$AH$2:$AH$21,0)),"")="",0,IFERROR(N(VLOOKUP(SUBSTITUTE(SUBSTITUTE(SUBSTITUTE(IFERROR(INDEX('DADOS_FORMAS'!$AS$2:$AS$21,MATCH(SUBSTITUTE(SUBSTITUTE(SUBSTITUTE($MU42,"~","~~"),"*","~*"),"?","~?"),'DADOS_FORMAS'!$AH$2:$AH$21,0)),""),"~","~~"),"*","~*"),"?","~?"),'DADOS_RESTRICOES'!$M$2:$Q$54,4,FALSE)=1),0))+IF($NB42="",0,IFERROR(N(VLOOKUP(SUBSTITUTE(SUBSTITUTE(SUBSTITUTE($NB42,"~","~~"),"*","~*"),"?","~?"),'DADOS_RESTRICOES'!$M$2:$Q$54,4,FALSE)=1),0))+IF($NC42="",0,IFERROR(N(VLOOKUP(SUBSTITUTE(SUBSTITUTE(SUBSTITUTE($NC42,"~","~~"),"*","~*"),"?","~?"),'DADOS_RESTRICOES'!$M$2:$Q$54,4,FALSE)=1),0))&gt;1,"Duas Restrições de frequência, contando a embutida",""),IF(AND(IFERROR(VLOOKUP(SUBSTITUTE(SUBSTITUTE(SUBSTITUTE(IFERROR(INDEX('DADOS_FORMAS'!$AS$2:$AS$21,MATCH(SUBSTITUTE(SUBSTITUTE(SUBSTITUTE($MU42,"~","~~"),"*","~*"),"?","~?"),'DADOS_FORMAS'!$AH$2:$AH$21,0)),""),"~","~~"),"*","~*"),"?","~?"),'DADOS_RESTRICOES'!$M$2:$Q$54,2,FALSE),"")="Tudo ou Nada",$OH42=0),"Tudo ou Nada exige TR",""),IF(AND(IFERROR(VLOOKUP(SUBSTITUTE(SUBSTITUTE(SUBSTITUTE(IFERROR(INDEX('DADOS_FORMAS'!$AS$2:$AS$21,MATCH(SUBSTITUTE(SUBSTITUTE(SUBSTITUTE($MU42,"~","~~"),"*","~*"),"?","~?"),'DADOS_FORMAS'!$AH$2:$AH$21,0)),""),"~","~~"),"*","~*"),"?","~?"),'DADOS_RESTRICOES'!$M$2:$Q$54,2,FALSE),"")="Corpo a Corpo",OR($RO42="Cone",$RO42="Linha")),"Corpo a Corpo não entra em Cone/Linha","")))</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dela",IF(COUNTIF($RQ42:$RS42,"Atrasar")&gt;0,"Sua Ação Completa",IF(COUNTIF($RK42:$RN42,"Rápido")&gt;0,"Sua Bônus",IF(COUNTIF($RK42:$RN42,"Reação")&gt;0,"Sua Reação","Sua Padrão")))&amp;" + a básica dela"&amp;IF(COUNTIF($RK42:$RN42,"Reação")&gt;0," e a coletiva","")&amp;IF(COUNTIF($RQ42:$RS42,"Carregar")&gt;0," · em dois turnos","")))</f>
        <v/>
      </c>
      <c r="QC42" s="161">
        <f>IF($MW42&lt;&gt;"",$MW42,IF($NJ42=0,"",INDEX('DADOS_FORMAS'!$GE$2:$GE$21,$NJ42)))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IF($NJ42=0,0,CHOOSE(1+INDEX('DADOS_FORMAS'!$GG$2:$GG$21,$NJ42),0,$QF42,$QG42,$QF42+$QG42))</f>
        <v/>
      </c>
      <c r="QI42" s="161">
        <f>IF($NJ42=0,0,CHOOSE(1+INDEX('DADOS_FORMAS'!$GH$2:$GH$21,$NJ42),0,$QF42,$QG42,$QF42+$QG42))</f>
        <v/>
      </c>
      <c r="QJ42" s="161">
        <f>IF(OR($ND42=0,$NJ42=0),"",INDEX('DADOS_FORMAS'!$HU$2:$HZ$81,($NJ42-1)*4+IF($MS42=0,1,IF($MS42&lt;=5,2,IF($MS42=6,3,4))),1+MIN(5,$QH42))&amp;INDEX('DADOS_FORMAS'!$IA$2:$IF$81,($NJ42-1)*4+IF($MS42=0,1,IF($MS42&lt;=5,2,IF($MS42=6,3,4))),1+MIN(5,$QI42))&amp;IF(INDEX('DADOS_FORMAS'!$GI$2:$GI$21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c r="RO42">
        <f>IFERROR(INDEX('DADOS_FORMAS'!$BJ$2:$BJ$21,MATCH(SUBSTITUTE(SUBSTITUTE(SUBSTITUTE($MU42,"~","~~"),"*","~*"),"?","~?"),'DADOS_FORMAS'!$AH$2:$AH$21,0)),"")</f>
        <v/>
      </c>
      <c r="RP42">
        <f>IFERROR(VLOOKUP(SUBSTITUTE(SUBSTITUTE(SUBSTITUTE(IFERROR(INDEX('DADOS_FORMAS'!$AS$2:$AS$21,MATCH(SUBSTITUTE(SUBSTITUTE(SUBSTITUTE($MU42,"~","~~"),"*","~*"),"?","~?"),'DADOS_FORMAS'!$AH$2:$AH$21,0)),""),"~","~~"),"*","~*"),"?","~?"),'DADOS_RESTRICOES'!$M$2:$Q$54,2,FALSE),"")</f>
        <v/>
      </c>
      <c r="RQ42">
        <f>$OK42</f>
        <v/>
      </c>
      <c r="RR42">
        <f>$OL42</f>
        <v/>
      </c>
      <c r="RS42">
        <f>$RP42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IFERROR(MATCH(SUBSTITUTE(SUBSTITUTE(SUBSTITUTE($MU43,"~","~~"),"*","~*"),"?","~?"),'DADOS_FORMAS'!$FZ$2:$FZ$21,0),0)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IF($MS43=0,0,IF($NJ43=0,0,INDEX('DADOS_FORMAS'!$GB$2:$GB$21,$NJ43)))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IF($NJ43=0,0,IF(INDEX('DADOS_FORMAS'!$GA$2:$GA$21,$NJ43)="",0,IF((COUNTIF(INDEX($EL$2:$EP$13,$MO43,0),INDEX('DADOS_FORMAS'!$GA$2:$GA$21,$NJ43))+COUNTIF(INDEX($QV$2:$QY$13,$MO43,0),INDEX('DADOS_FORMAS'!$GA$2:$GA$21,$NJ43)))=0,1,0)))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IFERROR(N(AND(INDEX('DADOS_FORMAS'!$AO$2:$AO$21,MATCH(SUBSTITUTE(SUBSTITUTE(SUBSTITUTE($MU43,"~","~~"),"*","~*"),"?","~?"),'DADOS_FORMAS'!$AH$2:$AH$21,0))="Acerto",$OH43=1)),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IF($NJ43=0,0,INDEX('DADOS_FORMAS'!$GC$2:$GC$21,$NJ43))</f>
        <v/>
      </c>
      <c r="OG43" s="161">
        <f>IF($NJ43=0,0,INDEX('DADOS_FORMAS'!$GD$2:$GD$21,$NJ43))</f>
        <v/>
      </c>
      <c r="OH43" s="161">
        <f>IF($NJ43=0,0,INDEX('DADOS_FORMAS'!$GF$2:$GF$21,$NJ43))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IF(IFERROR(INDEX('DADOS_FORMAS'!$AS$2:$AS$21,MATCH(SUBSTITUTE(SUBSTITUTE(SUBSTITUTE($MU43,"~","~~"),"*","~*"),"?","~?"),'DADOS_FORMAS'!$AH$2:$AH$21,0)),"")="",0,IFERROR(N(VLOOKUP(SUBSTITUTE(SUBSTITUTE(SUBSTITUTE(IFERROR(INDEX('DADOS_FORMAS'!$AS$2:$AS$21,MATCH(SUBSTITUTE(SUBSTITUTE(SUBSTITUTE($MU43,"~","~~"),"*","~*"),"?","~?"),'DADOS_FORMAS'!$AH$2:$AH$21,0)),""),"~","~~"),"*","~*"),"?","~?"),'DADOS_RESTRICOES'!$M$2:$Q$54,3,FALSE)=1),0))</f>
        <v/>
      </c>
      <c r="OT43" s="161">
        <f>COUNTIF($OI43:$OJ43,2)+IF(IFERROR(INDEX('DADOS_FORMAS'!$AS$2:$AS$21,MATCH(SUBSTITUTE(SUBSTITUTE(SUBSTITUTE($MU43,"~","~~"),"*","~*"),"?","~?"),'DADOS_FORMAS'!$AH$2:$AH$21,0)),"")="",0,IFERROR(N(VLOOKUP(SUBSTITUTE(SUBSTITUTE(SUBSTITUTE(IFERROR(INDEX('DADOS_FORMAS'!$AS$2:$AS$21,MATCH(SUBSTITUTE(SUBSTITUTE(SUBSTITUTE($MU43,"~","~~"),"*","~*"),"?","~?"),'DADOS_FORMAS'!$AH$2:$AH$21,0)),""),"~","~~"),"*","~*"),"?","~?"),'DADOS_RESTRICOES'!$M$2:$Q$54,3,FALSE)=2),0))</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",TRUE,IF($ND43=0,"",TEXTJOIN(" · ",TRUE,IF($MQ43&gt;$NE43,"Este lugar abre no nível "&amp;$MQ43,""),IF($MS43&gt;$NF43,"Classe "&amp;$MS43&amp;": o nível "&amp;$NE43&amp;" libera até a "&amp;$NF43,""),IF($NX43=1,"A Forma "&amp;$MU43&amp;" pede "&amp;INDEX('DADOS_FORMAS'!$GA$2:$GA$21,$NJ43)&amp;" aberta",""),IF(AND($MS43=0,$NJ43&gt;0,IF($NJ43=0,0,INDEX('DADOS_FORMAS'!$GJ$2:$GJ$21,$NJ43))=0),$MU43&amp;"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Corpo")&gt;0,$OF43=0,OR($RO43="Cone",$RO43="Linha")),"Corpo a Corpo não entra em "&amp;$MU43,""),IF(AND(COUNTIF($OK43:$OL43,"Corpo a Corpo")&gt;0,$RP43="Corpo a Corpo"),"A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"&amp;$NC43,""))),IF(AND($MU43&lt;&gt;"",COUNTIF('DADOS_FORMAS'!$AH$2:$AH$21,SUBSTITUTE(SUBSTITUTE(SUBSTITUTE($MU43,"~","~~"),"*","~*"),"?","~?"))=0),"Forma não cadastrada ou com erro: "&amp;$MU43,""),IF(AND(IFERROR(INDEX('DADOS_FORMAS'!$AS$2:$AS$21,MATCH(SUBSTITUTE(SUBSTITUTE(SUBSTITUTE($MU43,"~","~~"),"*","~*"),"?","~?"),'DADOS_FORMAS'!$AH$2:$AH$21,0)),"")&lt;&gt;"",OR(IFERROR(VLOOKUP(SUBSTITUTE(SUBSTITUTE(SUBSTITUTE(IFERROR(INDEX('DADOS_FORMAS'!$AS$2:$AS$21,MATCH(SUBSTITUTE(SUBSTITUTE(SUBSTITUTE($MU43,"~","~~"),"*","~*"),"?","~?"),'DADOS_FORMAS'!$AH$2:$AH$21,0)),""),"~","~~"),"*","~*"),"?","~?"),'DADOS_RESTRICOES'!$M$2:$Q$54,2,FALSE),"")=$OK43,IFERROR(VLOOKUP(SUBSTITUTE(SUBSTITUTE(SUBSTITUTE(IFERROR(INDEX('DADOS_FORMAS'!$AS$2:$AS$21,MATCH(SUBSTITUTE(SUBSTITUTE(SUBSTITUTE($MU43,"~","~~"),"*","~*"),"?","~?"),'DADOS_FORMAS'!$AH$2:$AH$21,0)),""),"~","~~"),"*","~*"),"?","~?"),'DADOS_RESTRICOES'!$M$2:$Q$54,2,FALSE),"")=$OL43)),"Restrição repetida, contando a embutida",""),IF(IF(IFERROR(INDEX('DADOS_FORMAS'!$AS$2:$AS$21,MATCH(SUBSTITUTE(SUBSTITUTE(SUBSTITUTE($MU43,"~","~~"),"*","~*"),"?","~?"),'DADOS_FORMAS'!$AH$2:$AH$21,0)),"")="",0,IFERROR(N(VLOOKUP(SUBSTITUTE(SUBSTITUTE(SUBSTITUTE(IFERROR(INDEX('DADOS_FORMAS'!$AS$2:$AS$21,MATCH(SUBSTITUTE(SUBSTITUTE(SUBSTITUTE($MU43,"~","~~"),"*","~*"),"?","~?"),'DADOS_FORMAS'!$AH$2:$AH$21,0)),""),"~","~~"),"*","~*"),"?","~?"),'DADOS_RESTRICOES'!$M$2:$Q$54,4,FALSE)=1),0))+IF($NB43="",0,IFERROR(N(VLOOKUP(SUBSTITUTE(SUBSTITUTE(SUBSTITUTE($NB43,"~","~~"),"*","~*"),"?","~?"),'DADOS_RESTRICOES'!$M$2:$Q$54,4,FALSE)=1),0))+IF($NC43="",0,IFERROR(N(VLOOKUP(SUBSTITUTE(SUBSTITUTE(SUBSTITUTE($NC43,"~","~~"),"*","~*"),"?","~?"),'DADOS_RESTRICOES'!$M$2:$Q$54,4,FALSE)=1),0))&gt;1,"Duas Restrições de frequência, contando a embutida",""),IF(AND(IFERROR(VLOOKUP(SUBSTITUTE(SUBSTITUTE(SUBSTITUTE(IFERROR(INDEX('DADOS_FORMAS'!$AS$2:$AS$21,MATCH(SUBSTITUTE(SUBSTITUTE(SUBSTITUTE($MU43,"~","~~"),"*","~*"),"?","~?"),'DADOS_FORMAS'!$AH$2:$AH$21,0)),""),"~","~~"),"*","~*"),"?","~?"),'DADOS_RESTRICOES'!$M$2:$Q$54,2,FALSE),"")="Tudo ou Nada",$OH43=0),"Tudo ou Nada exige TR",""),IF(AND(IFERROR(VLOOKUP(SUBSTITUTE(SUBSTITUTE(SUBSTITUTE(IFERROR(INDEX('DADOS_FORMAS'!$AS$2:$AS$21,MATCH(SUBSTITUTE(SUBSTITUTE(SUBSTITUTE($MU43,"~","~~"),"*","~*"),"?","~?"),'DADOS_FORMAS'!$AH$2:$AH$21,0)),""),"~","~~"),"*","~*"),"?","~?"),'DADOS_RESTRICOES'!$M$2:$Q$54,2,FALSE),"")="Corpo a Corpo",OR($RO43="Cone",$RO43="Linha")),"Corpo a Corpo não entra em Cone/Linha","")))</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dela",IF(COUNTIF($RQ43:$RS43,"Atrasar")&gt;0,"Sua Ação Completa",IF(COUNTIF($RK43:$RN43,"Rápido")&gt;0,"Sua Bônus",IF(COUNTIF($RK43:$RN43,"Reação")&gt;0,"Sua Reação","Sua Padrão")))&amp;" + a básica dela"&amp;IF(COUNTIF($RK43:$RN43,"Reação")&gt;0," e a coletiva","")&amp;IF(COUNTIF($RQ43:$RS43,"Carregar")&gt;0," · em dois turnos","")))</f>
        <v/>
      </c>
      <c r="QC43" s="161">
        <f>IF($MW43&lt;&gt;"",$MW43,IF($NJ43=0,"",INDEX('DADOS_FORMAS'!$GE$2:$GE$21,$NJ43)))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IF($NJ43=0,0,CHOOSE(1+INDEX('DADOS_FORMAS'!$GG$2:$GG$21,$NJ43),0,$QF43,$QG43,$QF43+$QG43))</f>
        <v/>
      </c>
      <c r="QI43" s="161">
        <f>IF($NJ43=0,0,CHOOSE(1+INDEX('DADOS_FORMAS'!$GH$2:$GH$21,$NJ43),0,$QF43,$QG43,$QF43+$QG43))</f>
        <v/>
      </c>
      <c r="QJ43" s="161">
        <f>IF(OR($ND43=0,$NJ43=0),"",INDEX('DADOS_FORMAS'!$HU$2:$HZ$81,($NJ43-1)*4+IF($MS43=0,1,IF($MS43&lt;=5,2,IF($MS43=6,3,4))),1+MIN(5,$QH43))&amp;INDEX('DADOS_FORMAS'!$IA$2:$IF$81,($NJ43-1)*4+IF($MS43=0,1,IF($MS43&lt;=5,2,IF($MS43=6,3,4))),1+MIN(5,$QI43))&amp;IF(INDEX('DADOS_FORMAS'!$GI$2:$GI$21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c r="RO43">
        <f>IFERROR(INDEX('DADOS_FORMAS'!$BJ$2:$BJ$21,MATCH(SUBSTITUTE(SUBSTITUTE(SUBSTITUTE($MU43,"~","~~"),"*","~*"),"?","~?"),'DADOS_FORMAS'!$AH$2:$AH$21,0)),"")</f>
        <v/>
      </c>
      <c r="RP43">
        <f>IFERROR(VLOOKUP(SUBSTITUTE(SUBSTITUTE(SUBSTITUTE(IFERROR(INDEX('DADOS_FORMAS'!$AS$2:$AS$21,MATCH(SUBSTITUTE(SUBSTITUTE(SUBSTITUTE($MU43,"~","~~"),"*","~*"),"?","~?"),'DADOS_FORMAS'!$AH$2:$AH$21,0)),""),"~","~~"),"*","~*"),"?","~?"),'DADOS_RESTRICOES'!$M$2:$Q$54,2,FALSE),"")</f>
        <v/>
      </c>
      <c r="RQ43">
        <f>$OK43</f>
        <v/>
      </c>
      <c r="RR43">
        <f>$OL43</f>
        <v/>
      </c>
      <c r="RS43">
        <f>$RP43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IFERROR(MATCH(SUBSTITUTE(SUBSTITUTE(SUBSTITUTE($MU44,"~","~~"),"*","~*"),"?","~?"),'DADOS_FORMAS'!$FZ$2:$FZ$21,0),0)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IF($MS44=0,0,IF($NJ44=0,0,INDEX('DADOS_FORMAS'!$GB$2:$GB$21,$NJ44)))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IF($NJ44=0,0,IF(INDEX('DADOS_FORMAS'!$GA$2:$GA$21,$NJ44)="",0,IF((COUNTIF(INDEX($EL$2:$EP$13,$MO44,0),INDEX('DADOS_FORMAS'!$GA$2:$GA$21,$NJ44))+COUNTIF(INDEX($QV$2:$QY$13,$MO44,0),INDEX('DADOS_FORMAS'!$GA$2:$GA$21,$NJ44)))=0,1,0)))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IFERROR(N(AND(INDEX('DADOS_FORMAS'!$AO$2:$AO$21,MATCH(SUBSTITUTE(SUBSTITUTE(SUBSTITUTE($MU44,"~","~~"),"*","~*"),"?","~?"),'DADOS_FORMAS'!$AH$2:$AH$21,0))="Acerto",$OH44=1)),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IF($NJ44=0,0,INDEX('DADOS_FORMAS'!$GC$2:$GC$21,$NJ44))</f>
        <v/>
      </c>
      <c r="OG44" s="161">
        <f>IF($NJ44=0,0,INDEX('DADOS_FORMAS'!$GD$2:$GD$21,$NJ44))</f>
        <v/>
      </c>
      <c r="OH44" s="161">
        <f>IF($NJ44=0,0,INDEX('DADOS_FORMAS'!$GF$2:$GF$21,$NJ44))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IF(IFERROR(INDEX('DADOS_FORMAS'!$AS$2:$AS$21,MATCH(SUBSTITUTE(SUBSTITUTE(SUBSTITUTE($MU44,"~","~~"),"*","~*"),"?","~?"),'DADOS_FORMAS'!$AH$2:$AH$21,0)),"")="",0,IFERROR(N(VLOOKUP(SUBSTITUTE(SUBSTITUTE(SUBSTITUTE(IFERROR(INDEX('DADOS_FORMAS'!$AS$2:$AS$21,MATCH(SUBSTITUTE(SUBSTITUTE(SUBSTITUTE($MU44,"~","~~"),"*","~*"),"?","~?"),'DADOS_FORMAS'!$AH$2:$AH$21,0)),""),"~","~~"),"*","~*"),"?","~?"),'DADOS_RESTRICOES'!$M$2:$Q$54,3,FALSE)=1),0))</f>
        <v/>
      </c>
      <c r="OT44" s="161">
        <f>COUNTIF($OI44:$OJ44,2)+IF(IFERROR(INDEX('DADOS_FORMAS'!$AS$2:$AS$21,MATCH(SUBSTITUTE(SUBSTITUTE(SUBSTITUTE($MU44,"~","~~"),"*","~*"),"?","~?"),'DADOS_FORMAS'!$AH$2:$AH$21,0)),"")="",0,IFERROR(N(VLOOKUP(SUBSTITUTE(SUBSTITUTE(SUBSTITUTE(IFERROR(INDEX('DADOS_FORMAS'!$AS$2:$AS$21,MATCH(SUBSTITUTE(SUBSTITUTE(SUBSTITUTE($MU44,"~","~~"),"*","~*"),"?","~?"),'DADOS_FORMAS'!$AH$2:$AH$21,0)),""),"~","~~"),"*","~*"),"?","~?"),'DADOS_RESTRICOES'!$M$2:$Q$54,3,FALSE)=2),0))</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",TRUE,IF($ND44=0,"",TEXTJOIN(" · ",TRUE,IF($MQ44&gt;$NE44,"Este lugar abre no nível "&amp;$MQ44,""),IF($MS44&gt;$NF44,"Classe "&amp;$MS44&amp;": o nível "&amp;$NE44&amp;" libera até a "&amp;$NF44,""),IF($NX44=1,"A Forma "&amp;$MU44&amp;" pede "&amp;INDEX('DADOS_FORMAS'!$GA$2:$GA$21,$NJ44)&amp;" aberta",""),IF(AND($MS44=0,$NJ44&gt;0,IF($NJ44=0,0,INDEX('DADOS_FORMAS'!$GJ$2:$GJ$21,$NJ44))=0),$MU44&amp;"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Corpo")&gt;0,$OF44=0,OR($RO44="Cone",$RO44="Linha")),"Corpo a Corpo não entra em "&amp;$MU44,""),IF(AND(COUNTIF($OK44:$OL44,"Corpo a Corpo")&gt;0,$RP44="Corpo a Corpo"),"A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"&amp;$NC44,""))),IF(AND($MU44&lt;&gt;"",COUNTIF('DADOS_FORMAS'!$AH$2:$AH$21,SUBSTITUTE(SUBSTITUTE(SUBSTITUTE($MU44,"~","~~"),"*","~*"),"?","~?"))=0),"Forma não cadastrada ou com erro: "&amp;$MU44,""),IF(AND(IFERROR(INDEX('DADOS_FORMAS'!$AS$2:$AS$21,MATCH(SUBSTITUTE(SUBSTITUTE(SUBSTITUTE($MU44,"~","~~"),"*","~*"),"?","~?"),'DADOS_FORMAS'!$AH$2:$AH$21,0)),"")&lt;&gt;"",OR(IFERROR(VLOOKUP(SUBSTITUTE(SUBSTITUTE(SUBSTITUTE(IFERROR(INDEX('DADOS_FORMAS'!$AS$2:$AS$21,MATCH(SUBSTITUTE(SUBSTITUTE(SUBSTITUTE($MU44,"~","~~"),"*","~*"),"?","~?"),'DADOS_FORMAS'!$AH$2:$AH$21,0)),""),"~","~~"),"*","~*"),"?","~?"),'DADOS_RESTRICOES'!$M$2:$Q$54,2,FALSE),"")=$OK44,IFERROR(VLOOKUP(SUBSTITUTE(SUBSTITUTE(SUBSTITUTE(IFERROR(INDEX('DADOS_FORMAS'!$AS$2:$AS$21,MATCH(SUBSTITUTE(SUBSTITUTE(SUBSTITUTE($MU44,"~","~~"),"*","~*"),"?","~?"),'DADOS_FORMAS'!$AH$2:$AH$21,0)),""),"~","~~"),"*","~*"),"?","~?"),'DADOS_RESTRICOES'!$M$2:$Q$54,2,FALSE),"")=$OL44)),"Restrição repetida, contando a embutida",""),IF(IF(IFERROR(INDEX('DADOS_FORMAS'!$AS$2:$AS$21,MATCH(SUBSTITUTE(SUBSTITUTE(SUBSTITUTE($MU44,"~","~~"),"*","~*"),"?","~?"),'DADOS_FORMAS'!$AH$2:$AH$21,0)),"")="",0,IFERROR(N(VLOOKUP(SUBSTITUTE(SUBSTITUTE(SUBSTITUTE(IFERROR(INDEX('DADOS_FORMAS'!$AS$2:$AS$21,MATCH(SUBSTITUTE(SUBSTITUTE(SUBSTITUTE($MU44,"~","~~"),"*","~*"),"?","~?"),'DADOS_FORMAS'!$AH$2:$AH$21,0)),""),"~","~~"),"*","~*"),"?","~?"),'DADOS_RESTRICOES'!$M$2:$Q$54,4,FALSE)=1),0))+IF($NB44="",0,IFERROR(N(VLOOKUP(SUBSTITUTE(SUBSTITUTE(SUBSTITUTE($NB44,"~","~~"),"*","~*"),"?","~?"),'DADOS_RESTRICOES'!$M$2:$Q$54,4,FALSE)=1),0))+IF($NC44="",0,IFERROR(N(VLOOKUP(SUBSTITUTE(SUBSTITUTE(SUBSTITUTE($NC44,"~","~~"),"*","~*"),"?","~?"),'DADOS_RESTRICOES'!$M$2:$Q$54,4,FALSE)=1),0))&gt;1,"Duas Restrições de frequência, contando a embutida",""),IF(AND(IFERROR(VLOOKUP(SUBSTITUTE(SUBSTITUTE(SUBSTITUTE(IFERROR(INDEX('DADOS_FORMAS'!$AS$2:$AS$21,MATCH(SUBSTITUTE(SUBSTITUTE(SUBSTITUTE($MU44,"~","~~"),"*","~*"),"?","~?"),'DADOS_FORMAS'!$AH$2:$AH$21,0)),""),"~","~~"),"*","~*"),"?","~?"),'DADOS_RESTRICOES'!$M$2:$Q$54,2,FALSE),"")="Tudo ou Nada",$OH44=0),"Tudo ou Nada exige TR",""),IF(AND(IFERROR(VLOOKUP(SUBSTITUTE(SUBSTITUTE(SUBSTITUTE(IFERROR(INDEX('DADOS_FORMAS'!$AS$2:$AS$21,MATCH(SUBSTITUTE(SUBSTITUTE(SUBSTITUTE($MU44,"~","~~"),"*","~*"),"?","~?"),'DADOS_FORMAS'!$AH$2:$AH$21,0)),""),"~","~~"),"*","~*"),"?","~?"),'DADOS_RESTRICOES'!$M$2:$Q$54,2,FALSE),"")="Corpo a Corpo",OR($RO44="Cone",$RO44="Linha")),"Corpo a Corpo não entra em Cone/Linha","")))</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dela",IF(COUNTIF($RQ44:$RS44,"Atrasar")&gt;0,"Sua Ação Completa",IF(COUNTIF($RK44:$RN44,"Rápido")&gt;0,"Sua Bônus",IF(COUNTIF($RK44:$RN44,"Reação")&gt;0,"Sua Reação","Sua Padrão")))&amp;" + a básica dela"&amp;IF(COUNTIF($RK44:$RN44,"Reação")&gt;0," e a coletiva","")&amp;IF(COUNTIF($RQ44:$RS44,"Carregar")&gt;0," · em dois turnos","")))</f>
        <v/>
      </c>
      <c r="QC44" s="161">
        <f>IF($MW44&lt;&gt;"",$MW44,IF($NJ44=0,"",INDEX('DADOS_FORMAS'!$GE$2:$GE$21,$NJ44)))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IF($NJ44=0,0,CHOOSE(1+INDEX('DADOS_FORMAS'!$GG$2:$GG$21,$NJ44),0,$QF44,$QG44,$QF44+$QG44))</f>
        <v/>
      </c>
      <c r="QI44" s="161">
        <f>IF($NJ44=0,0,CHOOSE(1+INDEX('DADOS_FORMAS'!$GH$2:$GH$21,$NJ44),0,$QF44,$QG44,$QF44+$QG44))</f>
        <v/>
      </c>
      <c r="QJ44" s="161">
        <f>IF(OR($ND44=0,$NJ44=0),"",INDEX('DADOS_FORMAS'!$HU$2:$HZ$81,($NJ44-1)*4+IF($MS44=0,1,IF($MS44&lt;=5,2,IF($MS44=6,3,4))),1+MIN(5,$QH44))&amp;INDEX('DADOS_FORMAS'!$IA$2:$IF$81,($NJ44-1)*4+IF($MS44=0,1,IF($MS44&lt;=5,2,IF($MS44=6,3,4))),1+MIN(5,$QI44))&amp;IF(INDEX('DADOS_FORMAS'!$GI$2:$GI$21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c r="RO44">
        <f>IFERROR(INDEX('DADOS_FORMAS'!$BJ$2:$BJ$21,MATCH(SUBSTITUTE(SUBSTITUTE(SUBSTITUTE($MU44,"~","~~"),"*","~*"),"?","~?"),'DADOS_FORMAS'!$AH$2:$AH$21,0)),"")</f>
        <v/>
      </c>
      <c r="RP44">
        <f>IFERROR(VLOOKUP(SUBSTITUTE(SUBSTITUTE(SUBSTITUTE(IFERROR(INDEX('DADOS_FORMAS'!$AS$2:$AS$21,MATCH(SUBSTITUTE(SUBSTITUTE(SUBSTITUTE($MU44,"~","~~"),"*","~*"),"?","~?"),'DADOS_FORMAS'!$AH$2:$AH$21,0)),""),"~","~~"),"*","~*"),"?","~?"),'DADOS_RESTRICOES'!$M$2:$Q$54,2,FALSE),"")</f>
        <v/>
      </c>
      <c r="RQ44">
        <f>$OK44</f>
        <v/>
      </c>
      <c r="RR44">
        <f>$OL44</f>
        <v/>
      </c>
      <c r="RS44">
        <f>$RP44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IFERROR(MATCH(SUBSTITUTE(SUBSTITUTE(SUBSTITUTE($MU45,"~","~~"),"*","~*"),"?","~?"),'DADOS_FORMAS'!$FZ$2:$FZ$21,0),0)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IF($MS45=0,0,IF($NJ45=0,0,INDEX('DADOS_FORMAS'!$GB$2:$GB$21,$NJ45)))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IF($NJ45=0,0,IF(INDEX('DADOS_FORMAS'!$GA$2:$GA$21,$NJ45)="",0,IF((COUNTIF(INDEX($EL$2:$EP$13,$MO45,0),INDEX('DADOS_FORMAS'!$GA$2:$GA$21,$NJ45))+COUNTIF(INDEX($QV$2:$QY$13,$MO45,0),INDEX('DADOS_FORMAS'!$GA$2:$GA$21,$NJ45)))=0,1,0)))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IFERROR(N(AND(INDEX('DADOS_FORMAS'!$AO$2:$AO$21,MATCH(SUBSTITUTE(SUBSTITUTE(SUBSTITUTE($MU45,"~","~~"),"*","~*"),"?","~?"),'DADOS_FORMAS'!$AH$2:$AH$21,0))="Acerto",$OH45=1)),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IF($NJ45=0,0,INDEX('DADOS_FORMAS'!$GC$2:$GC$21,$NJ45))</f>
        <v/>
      </c>
      <c r="OG45" s="161">
        <f>IF($NJ45=0,0,INDEX('DADOS_FORMAS'!$GD$2:$GD$21,$NJ45))</f>
        <v/>
      </c>
      <c r="OH45" s="161">
        <f>IF($NJ45=0,0,INDEX('DADOS_FORMAS'!$GF$2:$GF$21,$NJ45))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IF(IFERROR(INDEX('DADOS_FORMAS'!$AS$2:$AS$21,MATCH(SUBSTITUTE(SUBSTITUTE(SUBSTITUTE($MU45,"~","~~"),"*","~*"),"?","~?"),'DADOS_FORMAS'!$AH$2:$AH$21,0)),"")="",0,IFERROR(N(VLOOKUP(SUBSTITUTE(SUBSTITUTE(SUBSTITUTE(IFERROR(INDEX('DADOS_FORMAS'!$AS$2:$AS$21,MATCH(SUBSTITUTE(SUBSTITUTE(SUBSTITUTE($MU45,"~","~~"),"*","~*"),"?","~?"),'DADOS_FORMAS'!$AH$2:$AH$21,0)),""),"~","~~"),"*","~*"),"?","~?"),'DADOS_RESTRICOES'!$M$2:$Q$54,3,FALSE)=1),0))</f>
        <v/>
      </c>
      <c r="OT45" s="161">
        <f>COUNTIF($OI45:$OJ45,2)+IF(IFERROR(INDEX('DADOS_FORMAS'!$AS$2:$AS$21,MATCH(SUBSTITUTE(SUBSTITUTE(SUBSTITUTE($MU45,"~","~~"),"*","~*"),"?","~?"),'DADOS_FORMAS'!$AH$2:$AH$21,0)),"")="",0,IFERROR(N(VLOOKUP(SUBSTITUTE(SUBSTITUTE(SUBSTITUTE(IFERROR(INDEX('DADOS_FORMAS'!$AS$2:$AS$21,MATCH(SUBSTITUTE(SUBSTITUTE(SUBSTITUTE($MU45,"~","~~"),"*","~*"),"?","~?"),'DADOS_FORMAS'!$AH$2:$AH$21,0)),""),"~","~~"),"*","~*"),"?","~?"),'DADOS_RESTRICOES'!$M$2:$Q$54,3,FALSE)=2),0))</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",TRUE,IF($ND45=0,"",TEXTJOIN(" · ",TRUE,IF($MQ45&gt;$NE45,"Este lugar abre no nível "&amp;$MQ45,""),IF($MS45&gt;$NF45,"Classe "&amp;$MS45&amp;": o nível "&amp;$NE45&amp;" libera até a "&amp;$NF45,""),IF($NX45=1,"A Forma "&amp;$MU45&amp;" pede "&amp;INDEX('DADOS_FORMAS'!$GA$2:$GA$21,$NJ45)&amp;" aberta",""),IF(AND($MS45=0,$NJ45&gt;0,IF($NJ45=0,0,INDEX('DADOS_FORMAS'!$GJ$2:$GJ$21,$NJ45))=0),$MU45&amp;"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Corpo")&gt;0,$OF45=0,OR($RO45="Cone",$RO45="Linha")),"Corpo a Corpo não entra em "&amp;$MU45,""),IF(AND(COUNTIF($OK45:$OL45,"Corpo a Corpo")&gt;0,$RP45="Corpo a Corpo"),"A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"&amp;$NC45,""))),IF(AND($MU45&lt;&gt;"",COUNTIF('DADOS_FORMAS'!$AH$2:$AH$21,SUBSTITUTE(SUBSTITUTE(SUBSTITUTE($MU45,"~","~~"),"*","~*"),"?","~?"))=0),"Forma não cadastrada ou com erro: "&amp;$MU45,""),IF(AND(IFERROR(INDEX('DADOS_FORMAS'!$AS$2:$AS$21,MATCH(SUBSTITUTE(SUBSTITUTE(SUBSTITUTE($MU45,"~","~~"),"*","~*"),"?","~?"),'DADOS_FORMAS'!$AH$2:$AH$21,0)),"")&lt;&gt;"",OR(IFERROR(VLOOKUP(SUBSTITUTE(SUBSTITUTE(SUBSTITUTE(IFERROR(INDEX('DADOS_FORMAS'!$AS$2:$AS$21,MATCH(SUBSTITUTE(SUBSTITUTE(SUBSTITUTE($MU45,"~","~~"),"*","~*"),"?","~?"),'DADOS_FORMAS'!$AH$2:$AH$21,0)),""),"~","~~"),"*","~*"),"?","~?"),'DADOS_RESTRICOES'!$M$2:$Q$54,2,FALSE),"")=$OK45,IFERROR(VLOOKUP(SUBSTITUTE(SUBSTITUTE(SUBSTITUTE(IFERROR(INDEX('DADOS_FORMAS'!$AS$2:$AS$21,MATCH(SUBSTITUTE(SUBSTITUTE(SUBSTITUTE($MU45,"~","~~"),"*","~*"),"?","~?"),'DADOS_FORMAS'!$AH$2:$AH$21,0)),""),"~","~~"),"*","~*"),"?","~?"),'DADOS_RESTRICOES'!$M$2:$Q$54,2,FALSE),"")=$OL45)),"Restrição repetida, contando a embutida",""),IF(IF(IFERROR(INDEX('DADOS_FORMAS'!$AS$2:$AS$21,MATCH(SUBSTITUTE(SUBSTITUTE(SUBSTITUTE($MU45,"~","~~"),"*","~*"),"?","~?"),'DADOS_FORMAS'!$AH$2:$AH$21,0)),"")="",0,IFERROR(N(VLOOKUP(SUBSTITUTE(SUBSTITUTE(SUBSTITUTE(IFERROR(INDEX('DADOS_FORMAS'!$AS$2:$AS$21,MATCH(SUBSTITUTE(SUBSTITUTE(SUBSTITUTE($MU45,"~","~~"),"*","~*"),"?","~?"),'DADOS_FORMAS'!$AH$2:$AH$21,0)),""),"~","~~"),"*","~*"),"?","~?"),'DADOS_RESTRICOES'!$M$2:$Q$54,4,FALSE)=1),0))+IF($NB45="",0,IFERROR(N(VLOOKUP(SUBSTITUTE(SUBSTITUTE(SUBSTITUTE($NB45,"~","~~"),"*","~*"),"?","~?"),'DADOS_RESTRICOES'!$M$2:$Q$54,4,FALSE)=1),0))+IF($NC45="",0,IFERROR(N(VLOOKUP(SUBSTITUTE(SUBSTITUTE(SUBSTITUTE($NC45,"~","~~"),"*","~*"),"?","~?"),'DADOS_RESTRICOES'!$M$2:$Q$54,4,FALSE)=1),0))&gt;1,"Duas Restrições de frequência, contando a embutida",""),IF(AND(IFERROR(VLOOKUP(SUBSTITUTE(SUBSTITUTE(SUBSTITUTE(IFERROR(INDEX('DADOS_FORMAS'!$AS$2:$AS$21,MATCH(SUBSTITUTE(SUBSTITUTE(SUBSTITUTE($MU45,"~","~~"),"*","~*"),"?","~?"),'DADOS_FORMAS'!$AH$2:$AH$21,0)),""),"~","~~"),"*","~*"),"?","~?"),'DADOS_RESTRICOES'!$M$2:$Q$54,2,FALSE),"")="Tudo ou Nada",$OH45=0),"Tudo ou Nada exige TR",""),IF(AND(IFERROR(VLOOKUP(SUBSTITUTE(SUBSTITUTE(SUBSTITUTE(IFERROR(INDEX('DADOS_FORMAS'!$AS$2:$AS$21,MATCH(SUBSTITUTE(SUBSTITUTE(SUBSTITUTE($MU45,"~","~~"),"*","~*"),"?","~?"),'DADOS_FORMAS'!$AH$2:$AH$21,0)),""),"~","~~"),"*","~*"),"?","~?"),'DADOS_RESTRICOES'!$M$2:$Q$54,2,FALSE),"")="Corpo a Corpo",OR($RO45="Cone",$RO45="Linha")),"Corpo a Corpo não entra em Cone/Linha","")))</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dela",IF(COUNTIF($RQ45:$RS45,"Atrasar")&gt;0,"Sua Ação Completa",IF(COUNTIF($RK45:$RN45,"Rápido")&gt;0,"Sua Bônus",IF(COUNTIF($RK45:$RN45,"Reação")&gt;0,"Sua Reação","Sua Padrão")))&amp;" + a básica dela"&amp;IF(COUNTIF($RK45:$RN45,"Reação")&gt;0," e a coletiva","")&amp;IF(COUNTIF($RQ45:$RS45,"Carregar")&gt;0," · em dois turnos","")))</f>
        <v/>
      </c>
      <c r="QC45" s="161">
        <f>IF($MW45&lt;&gt;"",$MW45,IF($NJ45=0,"",INDEX('DADOS_FORMAS'!$GE$2:$GE$21,$NJ45)))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IF($NJ45=0,0,CHOOSE(1+INDEX('DADOS_FORMAS'!$GG$2:$GG$21,$NJ45),0,$QF45,$QG45,$QF45+$QG45))</f>
        <v/>
      </c>
      <c r="QI45" s="161">
        <f>IF($NJ45=0,0,CHOOSE(1+INDEX('DADOS_FORMAS'!$GH$2:$GH$21,$NJ45),0,$QF45,$QG45,$QF45+$QG45))</f>
        <v/>
      </c>
      <c r="QJ45" s="161">
        <f>IF(OR($ND45=0,$NJ45=0),"",INDEX('DADOS_FORMAS'!$HU$2:$HZ$81,($NJ45-1)*4+IF($MS45=0,1,IF($MS45&lt;=5,2,IF($MS45=6,3,4))),1+MIN(5,$QH45))&amp;INDEX('DADOS_FORMAS'!$IA$2:$IF$81,($NJ45-1)*4+IF($MS45=0,1,IF($MS45&lt;=5,2,IF($MS45=6,3,4))),1+MIN(5,$QI45))&amp;IF(INDEX('DADOS_FORMAS'!$GI$2:$GI$21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c r="RO45">
        <f>IFERROR(INDEX('DADOS_FORMAS'!$BJ$2:$BJ$21,MATCH(SUBSTITUTE(SUBSTITUTE(SUBSTITUTE($MU45,"~","~~"),"*","~*"),"?","~?"),'DADOS_FORMAS'!$AH$2:$AH$21,0)),"")</f>
        <v/>
      </c>
      <c r="RP45">
        <f>IFERROR(VLOOKUP(SUBSTITUTE(SUBSTITUTE(SUBSTITUTE(IFERROR(INDEX('DADOS_FORMAS'!$AS$2:$AS$21,MATCH(SUBSTITUTE(SUBSTITUTE(SUBSTITUTE($MU45,"~","~~"),"*","~*"),"?","~?"),'DADOS_FORMAS'!$AH$2:$AH$21,0)),""),"~","~~"),"*","~*"),"?","~?"),'DADOS_RESTRICOES'!$M$2:$Q$54,2,FALSE),"")</f>
        <v/>
      </c>
      <c r="RQ45">
        <f>$OK45</f>
        <v/>
      </c>
      <c r="RR45">
        <f>$OL45</f>
        <v/>
      </c>
      <c r="RS45">
        <f>$RP45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IFERROR(MATCH(SUBSTITUTE(SUBSTITUTE(SUBSTITUTE($MU46,"~","~~"),"*","~*"),"?","~?"),'DADOS_FORMAS'!$FZ$2:$FZ$21,0),0)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IF($MS46=0,0,IF($NJ46=0,0,INDEX('DADOS_FORMAS'!$GB$2:$GB$21,$NJ46)))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IF($NJ46=0,0,IF(INDEX('DADOS_FORMAS'!$GA$2:$GA$21,$NJ46)="",0,IF((COUNTIF(INDEX($EL$2:$EP$13,$MO46,0),INDEX('DADOS_FORMAS'!$GA$2:$GA$21,$NJ46))+COUNTIF(INDEX($QV$2:$QY$13,$MO46,0),INDEX('DADOS_FORMAS'!$GA$2:$GA$21,$NJ46)))=0,1,0)))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IFERROR(N(AND(INDEX('DADOS_FORMAS'!$AO$2:$AO$21,MATCH(SUBSTITUTE(SUBSTITUTE(SUBSTITUTE($MU46,"~","~~"),"*","~*"),"?","~?"),'DADOS_FORMAS'!$AH$2:$AH$21,0))="Acerto",$OH46=1)),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IF($NJ46=0,0,INDEX('DADOS_FORMAS'!$GC$2:$GC$21,$NJ46))</f>
        <v/>
      </c>
      <c r="OG46" s="161">
        <f>IF($NJ46=0,0,INDEX('DADOS_FORMAS'!$GD$2:$GD$21,$NJ46))</f>
        <v/>
      </c>
      <c r="OH46" s="161">
        <f>IF($NJ46=0,0,INDEX('DADOS_FORMAS'!$GF$2:$GF$21,$NJ46))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IF(IFERROR(INDEX('DADOS_FORMAS'!$AS$2:$AS$21,MATCH(SUBSTITUTE(SUBSTITUTE(SUBSTITUTE($MU46,"~","~~"),"*","~*"),"?","~?"),'DADOS_FORMAS'!$AH$2:$AH$21,0)),"")="",0,IFERROR(N(VLOOKUP(SUBSTITUTE(SUBSTITUTE(SUBSTITUTE(IFERROR(INDEX('DADOS_FORMAS'!$AS$2:$AS$21,MATCH(SUBSTITUTE(SUBSTITUTE(SUBSTITUTE($MU46,"~","~~"),"*","~*"),"?","~?"),'DADOS_FORMAS'!$AH$2:$AH$21,0)),""),"~","~~"),"*","~*"),"?","~?"),'DADOS_RESTRICOES'!$M$2:$Q$54,3,FALSE)=1),0))</f>
        <v/>
      </c>
      <c r="OT46" s="161">
        <f>COUNTIF($OI46:$OJ46,2)+IF(IFERROR(INDEX('DADOS_FORMAS'!$AS$2:$AS$21,MATCH(SUBSTITUTE(SUBSTITUTE(SUBSTITUTE($MU46,"~","~~"),"*","~*"),"?","~?"),'DADOS_FORMAS'!$AH$2:$AH$21,0)),"")="",0,IFERROR(N(VLOOKUP(SUBSTITUTE(SUBSTITUTE(SUBSTITUTE(IFERROR(INDEX('DADOS_FORMAS'!$AS$2:$AS$21,MATCH(SUBSTITUTE(SUBSTITUTE(SUBSTITUTE($MU46,"~","~~"),"*","~*"),"?","~?"),'DADOS_FORMAS'!$AH$2:$AH$21,0)),""),"~","~~"),"*","~*"),"?","~?"),'DADOS_RESTRICOES'!$M$2:$Q$54,3,FALSE)=2),0))</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",TRUE,IF($ND46=0,"",TEXTJOIN(" · ",TRUE,IF($MQ46&gt;$NE46,"Este lugar abre no nível "&amp;$MQ46,""),IF($MS46&gt;$NF46,"Classe "&amp;$MS46&amp;": o nível "&amp;$NE46&amp;" libera até a "&amp;$NF46,""),IF($NX46=1,"A Forma "&amp;$MU46&amp;" pede "&amp;INDEX('DADOS_FORMAS'!$GA$2:$GA$21,$NJ46)&amp;" aberta",""),IF(AND($MS46=0,$NJ46&gt;0,IF($NJ46=0,0,INDEX('DADOS_FORMAS'!$GJ$2:$GJ$21,$NJ46))=0),$MU46&amp;"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Corpo")&gt;0,$OF46=0,OR($RO46="Cone",$RO46="Linha")),"Corpo a Corpo não entra em "&amp;$MU46,""),IF(AND(COUNTIF($OK46:$OL46,"Corpo a Corpo")&gt;0,$RP46="Corpo a Corpo"),"A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"&amp;$NC46,""))),IF(AND($MU46&lt;&gt;"",COUNTIF('DADOS_FORMAS'!$AH$2:$AH$21,SUBSTITUTE(SUBSTITUTE(SUBSTITUTE($MU46,"~","~~"),"*","~*"),"?","~?"))=0),"Forma não cadastrada ou com erro: "&amp;$MU46,""),IF(AND(IFERROR(INDEX('DADOS_FORMAS'!$AS$2:$AS$21,MATCH(SUBSTITUTE(SUBSTITUTE(SUBSTITUTE($MU46,"~","~~"),"*","~*"),"?","~?"),'DADOS_FORMAS'!$AH$2:$AH$21,0)),"")&lt;&gt;"",OR(IFERROR(VLOOKUP(SUBSTITUTE(SUBSTITUTE(SUBSTITUTE(IFERROR(INDEX('DADOS_FORMAS'!$AS$2:$AS$21,MATCH(SUBSTITUTE(SUBSTITUTE(SUBSTITUTE($MU46,"~","~~"),"*","~*"),"?","~?"),'DADOS_FORMAS'!$AH$2:$AH$21,0)),""),"~","~~"),"*","~*"),"?","~?"),'DADOS_RESTRICOES'!$M$2:$Q$54,2,FALSE),"")=$OK46,IFERROR(VLOOKUP(SUBSTITUTE(SUBSTITUTE(SUBSTITUTE(IFERROR(INDEX('DADOS_FORMAS'!$AS$2:$AS$21,MATCH(SUBSTITUTE(SUBSTITUTE(SUBSTITUTE($MU46,"~","~~"),"*","~*"),"?","~?"),'DADOS_FORMAS'!$AH$2:$AH$21,0)),""),"~","~~"),"*","~*"),"?","~?"),'DADOS_RESTRICOES'!$M$2:$Q$54,2,FALSE),"")=$OL46)),"Restrição repetida, contando a embutida",""),IF(IF(IFERROR(INDEX('DADOS_FORMAS'!$AS$2:$AS$21,MATCH(SUBSTITUTE(SUBSTITUTE(SUBSTITUTE($MU46,"~","~~"),"*","~*"),"?","~?"),'DADOS_FORMAS'!$AH$2:$AH$21,0)),"")="",0,IFERROR(N(VLOOKUP(SUBSTITUTE(SUBSTITUTE(SUBSTITUTE(IFERROR(INDEX('DADOS_FORMAS'!$AS$2:$AS$21,MATCH(SUBSTITUTE(SUBSTITUTE(SUBSTITUTE($MU46,"~","~~"),"*","~*"),"?","~?"),'DADOS_FORMAS'!$AH$2:$AH$21,0)),""),"~","~~"),"*","~*"),"?","~?"),'DADOS_RESTRICOES'!$M$2:$Q$54,4,FALSE)=1),0))+IF($NB46="",0,IFERROR(N(VLOOKUP(SUBSTITUTE(SUBSTITUTE(SUBSTITUTE($NB46,"~","~~"),"*","~*"),"?","~?"),'DADOS_RESTRICOES'!$M$2:$Q$54,4,FALSE)=1),0))+IF($NC46="",0,IFERROR(N(VLOOKUP(SUBSTITUTE(SUBSTITUTE(SUBSTITUTE($NC46,"~","~~"),"*","~*"),"?","~?"),'DADOS_RESTRICOES'!$M$2:$Q$54,4,FALSE)=1),0))&gt;1,"Duas Restrições de frequência, contando a embutida",""),IF(AND(IFERROR(VLOOKUP(SUBSTITUTE(SUBSTITUTE(SUBSTITUTE(IFERROR(INDEX('DADOS_FORMAS'!$AS$2:$AS$21,MATCH(SUBSTITUTE(SUBSTITUTE(SUBSTITUTE($MU46,"~","~~"),"*","~*"),"?","~?"),'DADOS_FORMAS'!$AH$2:$AH$21,0)),""),"~","~~"),"*","~*"),"?","~?"),'DADOS_RESTRICOES'!$M$2:$Q$54,2,FALSE),"")="Tudo ou Nada",$OH46=0),"Tudo ou Nada exige TR",""),IF(AND(IFERROR(VLOOKUP(SUBSTITUTE(SUBSTITUTE(SUBSTITUTE(IFERROR(INDEX('DADOS_FORMAS'!$AS$2:$AS$21,MATCH(SUBSTITUTE(SUBSTITUTE(SUBSTITUTE($MU46,"~","~~"),"*","~*"),"?","~?"),'DADOS_FORMAS'!$AH$2:$AH$21,0)),""),"~","~~"),"*","~*"),"?","~?"),'DADOS_RESTRICOES'!$M$2:$Q$54,2,FALSE),"")="Corpo a Corpo",OR($RO46="Cone",$RO46="Linha")),"Corpo a Corpo não entra em Cone/Linha","")))</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dela",IF(COUNTIF($RQ46:$RS46,"Atrasar")&gt;0,"Sua Ação Completa",IF(COUNTIF($RK46:$RN46,"Rápido")&gt;0,"Sua Bônus",IF(COUNTIF($RK46:$RN46,"Reação")&gt;0,"Sua Reação","Sua Padrão")))&amp;" + a básica dela"&amp;IF(COUNTIF($RK46:$RN46,"Reação")&gt;0," e a coletiva","")&amp;IF(COUNTIF($RQ46:$RS46,"Carregar")&gt;0," · em dois turnos","")))</f>
        <v/>
      </c>
      <c r="QC46" s="161">
        <f>IF($MW46&lt;&gt;"",$MW46,IF($NJ46=0,"",INDEX('DADOS_FORMAS'!$GE$2:$GE$21,$NJ46)))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IF($NJ46=0,0,CHOOSE(1+INDEX('DADOS_FORMAS'!$GG$2:$GG$21,$NJ46),0,$QF46,$QG46,$QF46+$QG46))</f>
        <v/>
      </c>
      <c r="QI46" s="161">
        <f>IF($NJ46=0,0,CHOOSE(1+INDEX('DADOS_FORMAS'!$GH$2:$GH$21,$NJ46),0,$QF46,$QG46,$QF46+$QG46))</f>
        <v/>
      </c>
      <c r="QJ46" s="161">
        <f>IF(OR($ND46=0,$NJ46=0),"",INDEX('DADOS_FORMAS'!$HU$2:$HZ$81,($NJ46-1)*4+IF($MS46=0,1,IF($MS46&lt;=5,2,IF($MS46=6,3,4))),1+MIN(5,$QH46))&amp;INDEX('DADOS_FORMAS'!$IA$2:$IF$81,($NJ46-1)*4+IF($MS46=0,1,IF($MS46&lt;=5,2,IF($MS46=6,3,4))),1+MIN(5,$QI46))&amp;IF(INDEX('DADOS_FORMAS'!$GI$2:$GI$21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c r="RO46">
        <f>IFERROR(INDEX('DADOS_FORMAS'!$BJ$2:$BJ$21,MATCH(SUBSTITUTE(SUBSTITUTE(SUBSTITUTE($MU46,"~","~~"),"*","~*"),"?","~?"),'DADOS_FORMAS'!$AH$2:$AH$21,0)),"")</f>
        <v/>
      </c>
      <c r="RP46">
        <f>IFERROR(VLOOKUP(SUBSTITUTE(SUBSTITUTE(SUBSTITUTE(IFERROR(INDEX('DADOS_FORMAS'!$AS$2:$AS$21,MATCH(SUBSTITUTE(SUBSTITUTE(SUBSTITUTE($MU46,"~","~~"),"*","~*"),"?","~?"),'DADOS_FORMAS'!$AH$2:$AH$21,0)),""),"~","~~"),"*","~*"),"?","~?"),'DADOS_RESTRICOES'!$M$2:$Q$54,2,FALSE),"")</f>
        <v/>
      </c>
      <c r="RQ46">
        <f>$OK46</f>
        <v/>
      </c>
      <c r="RR46">
        <f>$OL46</f>
        <v/>
      </c>
      <c r="RS46">
        <f>$RP46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IFERROR(MATCH(SUBSTITUTE(SUBSTITUTE(SUBSTITUTE($MU47,"~","~~"),"*","~*"),"?","~?"),'DADOS_FORMAS'!$FZ$2:$FZ$21,0),0)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IF($MS47=0,0,IF($NJ47=0,0,INDEX('DADOS_FORMAS'!$GB$2:$GB$21,$NJ47)))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IF($NJ47=0,0,IF(INDEX('DADOS_FORMAS'!$GA$2:$GA$21,$NJ47)="",0,IF((COUNTIF(INDEX($EL$2:$EP$13,$MO47,0),INDEX('DADOS_FORMAS'!$GA$2:$GA$21,$NJ47))+COUNTIF(INDEX($QV$2:$QY$13,$MO47,0),INDEX('DADOS_FORMAS'!$GA$2:$GA$21,$NJ47)))=0,1,0)))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IFERROR(N(AND(INDEX('DADOS_FORMAS'!$AO$2:$AO$21,MATCH(SUBSTITUTE(SUBSTITUTE(SUBSTITUTE($MU47,"~","~~"),"*","~*"),"?","~?"),'DADOS_FORMAS'!$AH$2:$AH$21,0))="Acerto",$OH47=1)),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IF($NJ47=0,0,INDEX('DADOS_FORMAS'!$GC$2:$GC$21,$NJ47))</f>
        <v/>
      </c>
      <c r="OG47" s="161">
        <f>IF($NJ47=0,0,INDEX('DADOS_FORMAS'!$GD$2:$GD$21,$NJ47))</f>
        <v/>
      </c>
      <c r="OH47" s="161">
        <f>IF($NJ47=0,0,INDEX('DADOS_FORMAS'!$GF$2:$GF$21,$NJ47))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IF(IFERROR(INDEX('DADOS_FORMAS'!$AS$2:$AS$21,MATCH(SUBSTITUTE(SUBSTITUTE(SUBSTITUTE($MU47,"~","~~"),"*","~*"),"?","~?"),'DADOS_FORMAS'!$AH$2:$AH$21,0)),"")="",0,IFERROR(N(VLOOKUP(SUBSTITUTE(SUBSTITUTE(SUBSTITUTE(IFERROR(INDEX('DADOS_FORMAS'!$AS$2:$AS$21,MATCH(SUBSTITUTE(SUBSTITUTE(SUBSTITUTE($MU47,"~","~~"),"*","~*"),"?","~?"),'DADOS_FORMAS'!$AH$2:$AH$21,0)),""),"~","~~"),"*","~*"),"?","~?"),'DADOS_RESTRICOES'!$M$2:$Q$54,3,FALSE)=1),0))</f>
        <v/>
      </c>
      <c r="OT47" s="161">
        <f>COUNTIF($OI47:$OJ47,2)+IF(IFERROR(INDEX('DADOS_FORMAS'!$AS$2:$AS$21,MATCH(SUBSTITUTE(SUBSTITUTE(SUBSTITUTE($MU47,"~","~~"),"*","~*"),"?","~?"),'DADOS_FORMAS'!$AH$2:$AH$21,0)),"")="",0,IFERROR(N(VLOOKUP(SUBSTITUTE(SUBSTITUTE(SUBSTITUTE(IFERROR(INDEX('DADOS_FORMAS'!$AS$2:$AS$21,MATCH(SUBSTITUTE(SUBSTITUTE(SUBSTITUTE($MU47,"~","~~"),"*","~*"),"?","~?"),'DADOS_FORMAS'!$AH$2:$AH$21,0)),""),"~","~~"),"*","~*"),"?","~?"),'DADOS_RESTRICOES'!$M$2:$Q$54,3,FALSE)=2),0))</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",TRUE,IF($ND47=0,"",TEXTJOIN(" · ",TRUE,IF($MQ47&gt;$NE47,"Este lugar abre no nível "&amp;$MQ47,""),IF($MS47&gt;$NF47,"Classe "&amp;$MS47&amp;": o nível "&amp;$NE47&amp;" libera até a "&amp;$NF47,""),IF($NX47=1,"A Forma "&amp;$MU47&amp;" pede "&amp;INDEX('DADOS_FORMAS'!$GA$2:$GA$21,$NJ47)&amp;" aberta",""),IF(AND($MS47=0,$NJ47&gt;0,IF($NJ47=0,0,INDEX('DADOS_FORMAS'!$GJ$2:$GJ$21,$NJ47))=0),$MU47&amp;"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Corpo")&gt;0,$OF47=0,OR($RO47="Cone",$RO47="Linha")),"Corpo a Corpo não entra em "&amp;$MU47,""),IF(AND(COUNTIF($OK47:$OL47,"Corpo a Corpo")&gt;0,$RP47="Corpo a Corpo"),"A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"&amp;$NC47,""))),IF(AND($MU47&lt;&gt;"",COUNTIF('DADOS_FORMAS'!$AH$2:$AH$21,SUBSTITUTE(SUBSTITUTE(SUBSTITUTE($MU47,"~","~~"),"*","~*"),"?","~?"))=0),"Forma não cadastrada ou com erro: "&amp;$MU47,""),IF(AND(IFERROR(INDEX('DADOS_FORMAS'!$AS$2:$AS$21,MATCH(SUBSTITUTE(SUBSTITUTE(SUBSTITUTE($MU47,"~","~~"),"*","~*"),"?","~?"),'DADOS_FORMAS'!$AH$2:$AH$21,0)),"")&lt;&gt;"",OR(IFERROR(VLOOKUP(SUBSTITUTE(SUBSTITUTE(SUBSTITUTE(IFERROR(INDEX('DADOS_FORMAS'!$AS$2:$AS$21,MATCH(SUBSTITUTE(SUBSTITUTE(SUBSTITUTE($MU47,"~","~~"),"*","~*"),"?","~?"),'DADOS_FORMAS'!$AH$2:$AH$21,0)),""),"~","~~"),"*","~*"),"?","~?"),'DADOS_RESTRICOES'!$M$2:$Q$54,2,FALSE),"")=$OK47,IFERROR(VLOOKUP(SUBSTITUTE(SUBSTITUTE(SUBSTITUTE(IFERROR(INDEX('DADOS_FORMAS'!$AS$2:$AS$21,MATCH(SUBSTITUTE(SUBSTITUTE(SUBSTITUTE($MU47,"~","~~"),"*","~*"),"?","~?"),'DADOS_FORMAS'!$AH$2:$AH$21,0)),""),"~","~~"),"*","~*"),"?","~?"),'DADOS_RESTRICOES'!$M$2:$Q$54,2,FALSE),"")=$OL47)),"Restrição repetida, contando a embutida",""),IF(IF(IFERROR(INDEX('DADOS_FORMAS'!$AS$2:$AS$21,MATCH(SUBSTITUTE(SUBSTITUTE(SUBSTITUTE($MU47,"~","~~"),"*","~*"),"?","~?"),'DADOS_FORMAS'!$AH$2:$AH$21,0)),"")="",0,IFERROR(N(VLOOKUP(SUBSTITUTE(SUBSTITUTE(SUBSTITUTE(IFERROR(INDEX('DADOS_FORMAS'!$AS$2:$AS$21,MATCH(SUBSTITUTE(SUBSTITUTE(SUBSTITUTE($MU47,"~","~~"),"*","~*"),"?","~?"),'DADOS_FORMAS'!$AH$2:$AH$21,0)),""),"~","~~"),"*","~*"),"?","~?"),'DADOS_RESTRICOES'!$M$2:$Q$54,4,FALSE)=1),0))+IF($NB47="",0,IFERROR(N(VLOOKUP(SUBSTITUTE(SUBSTITUTE(SUBSTITUTE($NB47,"~","~~"),"*","~*"),"?","~?"),'DADOS_RESTRICOES'!$M$2:$Q$54,4,FALSE)=1),0))+IF($NC47="",0,IFERROR(N(VLOOKUP(SUBSTITUTE(SUBSTITUTE(SUBSTITUTE($NC47,"~","~~"),"*","~*"),"?","~?"),'DADOS_RESTRICOES'!$M$2:$Q$54,4,FALSE)=1),0))&gt;1,"Duas Restrições de frequência, contando a embutida",""),IF(AND(IFERROR(VLOOKUP(SUBSTITUTE(SUBSTITUTE(SUBSTITUTE(IFERROR(INDEX('DADOS_FORMAS'!$AS$2:$AS$21,MATCH(SUBSTITUTE(SUBSTITUTE(SUBSTITUTE($MU47,"~","~~"),"*","~*"),"?","~?"),'DADOS_FORMAS'!$AH$2:$AH$21,0)),""),"~","~~"),"*","~*"),"?","~?"),'DADOS_RESTRICOES'!$M$2:$Q$54,2,FALSE),"")="Tudo ou Nada",$OH47=0),"Tudo ou Nada exige TR",""),IF(AND(IFERROR(VLOOKUP(SUBSTITUTE(SUBSTITUTE(SUBSTITUTE(IFERROR(INDEX('DADOS_FORMAS'!$AS$2:$AS$21,MATCH(SUBSTITUTE(SUBSTITUTE(SUBSTITUTE($MU47,"~","~~"),"*","~*"),"?","~?"),'DADOS_FORMAS'!$AH$2:$AH$21,0)),""),"~","~~"),"*","~*"),"?","~?"),'DADOS_RESTRICOES'!$M$2:$Q$54,2,FALSE),"")="Corpo a Corpo",OR($RO47="Cone",$RO47="Linha")),"Corpo a Corpo não entra em Cone/Linha","")))</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dela",IF(COUNTIF($RQ47:$RS47,"Atrasar")&gt;0,"Sua Ação Completa",IF(COUNTIF($RK47:$RN47,"Rápido")&gt;0,"Sua Bônus",IF(COUNTIF($RK47:$RN47,"Reação")&gt;0,"Sua Reação","Sua Padrão")))&amp;" + a básica dela"&amp;IF(COUNTIF($RK47:$RN47,"Reação")&gt;0," e a coletiva","")&amp;IF(COUNTIF($RQ47:$RS47,"Carregar")&gt;0," · em dois turnos","")))</f>
        <v/>
      </c>
      <c r="QC47" s="161">
        <f>IF($MW47&lt;&gt;"",$MW47,IF($NJ47=0,"",INDEX('DADOS_FORMAS'!$GE$2:$GE$21,$NJ47)))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IF($NJ47=0,0,CHOOSE(1+INDEX('DADOS_FORMAS'!$GG$2:$GG$21,$NJ47),0,$QF47,$QG47,$QF47+$QG47))</f>
        <v/>
      </c>
      <c r="QI47" s="161">
        <f>IF($NJ47=0,0,CHOOSE(1+INDEX('DADOS_FORMAS'!$GH$2:$GH$21,$NJ47),0,$QF47,$QG47,$QF47+$QG47))</f>
        <v/>
      </c>
      <c r="QJ47" s="161">
        <f>IF(OR($ND47=0,$NJ47=0),"",INDEX('DADOS_FORMAS'!$HU$2:$HZ$81,($NJ47-1)*4+IF($MS47=0,1,IF($MS47&lt;=5,2,IF($MS47=6,3,4))),1+MIN(5,$QH47))&amp;INDEX('DADOS_FORMAS'!$IA$2:$IF$81,($NJ47-1)*4+IF($MS47=0,1,IF($MS47&lt;=5,2,IF($MS47=6,3,4))),1+MIN(5,$QI47))&amp;IF(INDEX('DADOS_FORMAS'!$GI$2:$GI$21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c r="RO47">
        <f>IFERROR(INDEX('DADOS_FORMAS'!$BJ$2:$BJ$21,MATCH(SUBSTITUTE(SUBSTITUTE(SUBSTITUTE($MU47,"~","~~"),"*","~*"),"?","~?"),'DADOS_FORMAS'!$AH$2:$AH$21,0)),"")</f>
        <v/>
      </c>
      <c r="RP47">
        <f>IFERROR(VLOOKUP(SUBSTITUTE(SUBSTITUTE(SUBSTITUTE(IFERROR(INDEX('DADOS_FORMAS'!$AS$2:$AS$21,MATCH(SUBSTITUTE(SUBSTITUTE(SUBSTITUTE($MU47,"~","~~"),"*","~*"),"?","~?"),'DADOS_FORMAS'!$AH$2:$AH$21,0)),""),"~","~~"),"*","~*"),"?","~?"),'DADOS_RESTRICOES'!$M$2:$Q$54,2,FALSE),"")</f>
        <v/>
      </c>
      <c r="RQ47">
        <f>$OK47</f>
        <v/>
      </c>
      <c r="RR47">
        <f>$OL47</f>
        <v/>
      </c>
      <c r="RS47">
        <f>$RP47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IFERROR(MATCH(SUBSTITUTE(SUBSTITUTE(SUBSTITUTE($MU48,"~","~~"),"*","~*"),"?","~?"),'DADOS_FORMAS'!$FZ$2:$FZ$21,0),0)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IF($MS48=0,0,IF($NJ48=0,0,INDEX('DADOS_FORMAS'!$GB$2:$GB$21,$NJ48)))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IF($NJ48=0,0,IF(INDEX('DADOS_FORMAS'!$GA$2:$GA$21,$NJ48)="",0,IF((COUNTIF(INDEX($EL$2:$EP$13,$MO48,0),INDEX('DADOS_FORMAS'!$GA$2:$GA$21,$NJ48))+COUNTIF(INDEX($QV$2:$QY$13,$MO48,0),INDEX('DADOS_FORMAS'!$GA$2:$GA$21,$NJ48)))=0,1,0)))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IFERROR(N(AND(INDEX('DADOS_FORMAS'!$AO$2:$AO$21,MATCH(SUBSTITUTE(SUBSTITUTE(SUBSTITUTE($MU48,"~","~~"),"*","~*"),"?","~?"),'DADOS_FORMAS'!$AH$2:$AH$21,0))="Acerto",$OH48=1)),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IF($NJ48=0,0,INDEX('DADOS_FORMAS'!$GC$2:$GC$21,$NJ48))</f>
        <v/>
      </c>
      <c r="OG48" s="161">
        <f>IF($NJ48=0,0,INDEX('DADOS_FORMAS'!$GD$2:$GD$21,$NJ48))</f>
        <v/>
      </c>
      <c r="OH48" s="161">
        <f>IF($NJ48=0,0,INDEX('DADOS_FORMAS'!$GF$2:$GF$21,$NJ48))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IF(IFERROR(INDEX('DADOS_FORMAS'!$AS$2:$AS$21,MATCH(SUBSTITUTE(SUBSTITUTE(SUBSTITUTE($MU48,"~","~~"),"*","~*"),"?","~?"),'DADOS_FORMAS'!$AH$2:$AH$21,0)),"")="",0,IFERROR(N(VLOOKUP(SUBSTITUTE(SUBSTITUTE(SUBSTITUTE(IFERROR(INDEX('DADOS_FORMAS'!$AS$2:$AS$21,MATCH(SUBSTITUTE(SUBSTITUTE(SUBSTITUTE($MU48,"~","~~"),"*","~*"),"?","~?"),'DADOS_FORMAS'!$AH$2:$AH$21,0)),""),"~","~~"),"*","~*"),"?","~?"),'DADOS_RESTRICOES'!$M$2:$Q$54,3,FALSE)=1),0))</f>
        <v/>
      </c>
      <c r="OT48" s="161">
        <f>COUNTIF($OI48:$OJ48,2)+IF(IFERROR(INDEX('DADOS_FORMAS'!$AS$2:$AS$21,MATCH(SUBSTITUTE(SUBSTITUTE(SUBSTITUTE($MU48,"~","~~"),"*","~*"),"?","~?"),'DADOS_FORMAS'!$AH$2:$AH$21,0)),"")="",0,IFERROR(N(VLOOKUP(SUBSTITUTE(SUBSTITUTE(SUBSTITUTE(IFERROR(INDEX('DADOS_FORMAS'!$AS$2:$AS$21,MATCH(SUBSTITUTE(SUBSTITUTE(SUBSTITUTE($MU48,"~","~~"),"*","~*"),"?","~?"),'DADOS_FORMAS'!$AH$2:$AH$21,0)),""),"~","~~"),"*","~*"),"?","~?"),'DADOS_RESTRICOES'!$M$2:$Q$54,3,FALSE)=2),0))</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",TRUE,IF($ND48=0,"",TEXTJOIN(" · ",TRUE,IF($MQ48&gt;$NE48,"Este lugar abre no nível "&amp;$MQ48,""),IF($MS48&gt;$NF48,"Classe "&amp;$MS48&amp;": o nível "&amp;$NE48&amp;" libera até a "&amp;$NF48,""),IF($NX48=1,"A Forma "&amp;$MU48&amp;" pede "&amp;INDEX('DADOS_FORMAS'!$GA$2:$GA$21,$NJ48)&amp;" aberta",""),IF(AND($MS48=0,$NJ48&gt;0,IF($NJ48=0,0,INDEX('DADOS_FORMAS'!$GJ$2:$GJ$21,$NJ48))=0),$MU48&amp;"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Corpo")&gt;0,$OF48=0,OR($RO48="Cone",$RO48="Linha")),"Corpo a Corpo não entra em "&amp;$MU48,""),IF(AND(COUNTIF($OK48:$OL48,"Corpo a Corpo")&gt;0,$RP48="Corpo a Corpo"),"A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"&amp;$NC48,""))),IF(AND($MU48&lt;&gt;"",COUNTIF('DADOS_FORMAS'!$AH$2:$AH$21,SUBSTITUTE(SUBSTITUTE(SUBSTITUTE($MU48,"~","~~"),"*","~*"),"?","~?"))=0),"Forma não cadastrada ou com erro: "&amp;$MU48,""),IF(AND(IFERROR(INDEX('DADOS_FORMAS'!$AS$2:$AS$21,MATCH(SUBSTITUTE(SUBSTITUTE(SUBSTITUTE($MU48,"~","~~"),"*","~*"),"?","~?"),'DADOS_FORMAS'!$AH$2:$AH$21,0)),"")&lt;&gt;"",OR(IFERROR(VLOOKUP(SUBSTITUTE(SUBSTITUTE(SUBSTITUTE(IFERROR(INDEX('DADOS_FORMAS'!$AS$2:$AS$21,MATCH(SUBSTITUTE(SUBSTITUTE(SUBSTITUTE($MU48,"~","~~"),"*","~*"),"?","~?"),'DADOS_FORMAS'!$AH$2:$AH$21,0)),""),"~","~~"),"*","~*"),"?","~?"),'DADOS_RESTRICOES'!$M$2:$Q$54,2,FALSE),"")=$OK48,IFERROR(VLOOKUP(SUBSTITUTE(SUBSTITUTE(SUBSTITUTE(IFERROR(INDEX('DADOS_FORMAS'!$AS$2:$AS$21,MATCH(SUBSTITUTE(SUBSTITUTE(SUBSTITUTE($MU48,"~","~~"),"*","~*"),"?","~?"),'DADOS_FORMAS'!$AH$2:$AH$21,0)),""),"~","~~"),"*","~*"),"?","~?"),'DADOS_RESTRICOES'!$M$2:$Q$54,2,FALSE),"")=$OL48)),"Restrição repetida, contando a embutida",""),IF(IF(IFERROR(INDEX('DADOS_FORMAS'!$AS$2:$AS$21,MATCH(SUBSTITUTE(SUBSTITUTE(SUBSTITUTE($MU48,"~","~~"),"*","~*"),"?","~?"),'DADOS_FORMAS'!$AH$2:$AH$21,0)),"")="",0,IFERROR(N(VLOOKUP(SUBSTITUTE(SUBSTITUTE(SUBSTITUTE(IFERROR(INDEX('DADOS_FORMAS'!$AS$2:$AS$21,MATCH(SUBSTITUTE(SUBSTITUTE(SUBSTITUTE($MU48,"~","~~"),"*","~*"),"?","~?"),'DADOS_FORMAS'!$AH$2:$AH$21,0)),""),"~","~~"),"*","~*"),"?","~?"),'DADOS_RESTRICOES'!$M$2:$Q$54,4,FALSE)=1),0))+IF($NB48="",0,IFERROR(N(VLOOKUP(SUBSTITUTE(SUBSTITUTE(SUBSTITUTE($NB48,"~","~~"),"*","~*"),"?","~?"),'DADOS_RESTRICOES'!$M$2:$Q$54,4,FALSE)=1),0))+IF($NC48="",0,IFERROR(N(VLOOKUP(SUBSTITUTE(SUBSTITUTE(SUBSTITUTE($NC48,"~","~~"),"*","~*"),"?","~?"),'DADOS_RESTRICOES'!$M$2:$Q$54,4,FALSE)=1),0))&gt;1,"Duas Restrições de frequência, contando a embutida",""),IF(AND(IFERROR(VLOOKUP(SUBSTITUTE(SUBSTITUTE(SUBSTITUTE(IFERROR(INDEX('DADOS_FORMAS'!$AS$2:$AS$21,MATCH(SUBSTITUTE(SUBSTITUTE(SUBSTITUTE($MU48,"~","~~"),"*","~*"),"?","~?"),'DADOS_FORMAS'!$AH$2:$AH$21,0)),""),"~","~~"),"*","~*"),"?","~?"),'DADOS_RESTRICOES'!$M$2:$Q$54,2,FALSE),"")="Tudo ou Nada",$OH48=0),"Tudo ou Nada exige TR",""),IF(AND(IFERROR(VLOOKUP(SUBSTITUTE(SUBSTITUTE(SUBSTITUTE(IFERROR(INDEX('DADOS_FORMAS'!$AS$2:$AS$21,MATCH(SUBSTITUTE(SUBSTITUTE(SUBSTITUTE($MU48,"~","~~"),"*","~*"),"?","~?"),'DADOS_FORMAS'!$AH$2:$AH$21,0)),""),"~","~~"),"*","~*"),"?","~?"),'DADOS_RESTRICOES'!$M$2:$Q$54,2,FALSE),"")="Corpo a Corpo",OR($RO48="Cone",$RO48="Linha")),"Corpo a Corpo não entra em Cone/Linha","")))</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dela",IF(COUNTIF($RQ48:$RS48,"Atrasar")&gt;0,"Sua Ação Completa",IF(COUNTIF($RK48:$RN48,"Rápido")&gt;0,"Sua Bônus",IF(COUNTIF($RK48:$RN48,"Reação")&gt;0,"Sua Reação","Sua Padrão")))&amp;" + a básica dela"&amp;IF(COUNTIF($RK48:$RN48,"Reação")&gt;0," e a coletiva","")&amp;IF(COUNTIF($RQ48:$RS48,"Carregar")&gt;0," · em dois turnos","")))</f>
        <v/>
      </c>
      <c r="QC48" s="161">
        <f>IF($MW48&lt;&gt;"",$MW48,IF($NJ48=0,"",INDEX('DADOS_FORMAS'!$GE$2:$GE$21,$NJ48)))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IF($NJ48=0,0,CHOOSE(1+INDEX('DADOS_FORMAS'!$GG$2:$GG$21,$NJ48),0,$QF48,$QG48,$QF48+$QG48))</f>
        <v/>
      </c>
      <c r="QI48" s="161">
        <f>IF($NJ48=0,0,CHOOSE(1+INDEX('DADOS_FORMAS'!$GH$2:$GH$21,$NJ48),0,$QF48,$QG48,$QF48+$QG48))</f>
        <v/>
      </c>
      <c r="QJ48" s="161">
        <f>IF(OR($ND48=0,$NJ48=0),"",INDEX('DADOS_FORMAS'!$HU$2:$HZ$81,($NJ48-1)*4+IF($MS48=0,1,IF($MS48&lt;=5,2,IF($MS48=6,3,4))),1+MIN(5,$QH48))&amp;INDEX('DADOS_FORMAS'!$IA$2:$IF$81,($NJ48-1)*4+IF($MS48=0,1,IF($MS48&lt;=5,2,IF($MS48=6,3,4))),1+MIN(5,$QI48))&amp;IF(INDEX('DADOS_FORMAS'!$GI$2:$GI$21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c r="RO48">
        <f>IFERROR(INDEX('DADOS_FORMAS'!$BJ$2:$BJ$21,MATCH(SUBSTITUTE(SUBSTITUTE(SUBSTITUTE($MU48,"~","~~"),"*","~*"),"?","~?"),'DADOS_FORMAS'!$AH$2:$AH$21,0)),"")</f>
        <v/>
      </c>
      <c r="RP48">
        <f>IFERROR(VLOOKUP(SUBSTITUTE(SUBSTITUTE(SUBSTITUTE(IFERROR(INDEX('DADOS_FORMAS'!$AS$2:$AS$21,MATCH(SUBSTITUTE(SUBSTITUTE(SUBSTITUTE($MU48,"~","~~"),"*","~*"),"?","~?"),'DADOS_FORMAS'!$AH$2:$AH$21,0)),""),"~","~~"),"*","~*"),"?","~?"),'DADOS_RESTRICOES'!$M$2:$Q$54,2,FALSE),"")</f>
        <v/>
      </c>
      <c r="RQ48">
        <f>$OK48</f>
        <v/>
      </c>
      <c r="RR48">
        <f>$OL48</f>
        <v/>
      </c>
      <c r="RS48">
        <f>$RP48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IFERROR(MATCH(SUBSTITUTE(SUBSTITUTE(SUBSTITUTE($MU49,"~","~~"),"*","~*"),"?","~?"),'DADOS_FORMAS'!$FZ$2:$FZ$21,0),0)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IF($MS49=0,0,IF($NJ49=0,0,INDEX('DADOS_FORMAS'!$GB$2:$GB$21,$NJ49)))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IF($NJ49=0,0,IF(INDEX('DADOS_FORMAS'!$GA$2:$GA$21,$NJ49)="",0,IF((COUNTIF(INDEX($EL$2:$EP$13,$MO49,0),INDEX('DADOS_FORMAS'!$GA$2:$GA$21,$NJ49))+COUNTIF(INDEX($QV$2:$QY$13,$MO49,0),INDEX('DADOS_FORMAS'!$GA$2:$GA$21,$NJ49)))=0,1,0)))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IFERROR(N(AND(INDEX('DADOS_FORMAS'!$AO$2:$AO$21,MATCH(SUBSTITUTE(SUBSTITUTE(SUBSTITUTE($MU49,"~","~~"),"*","~*"),"?","~?"),'DADOS_FORMAS'!$AH$2:$AH$21,0))="Acerto",$OH49=1)),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IF($NJ49=0,0,INDEX('DADOS_FORMAS'!$GC$2:$GC$21,$NJ49))</f>
        <v/>
      </c>
      <c r="OG49" s="161">
        <f>IF($NJ49=0,0,INDEX('DADOS_FORMAS'!$GD$2:$GD$21,$NJ49))</f>
        <v/>
      </c>
      <c r="OH49" s="161">
        <f>IF($NJ49=0,0,INDEX('DADOS_FORMAS'!$GF$2:$GF$21,$NJ49))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IF(IFERROR(INDEX('DADOS_FORMAS'!$AS$2:$AS$21,MATCH(SUBSTITUTE(SUBSTITUTE(SUBSTITUTE($MU49,"~","~~"),"*","~*"),"?","~?"),'DADOS_FORMAS'!$AH$2:$AH$21,0)),"")="",0,IFERROR(N(VLOOKUP(SUBSTITUTE(SUBSTITUTE(SUBSTITUTE(IFERROR(INDEX('DADOS_FORMAS'!$AS$2:$AS$21,MATCH(SUBSTITUTE(SUBSTITUTE(SUBSTITUTE($MU49,"~","~~"),"*","~*"),"?","~?"),'DADOS_FORMAS'!$AH$2:$AH$21,0)),""),"~","~~"),"*","~*"),"?","~?"),'DADOS_RESTRICOES'!$M$2:$Q$54,3,FALSE)=1),0))</f>
        <v/>
      </c>
      <c r="OT49" s="161">
        <f>COUNTIF($OI49:$OJ49,2)+IF(IFERROR(INDEX('DADOS_FORMAS'!$AS$2:$AS$21,MATCH(SUBSTITUTE(SUBSTITUTE(SUBSTITUTE($MU49,"~","~~"),"*","~*"),"?","~?"),'DADOS_FORMAS'!$AH$2:$AH$21,0)),"")="",0,IFERROR(N(VLOOKUP(SUBSTITUTE(SUBSTITUTE(SUBSTITUTE(IFERROR(INDEX('DADOS_FORMAS'!$AS$2:$AS$21,MATCH(SUBSTITUTE(SUBSTITUTE(SUBSTITUTE($MU49,"~","~~"),"*","~*"),"?","~?"),'DADOS_FORMAS'!$AH$2:$AH$21,0)),""),"~","~~"),"*","~*"),"?","~?"),'DADOS_RESTRICOES'!$M$2:$Q$54,3,FALSE)=2),0))</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",TRUE,IF($ND49=0,"",TEXTJOIN(" · ",TRUE,IF($MQ49&gt;$NE49,"Este lugar abre no nível "&amp;$MQ49,""),IF($MS49&gt;$NF49,"Classe "&amp;$MS49&amp;": o nível "&amp;$NE49&amp;" libera até a "&amp;$NF49,""),IF($NX49=1,"A Forma "&amp;$MU49&amp;" pede "&amp;INDEX('DADOS_FORMAS'!$GA$2:$GA$21,$NJ49)&amp;" aberta",""),IF(AND($MS49=0,$NJ49&gt;0,IF($NJ49=0,0,INDEX('DADOS_FORMAS'!$GJ$2:$GJ$21,$NJ49))=0),$MU49&amp;"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Corpo")&gt;0,$OF49=0,OR($RO49="Cone",$RO49="Linha")),"Corpo a Corpo não entra em "&amp;$MU49,""),IF(AND(COUNTIF($OK49:$OL49,"Corpo a Corpo")&gt;0,$RP49="Corpo a Corpo"),"A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"&amp;$NC49,""))),IF(AND($MU49&lt;&gt;"",COUNTIF('DADOS_FORMAS'!$AH$2:$AH$21,SUBSTITUTE(SUBSTITUTE(SUBSTITUTE($MU49,"~","~~"),"*","~*"),"?","~?"))=0),"Forma não cadastrada ou com erro: "&amp;$MU49,""),IF(AND(IFERROR(INDEX('DADOS_FORMAS'!$AS$2:$AS$21,MATCH(SUBSTITUTE(SUBSTITUTE(SUBSTITUTE($MU49,"~","~~"),"*","~*"),"?","~?"),'DADOS_FORMAS'!$AH$2:$AH$21,0)),"")&lt;&gt;"",OR(IFERROR(VLOOKUP(SUBSTITUTE(SUBSTITUTE(SUBSTITUTE(IFERROR(INDEX('DADOS_FORMAS'!$AS$2:$AS$21,MATCH(SUBSTITUTE(SUBSTITUTE(SUBSTITUTE($MU49,"~","~~"),"*","~*"),"?","~?"),'DADOS_FORMAS'!$AH$2:$AH$21,0)),""),"~","~~"),"*","~*"),"?","~?"),'DADOS_RESTRICOES'!$M$2:$Q$54,2,FALSE),"")=$OK49,IFERROR(VLOOKUP(SUBSTITUTE(SUBSTITUTE(SUBSTITUTE(IFERROR(INDEX('DADOS_FORMAS'!$AS$2:$AS$21,MATCH(SUBSTITUTE(SUBSTITUTE(SUBSTITUTE($MU49,"~","~~"),"*","~*"),"?","~?"),'DADOS_FORMAS'!$AH$2:$AH$21,0)),""),"~","~~"),"*","~*"),"?","~?"),'DADOS_RESTRICOES'!$M$2:$Q$54,2,FALSE),"")=$OL49)),"Restrição repetida, contando a embutida",""),IF(IF(IFERROR(INDEX('DADOS_FORMAS'!$AS$2:$AS$21,MATCH(SUBSTITUTE(SUBSTITUTE(SUBSTITUTE($MU49,"~","~~"),"*","~*"),"?","~?"),'DADOS_FORMAS'!$AH$2:$AH$21,0)),"")="",0,IFERROR(N(VLOOKUP(SUBSTITUTE(SUBSTITUTE(SUBSTITUTE(IFERROR(INDEX('DADOS_FORMAS'!$AS$2:$AS$21,MATCH(SUBSTITUTE(SUBSTITUTE(SUBSTITUTE($MU49,"~","~~"),"*","~*"),"?","~?"),'DADOS_FORMAS'!$AH$2:$AH$21,0)),""),"~","~~"),"*","~*"),"?","~?"),'DADOS_RESTRICOES'!$M$2:$Q$54,4,FALSE)=1),0))+IF($NB49="",0,IFERROR(N(VLOOKUP(SUBSTITUTE(SUBSTITUTE(SUBSTITUTE($NB49,"~","~~"),"*","~*"),"?","~?"),'DADOS_RESTRICOES'!$M$2:$Q$54,4,FALSE)=1),0))+IF($NC49="",0,IFERROR(N(VLOOKUP(SUBSTITUTE(SUBSTITUTE(SUBSTITUTE($NC49,"~","~~"),"*","~*"),"?","~?"),'DADOS_RESTRICOES'!$M$2:$Q$54,4,FALSE)=1),0))&gt;1,"Duas Restrições de frequência, contando a embutida",""),IF(AND(IFERROR(VLOOKUP(SUBSTITUTE(SUBSTITUTE(SUBSTITUTE(IFERROR(INDEX('DADOS_FORMAS'!$AS$2:$AS$21,MATCH(SUBSTITUTE(SUBSTITUTE(SUBSTITUTE($MU49,"~","~~"),"*","~*"),"?","~?"),'DADOS_FORMAS'!$AH$2:$AH$21,0)),""),"~","~~"),"*","~*"),"?","~?"),'DADOS_RESTRICOES'!$M$2:$Q$54,2,FALSE),"")="Tudo ou Nada",$OH49=0),"Tudo ou Nada exige TR",""),IF(AND(IFERROR(VLOOKUP(SUBSTITUTE(SUBSTITUTE(SUBSTITUTE(IFERROR(INDEX('DADOS_FORMAS'!$AS$2:$AS$21,MATCH(SUBSTITUTE(SUBSTITUTE(SUBSTITUTE($MU49,"~","~~"),"*","~*"),"?","~?"),'DADOS_FORMAS'!$AH$2:$AH$21,0)),""),"~","~~"),"*","~*"),"?","~?"),'DADOS_RESTRICOES'!$M$2:$Q$54,2,FALSE),"")="Corpo a Corpo",OR($RO49="Cone",$RO49="Linha")),"Corpo a Corpo não entra em Cone/Linha","")))</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dela",IF(COUNTIF($RQ49:$RS49,"Atrasar")&gt;0,"Sua Ação Completa",IF(COUNTIF($RK49:$RN49,"Rápido")&gt;0,"Sua Bônus",IF(COUNTIF($RK49:$RN49,"Reação")&gt;0,"Sua Reação","Sua Padrão")))&amp;" + a básica dela"&amp;IF(COUNTIF($RK49:$RN49,"Reação")&gt;0," e a coletiva","")&amp;IF(COUNTIF($RQ49:$RS49,"Carregar")&gt;0," · em dois turnos","")))</f>
        <v/>
      </c>
      <c r="QC49" s="161">
        <f>IF($MW49&lt;&gt;"",$MW49,IF($NJ49=0,"",INDEX('DADOS_FORMAS'!$GE$2:$GE$21,$NJ49)))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IF($NJ49=0,0,CHOOSE(1+INDEX('DADOS_FORMAS'!$GG$2:$GG$21,$NJ49),0,$QF49,$QG49,$QF49+$QG49))</f>
        <v/>
      </c>
      <c r="QI49" s="161">
        <f>IF($NJ49=0,0,CHOOSE(1+INDEX('DADOS_FORMAS'!$GH$2:$GH$21,$NJ49),0,$QF49,$QG49,$QF49+$QG49))</f>
        <v/>
      </c>
      <c r="QJ49" s="161">
        <f>IF(OR($ND49=0,$NJ49=0),"",INDEX('DADOS_FORMAS'!$HU$2:$HZ$81,($NJ49-1)*4+IF($MS49=0,1,IF($MS49&lt;=5,2,IF($MS49=6,3,4))),1+MIN(5,$QH49))&amp;INDEX('DADOS_FORMAS'!$IA$2:$IF$81,($NJ49-1)*4+IF($MS49=0,1,IF($MS49&lt;=5,2,IF($MS49=6,3,4))),1+MIN(5,$QI49))&amp;IF(INDEX('DADOS_FORMAS'!$GI$2:$GI$21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c r="RO49">
        <f>IFERROR(INDEX('DADOS_FORMAS'!$BJ$2:$BJ$21,MATCH(SUBSTITUTE(SUBSTITUTE(SUBSTITUTE($MU49,"~","~~"),"*","~*"),"?","~?"),'DADOS_FORMAS'!$AH$2:$AH$21,0)),"")</f>
        <v/>
      </c>
      <c r="RP49">
        <f>IFERROR(VLOOKUP(SUBSTITUTE(SUBSTITUTE(SUBSTITUTE(IFERROR(INDEX('DADOS_FORMAS'!$AS$2:$AS$21,MATCH(SUBSTITUTE(SUBSTITUTE(SUBSTITUTE($MU49,"~","~~"),"*","~*"),"?","~?"),'DADOS_FORMAS'!$AH$2:$AH$21,0)),""),"~","~~"),"*","~*"),"?","~?"),'DADOS_RESTRICOES'!$M$2:$Q$54,2,FALSE),"")</f>
        <v/>
      </c>
      <c r="RQ49">
        <f>$OK49</f>
        <v/>
      </c>
      <c r="RR49">
        <f>$OL49</f>
        <v/>
      </c>
      <c r="RS49">
        <f>$RP49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IFERROR(MATCH(SUBSTITUTE(SUBSTITUTE(SUBSTITUTE($MU50,"~","~~"),"*","~*"),"?","~?"),'DADOS_FORMAS'!$FZ$2:$FZ$21,0),0)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IF($MS50=0,0,IF($NJ50=0,0,INDEX('DADOS_FORMAS'!$GB$2:$GB$21,$NJ50)))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IF($NJ50=0,0,IF(INDEX('DADOS_FORMAS'!$GA$2:$GA$21,$NJ50)="",0,IF((COUNTIF(INDEX($EL$2:$EP$13,$MO50,0),INDEX('DADOS_FORMAS'!$GA$2:$GA$21,$NJ50))+COUNTIF(INDEX($QV$2:$QY$13,$MO50,0),INDEX('DADOS_FORMAS'!$GA$2:$GA$21,$NJ50)))=0,1,0)))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IFERROR(N(AND(INDEX('DADOS_FORMAS'!$AO$2:$AO$21,MATCH(SUBSTITUTE(SUBSTITUTE(SUBSTITUTE($MU50,"~","~~"),"*","~*"),"?","~?"),'DADOS_FORMAS'!$AH$2:$AH$21,0))="Acerto",$OH50=1)),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IF($NJ50=0,0,INDEX('DADOS_FORMAS'!$GC$2:$GC$21,$NJ50))</f>
        <v/>
      </c>
      <c r="OG50" s="161">
        <f>IF($NJ50=0,0,INDEX('DADOS_FORMAS'!$GD$2:$GD$21,$NJ50))</f>
        <v/>
      </c>
      <c r="OH50" s="161">
        <f>IF($NJ50=0,0,INDEX('DADOS_FORMAS'!$GF$2:$GF$21,$NJ50))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IF(IFERROR(INDEX('DADOS_FORMAS'!$AS$2:$AS$21,MATCH(SUBSTITUTE(SUBSTITUTE(SUBSTITUTE($MU50,"~","~~"),"*","~*"),"?","~?"),'DADOS_FORMAS'!$AH$2:$AH$21,0)),"")="",0,IFERROR(N(VLOOKUP(SUBSTITUTE(SUBSTITUTE(SUBSTITUTE(IFERROR(INDEX('DADOS_FORMAS'!$AS$2:$AS$21,MATCH(SUBSTITUTE(SUBSTITUTE(SUBSTITUTE($MU50,"~","~~"),"*","~*"),"?","~?"),'DADOS_FORMAS'!$AH$2:$AH$21,0)),""),"~","~~"),"*","~*"),"?","~?"),'DADOS_RESTRICOES'!$M$2:$Q$54,3,FALSE)=1),0))</f>
        <v/>
      </c>
      <c r="OT50" s="161">
        <f>COUNTIF($OI50:$OJ50,2)+IF(IFERROR(INDEX('DADOS_FORMAS'!$AS$2:$AS$21,MATCH(SUBSTITUTE(SUBSTITUTE(SUBSTITUTE($MU50,"~","~~"),"*","~*"),"?","~?"),'DADOS_FORMAS'!$AH$2:$AH$21,0)),"")="",0,IFERROR(N(VLOOKUP(SUBSTITUTE(SUBSTITUTE(SUBSTITUTE(IFERROR(INDEX('DADOS_FORMAS'!$AS$2:$AS$21,MATCH(SUBSTITUTE(SUBSTITUTE(SUBSTITUTE($MU50,"~","~~"),"*","~*"),"?","~?"),'DADOS_FORMAS'!$AH$2:$AH$21,0)),""),"~","~~"),"*","~*"),"?","~?"),'DADOS_RESTRICOES'!$M$2:$Q$54,3,FALSE)=2),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",TRUE,IF($ND50=0,"",TEXTJOIN(" · ",TRUE,IF($MQ50&gt;$NE50,"Este lugar abre no nível "&amp;$MQ50,""),IF($MS50&gt;$NF50,"Classe "&amp;$MS50&amp;": o nível "&amp;$NE50&amp;" libera até a "&amp;$NF50,""),IF($NX50=1,"A Forma "&amp;$MU50&amp;" pede "&amp;INDEX('DADOS_FORMAS'!$GA$2:$GA$21,$NJ50)&amp;" aberta",""),IF(AND($MS50=0,$NJ50&gt;0,IF($NJ50=0,0,INDEX('DADOS_FORMAS'!$GJ$2:$GJ$21,$NJ50))=0),$MU50&amp;"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Corpo")&gt;0,$OF50=0,OR($RO50="Cone",$RO50="Linha")),"Corpo a Corpo não entra em "&amp;$MU50,""),IF(AND(COUNTIF($OK50:$OL50,"Corpo a Corpo")&gt;0,$RP50="Corpo a Corpo"),"A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"&amp;$NC50,""))),IF(AND($MU50&lt;&gt;"",COUNTIF('DADOS_FORMAS'!$AH$2:$AH$21,SUBSTITUTE(SUBSTITUTE(SUBSTITUTE($MU50,"~","~~"),"*","~*"),"?","~?"))=0),"Forma não cadastrada ou com erro: "&amp;$MU50,""),IF(AND(IFERROR(INDEX('DADOS_FORMAS'!$AS$2:$AS$21,MATCH(SUBSTITUTE(SUBSTITUTE(SUBSTITUTE($MU50,"~","~~"),"*","~*"),"?","~?"),'DADOS_FORMAS'!$AH$2:$AH$21,0)),"")&lt;&gt;"",OR(IFERROR(VLOOKUP(SUBSTITUTE(SUBSTITUTE(SUBSTITUTE(IFERROR(INDEX('DADOS_FORMAS'!$AS$2:$AS$21,MATCH(SUBSTITUTE(SUBSTITUTE(SUBSTITUTE($MU50,"~","~~"),"*","~*"),"?","~?"),'DADOS_FORMAS'!$AH$2:$AH$21,0)),""),"~","~~"),"*","~*"),"?","~?"),'DADOS_RESTRICOES'!$M$2:$Q$54,2,FALSE),"")=$OK50,IFERROR(VLOOKUP(SUBSTITUTE(SUBSTITUTE(SUBSTITUTE(IFERROR(INDEX('DADOS_FORMAS'!$AS$2:$AS$21,MATCH(SUBSTITUTE(SUBSTITUTE(SUBSTITUTE($MU50,"~","~~"),"*","~*"),"?","~?"),'DADOS_FORMAS'!$AH$2:$AH$21,0)),""),"~","~~"),"*","~*"),"?","~?"),'DADOS_RESTRICOES'!$M$2:$Q$54,2,FALSE),"")=$OL50)),"Restrição repetida, contando a embutida",""),IF(IF(IFERROR(INDEX('DADOS_FORMAS'!$AS$2:$AS$21,MATCH(SUBSTITUTE(SUBSTITUTE(SUBSTITUTE($MU50,"~","~~"),"*","~*"),"?","~?"),'DADOS_FORMAS'!$AH$2:$AH$21,0)),"")="",0,IFERROR(N(VLOOKUP(SUBSTITUTE(SUBSTITUTE(SUBSTITUTE(IFERROR(INDEX('DADOS_FORMAS'!$AS$2:$AS$21,MATCH(SUBSTITUTE(SUBSTITUTE(SUBSTITUTE($MU50,"~","~~"),"*","~*"),"?","~?"),'DADOS_FORMAS'!$AH$2:$AH$21,0)),""),"~","~~"),"*","~*"),"?","~?"),'DADOS_RESTRICOES'!$M$2:$Q$54,4,FALSE)=1),0))+IF($NB50="",0,IFERROR(N(VLOOKUP(SUBSTITUTE(SUBSTITUTE(SUBSTITUTE($NB50,"~","~~"),"*","~*"),"?","~?"),'DADOS_RESTRICOES'!$M$2:$Q$54,4,FALSE)=1),0))+IF($NC50="",0,IFERROR(N(VLOOKUP(SUBSTITUTE(SUBSTITUTE(SUBSTITUTE($NC50,"~","~~"),"*","~*"),"?","~?"),'DADOS_RESTRICOES'!$M$2:$Q$54,4,FALSE)=1),0))&gt;1,"Duas Restrições de frequência, contando a embutida",""),IF(AND(IFERROR(VLOOKUP(SUBSTITUTE(SUBSTITUTE(SUBSTITUTE(IFERROR(INDEX('DADOS_FORMAS'!$AS$2:$AS$21,MATCH(SUBSTITUTE(SUBSTITUTE(SUBSTITUTE($MU50,"~","~~"),"*","~*"),"?","~?"),'DADOS_FORMAS'!$AH$2:$AH$21,0)),""),"~","~~"),"*","~*"),"?","~?"),'DADOS_RESTRICOES'!$M$2:$Q$54,2,FALSE),"")="Tudo ou Nada",$OH50=0),"Tudo ou Nada exige TR",""),IF(AND(IFERROR(VLOOKUP(SUBSTITUTE(SUBSTITUTE(SUBSTITUTE(IFERROR(INDEX('DADOS_FORMAS'!$AS$2:$AS$21,MATCH(SUBSTITUTE(SUBSTITUTE(SUBSTITUTE($MU50,"~","~~"),"*","~*"),"?","~?"),'DADOS_FORMAS'!$AH$2:$AH$21,0)),""),"~","~~"),"*","~*"),"?","~?"),'DADOS_RESTRICOES'!$M$2:$Q$54,2,FALSE),"")="Corpo a Corpo",OR($RO50="Cone",$RO50="Linha")),"Corpo a Corpo não entra em Cone/Linha","")))</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dela",IF(COUNTIF($RQ50:$RS50,"Atrasar")&gt;0,"Sua Ação Completa",IF(COUNTIF($RK50:$RN50,"Rápido")&gt;0,"Sua Bônus",IF(COUNTIF($RK50:$RN50,"Reação")&gt;0,"Sua Reação","Sua Padrão")))&amp;" + a básica dela"&amp;IF(COUNTIF($RK50:$RN50,"Reação")&gt;0," e a coletiva","")&amp;IF(COUNTIF($RQ50:$RS50,"Carregar")&gt;0," · em dois turnos","")))</f>
        <v/>
      </c>
      <c r="QC50" s="161">
        <f>IF($MW50&lt;&gt;"",$MW50,IF($NJ50=0,"",INDEX('DADOS_FORMAS'!$GE$2:$GE$21,$NJ50)))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IF($NJ50=0,0,CHOOSE(1+INDEX('DADOS_FORMAS'!$GG$2:$GG$21,$NJ50),0,$QF50,$QG50,$QF50+$QG50))</f>
        <v/>
      </c>
      <c r="QI50" s="161">
        <f>IF($NJ50=0,0,CHOOSE(1+INDEX('DADOS_FORMAS'!$GH$2:$GH$21,$NJ50),0,$QF50,$QG50,$QF50+$QG50))</f>
        <v/>
      </c>
      <c r="QJ50" s="161">
        <f>IF(OR($ND50=0,$NJ50=0),"",INDEX('DADOS_FORMAS'!$HU$2:$HZ$81,($NJ50-1)*4+IF($MS50=0,1,IF($MS50&lt;=5,2,IF($MS50=6,3,4))),1+MIN(5,$QH50))&amp;INDEX('DADOS_FORMAS'!$IA$2:$IF$81,($NJ50-1)*4+IF($MS50=0,1,IF($MS50&lt;=5,2,IF($MS50=6,3,4))),1+MIN(5,$QI50))&amp;IF(INDEX('DADOS_FORMAS'!$GI$2:$GI$21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c r="RO50">
        <f>IFERROR(INDEX('DADOS_FORMAS'!$BJ$2:$BJ$21,MATCH(SUBSTITUTE(SUBSTITUTE(SUBSTITUTE($MU50,"~","~~"),"*","~*"),"?","~?"),'DADOS_FORMAS'!$AH$2:$AH$21,0)),"")</f>
        <v/>
      </c>
      <c r="RP50">
        <f>IFERROR(VLOOKUP(SUBSTITUTE(SUBSTITUTE(SUBSTITUTE(IFERROR(INDEX('DADOS_FORMAS'!$AS$2:$AS$21,MATCH(SUBSTITUTE(SUBSTITUTE(SUBSTITUTE($MU50,"~","~~"),"*","~*"),"?","~?"),'DADOS_FORMAS'!$AH$2:$AH$21,0)),""),"~","~~"),"*","~*"),"?","~?"),'DADOS_RESTRICOES'!$M$2:$Q$54,2,FALSE),"")</f>
        <v/>
      </c>
      <c r="RQ50">
        <f>$OK50</f>
        <v/>
      </c>
      <c r="RR50">
        <f>$OL50</f>
        <v/>
      </c>
      <c r="RS50">
        <f>$RP50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IFERROR(MATCH(SUBSTITUTE(SUBSTITUTE(SUBSTITUTE($MU51,"~","~~"),"*","~*"),"?","~?"),'DADOS_FORMAS'!$FZ$2:$FZ$21,0),0)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IF($MS51=0,0,IF($NJ51=0,0,INDEX('DADOS_FORMAS'!$GB$2:$GB$21,$NJ51)))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IF($NJ51=0,0,IF(INDEX('DADOS_FORMAS'!$GA$2:$GA$21,$NJ51)="",0,IF((COUNTIF(INDEX($EL$2:$EP$13,$MO51,0),INDEX('DADOS_FORMAS'!$GA$2:$GA$21,$NJ51))+COUNTIF(INDEX($QV$2:$QY$13,$MO51,0),INDEX('DADOS_FORMAS'!$GA$2:$GA$21,$NJ51)))=0,1,0)))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IFERROR(N(AND(INDEX('DADOS_FORMAS'!$AO$2:$AO$21,MATCH(SUBSTITUTE(SUBSTITUTE(SUBSTITUTE($MU51,"~","~~"),"*","~*"),"?","~?"),'DADOS_FORMAS'!$AH$2:$AH$21,0))="Acerto",$OH51=1)),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IF($NJ51=0,0,INDEX('DADOS_FORMAS'!$GC$2:$GC$21,$NJ51))</f>
        <v/>
      </c>
      <c r="OG51" s="161">
        <f>IF($NJ51=0,0,INDEX('DADOS_FORMAS'!$GD$2:$GD$21,$NJ51))</f>
        <v/>
      </c>
      <c r="OH51" s="161">
        <f>IF($NJ51=0,0,INDEX('DADOS_FORMAS'!$GF$2:$GF$21,$NJ51))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IF(IFERROR(INDEX('DADOS_FORMAS'!$AS$2:$AS$21,MATCH(SUBSTITUTE(SUBSTITUTE(SUBSTITUTE($MU51,"~","~~"),"*","~*"),"?","~?"),'DADOS_FORMAS'!$AH$2:$AH$21,0)),"")="",0,IFERROR(N(VLOOKUP(SUBSTITUTE(SUBSTITUTE(SUBSTITUTE(IFERROR(INDEX('DADOS_FORMAS'!$AS$2:$AS$21,MATCH(SUBSTITUTE(SUBSTITUTE(SUBSTITUTE($MU51,"~","~~"),"*","~*"),"?","~?"),'DADOS_FORMAS'!$AH$2:$AH$21,0)),""),"~","~~"),"*","~*"),"?","~?"),'DADOS_RESTRICOES'!$M$2:$Q$54,3,FALSE)=1),0))</f>
        <v/>
      </c>
      <c r="OT51" s="161">
        <f>COUNTIF($OI51:$OJ51,2)+IF(IFERROR(INDEX('DADOS_FORMAS'!$AS$2:$AS$21,MATCH(SUBSTITUTE(SUBSTITUTE(SUBSTITUTE($MU51,"~","~~"),"*","~*"),"?","~?"),'DADOS_FORMAS'!$AH$2:$AH$21,0)),"")="",0,IFERROR(N(VLOOKUP(SUBSTITUTE(SUBSTITUTE(SUBSTITUTE(IFERROR(INDEX('DADOS_FORMAS'!$AS$2:$AS$21,MATCH(SUBSTITUTE(SUBSTITUTE(SUBSTITUTE($MU51,"~","~~"),"*","~*"),"?","~?"),'DADOS_FORMAS'!$AH$2:$AH$21,0)),""),"~","~~"),"*","~*"),"?","~?"),'DADOS_RESTRICOES'!$M$2:$Q$54,3,FALSE)=2),0))</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",TRUE,IF($ND51=0,"",TEXTJOIN(" · ",TRUE,IF($MQ51&gt;$NE51,"Este lugar abre no nível "&amp;$MQ51,""),IF($MS51&gt;$NF51,"Classe "&amp;$MS51&amp;": o nível "&amp;$NE51&amp;" libera até a "&amp;$NF51,""),IF($NX51=1,"A Forma "&amp;$MU51&amp;" pede "&amp;INDEX('DADOS_FORMAS'!$GA$2:$GA$21,$NJ51)&amp;" aberta",""),IF(AND($MS51=0,$NJ51&gt;0,IF($NJ51=0,0,INDEX('DADOS_FORMAS'!$GJ$2:$GJ$21,$NJ51))=0),$MU51&amp;"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Corpo")&gt;0,$OF51=0,OR($RO51="Cone",$RO51="Linha")),"Corpo a Corpo não entra em "&amp;$MU51,""),IF(AND(COUNTIF($OK51:$OL51,"Corpo a Corpo")&gt;0,$RP51="Corpo a Corpo"),"A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"&amp;$NC51,""))),IF(AND($MU51&lt;&gt;"",COUNTIF('DADOS_FORMAS'!$AH$2:$AH$21,SUBSTITUTE(SUBSTITUTE(SUBSTITUTE($MU51,"~","~~"),"*","~*"),"?","~?"))=0),"Forma não cadastrada ou com erro: "&amp;$MU51,""),IF(AND(IFERROR(INDEX('DADOS_FORMAS'!$AS$2:$AS$21,MATCH(SUBSTITUTE(SUBSTITUTE(SUBSTITUTE($MU51,"~","~~"),"*","~*"),"?","~?"),'DADOS_FORMAS'!$AH$2:$AH$21,0)),"")&lt;&gt;"",OR(IFERROR(VLOOKUP(SUBSTITUTE(SUBSTITUTE(SUBSTITUTE(IFERROR(INDEX('DADOS_FORMAS'!$AS$2:$AS$21,MATCH(SUBSTITUTE(SUBSTITUTE(SUBSTITUTE($MU51,"~","~~"),"*","~*"),"?","~?"),'DADOS_FORMAS'!$AH$2:$AH$21,0)),""),"~","~~"),"*","~*"),"?","~?"),'DADOS_RESTRICOES'!$M$2:$Q$54,2,FALSE),"")=$OK51,IFERROR(VLOOKUP(SUBSTITUTE(SUBSTITUTE(SUBSTITUTE(IFERROR(INDEX('DADOS_FORMAS'!$AS$2:$AS$21,MATCH(SUBSTITUTE(SUBSTITUTE(SUBSTITUTE($MU51,"~","~~"),"*","~*"),"?","~?"),'DADOS_FORMAS'!$AH$2:$AH$21,0)),""),"~","~~"),"*","~*"),"?","~?"),'DADOS_RESTRICOES'!$M$2:$Q$54,2,FALSE),"")=$OL51)),"Restrição repetida, contando a embutida",""),IF(IF(IFERROR(INDEX('DADOS_FORMAS'!$AS$2:$AS$21,MATCH(SUBSTITUTE(SUBSTITUTE(SUBSTITUTE($MU51,"~","~~"),"*","~*"),"?","~?"),'DADOS_FORMAS'!$AH$2:$AH$21,0)),"")="",0,IFERROR(N(VLOOKUP(SUBSTITUTE(SUBSTITUTE(SUBSTITUTE(IFERROR(INDEX('DADOS_FORMAS'!$AS$2:$AS$21,MATCH(SUBSTITUTE(SUBSTITUTE(SUBSTITUTE($MU51,"~","~~"),"*","~*"),"?","~?"),'DADOS_FORMAS'!$AH$2:$AH$21,0)),""),"~","~~"),"*","~*"),"?","~?"),'DADOS_RESTRICOES'!$M$2:$Q$54,4,FALSE)=1),0))+IF($NB51="",0,IFERROR(N(VLOOKUP(SUBSTITUTE(SUBSTITUTE(SUBSTITUTE($NB51,"~","~~"),"*","~*"),"?","~?"),'DADOS_RESTRICOES'!$M$2:$Q$54,4,FALSE)=1),0))+IF($NC51="",0,IFERROR(N(VLOOKUP(SUBSTITUTE(SUBSTITUTE(SUBSTITUTE($NC51,"~","~~"),"*","~*"),"?","~?"),'DADOS_RESTRICOES'!$M$2:$Q$54,4,FALSE)=1),0))&gt;1,"Duas Restrições de frequência, contando a embutida",""),IF(AND(IFERROR(VLOOKUP(SUBSTITUTE(SUBSTITUTE(SUBSTITUTE(IFERROR(INDEX('DADOS_FORMAS'!$AS$2:$AS$21,MATCH(SUBSTITUTE(SUBSTITUTE(SUBSTITUTE($MU51,"~","~~"),"*","~*"),"?","~?"),'DADOS_FORMAS'!$AH$2:$AH$21,0)),""),"~","~~"),"*","~*"),"?","~?"),'DADOS_RESTRICOES'!$M$2:$Q$54,2,FALSE),"")="Tudo ou Nada",$OH51=0),"Tudo ou Nada exige TR",""),IF(AND(IFERROR(VLOOKUP(SUBSTITUTE(SUBSTITUTE(SUBSTITUTE(IFERROR(INDEX('DADOS_FORMAS'!$AS$2:$AS$21,MATCH(SUBSTITUTE(SUBSTITUTE(SUBSTITUTE($MU51,"~","~~"),"*","~*"),"?","~?"),'DADOS_FORMAS'!$AH$2:$AH$21,0)),""),"~","~~"),"*","~*"),"?","~?"),'DADOS_RESTRICOES'!$M$2:$Q$54,2,FALSE),"")="Corpo a Corpo",OR($RO51="Cone",$RO51="Linha")),"Corpo a Corpo não entra em Cone/Linha","")))</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dela",IF(COUNTIF($RQ51:$RS51,"Atrasar")&gt;0,"Sua Ação Completa",IF(COUNTIF($RK51:$RN51,"Rápido")&gt;0,"Sua Bônus",IF(COUNTIF($RK51:$RN51,"Reação")&gt;0,"Sua Reação","Sua Padrão")))&amp;" + a básica dela"&amp;IF(COUNTIF($RK51:$RN51,"Reação")&gt;0," e a coletiva","")&amp;IF(COUNTIF($RQ51:$RS51,"Carregar")&gt;0," · em dois turnos","")))</f>
        <v/>
      </c>
      <c r="QC51" s="161">
        <f>IF($MW51&lt;&gt;"",$MW51,IF($NJ51=0,"",INDEX('DADOS_FORMAS'!$GE$2:$GE$21,$NJ51)))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IF($NJ51=0,0,CHOOSE(1+INDEX('DADOS_FORMAS'!$GG$2:$GG$21,$NJ51),0,$QF51,$QG51,$QF51+$QG51))</f>
        <v/>
      </c>
      <c r="QI51" s="161">
        <f>IF($NJ51=0,0,CHOOSE(1+INDEX('DADOS_FORMAS'!$GH$2:$GH$21,$NJ51),0,$QF51,$QG51,$QF51+$QG51))</f>
        <v/>
      </c>
      <c r="QJ51" s="161">
        <f>IF(OR($ND51=0,$NJ51=0),"",INDEX('DADOS_FORMAS'!$HU$2:$HZ$81,($NJ51-1)*4+IF($MS51=0,1,IF($MS51&lt;=5,2,IF($MS51=6,3,4))),1+MIN(5,$QH51))&amp;INDEX('DADOS_FORMAS'!$IA$2:$IF$81,($NJ51-1)*4+IF($MS51=0,1,IF($MS51&lt;=5,2,IF($MS51=6,3,4))),1+MIN(5,$QI51))&amp;IF(INDEX('DADOS_FORMAS'!$GI$2:$GI$21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c r="RO51">
        <f>IFERROR(INDEX('DADOS_FORMAS'!$BJ$2:$BJ$21,MATCH(SUBSTITUTE(SUBSTITUTE(SUBSTITUTE($MU51,"~","~~"),"*","~*"),"?","~?"),'DADOS_FORMAS'!$AH$2:$AH$21,0)),"")</f>
        <v/>
      </c>
      <c r="RP51">
        <f>IFERROR(VLOOKUP(SUBSTITUTE(SUBSTITUTE(SUBSTITUTE(IFERROR(INDEX('DADOS_FORMAS'!$AS$2:$AS$21,MATCH(SUBSTITUTE(SUBSTITUTE(SUBSTITUTE($MU51,"~","~~"),"*","~*"),"?","~?"),'DADOS_FORMAS'!$AH$2:$AH$21,0)),""),"~","~~"),"*","~*"),"?","~?"),'DADOS_RESTRICOES'!$M$2:$Q$54,2,FALSE),"")</f>
        <v/>
      </c>
      <c r="RQ51">
        <f>$OK51</f>
        <v/>
      </c>
      <c r="RR51">
        <f>$OL51</f>
        <v/>
      </c>
      <c r="RS51">
        <f>$RP51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IFERROR(MATCH(SUBSTITUTE(SUBSTITUTE(SUBSTITUTE($MU52,"~","~~"),"*","~*"),"?","~?"),'DADOS_FORMAS'!$FZ$2:$FZ$21,0),0)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IF($MS52=0,0,IF($NJ52=0,0,INDEX('DADOS_FORMAS'!$GB$2:$GB$21,$NJ52)))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IF($NJ52=0,0,IF(INDEX('DADOS_FORMAS'!$GA$2:$GA$21,$NJ52)="",0,IF((COUNTIF(INDEX($EL$2:$EP$13,$MO52,0),INDEX('DADOS_FORMAS'!$GA$2:$GA$21,$NJ52))+COUNTIF(INDEX($QV$2:$QY$13,$MO52,0),INDEX('DADOS_FORMAS'!$GA$2:$GA$21,$NJ52)))=0,1,0)))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IFERROR(N(AND(INDEX('DADOS_FORMAS'!$AO$2:$AO$21,MATCH(SUBSTITUTE(SUBSTITUTE(SUBSTITUTE($MU52,"~","~~"),"*","~*"),"?","~?"),'DADOS_FORMAS'!$AH$2:$AH$21,0))="Acerto",$OH52=1)),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IF($NJ52=0,0,INDEX('DADOS_FORMAS'!$GC$2:$GC$21,$NJ52))</f>
        <v/>
      </c>
      <c r="OG52" s="161">
        <f>IF($NJ52=0,0,INDEX('DADOS_FORMAS'!$GD$2:$GD$21,$NJ52))</f>
        <v/>
      </c>
      <c r="OH52" s="161">
        <f>IF($NJ52=0,0,INDEX('DADOS_FORMAS'!$GF$2:$GF$21,$NJ52))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IF(IFERROR(INDEX('DADOS_FORMAS'!$AS$2:$AS$21,MATCH(SUBSTITUTE(SUBSTITUTE(SUBSTITUTE($MU52,"~","~~"),"*","~*"),"?","~?"),'DADOS_FORMAS'!$AH$2:$AH$21,0)),"")="",0,IFERROR(N(VLOOKUP(SUBSTITUTE(SUBSTITUTE(SUBSTITUTE(IFERROR(INDEX('DADOS_FORMAS'!$AS$2:$AS$21,MATCH(SUBSTITUTE(SUBSTITUTE(SUBSTITUTE($MU52,"~","~~"),"*","~*"),"?","~?"),'DADOS_FORMAS'!$AH$2:$AH$21,0)),""),"~","~~"),"*","~*"),"?","~?"),'DADOS_RESTRICOES'!$M$2:$Q$54,3,FALSE)=1),0))</f>
        <v/>
      </c>
      <c r="OT52" s="161">
        <f>COUNTIF($OI52:$OJ52,2)+IF(IFERROR(INDEX('DADOS_FORMAS'!$AS$2:$AS$21,MATCH(SUBSTITUTE(SUBSTITUTE(SUBSTITUTE($MU52,"~","~~"),"*","~*"),"?","~?"),'DADOS_FORMAS'!$AH$2:$AH$21,0)),"")="",0,IFERROR(N(VLOOKUP(SUBSTITUTE(SUBSTITUTE(SUBSTITUTE(IFERROR(INDEX('DADOS_FORMAS'!$AS$2:$AS$21,MATCH(SUBSTITUTE(SUBSTITUTE(SUBSTITUTE($MU52,"~","~~"),"*","~*"),"?","~?"),'DADOS_FORMAS'!$AH$2:$AH$21,0)),""),"~","~~"),"*","~*"),"?","~?"),'DADOS_RESTRICOES'!$M$2:$Q$54,3,FALSE)=2),0))</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",TRUE,IF($ND52=0,"",TEXTJOIN(" · ",TRUE,IF($MQ52&gt;$NE52,"Este lugar abre no nível "&amp;$MQ52,""),IF($MS52&gt;$NF52,"Classe "&amp;$MS52&amp;": o nível "&amp;$NE52&amp;" libera até a "&amp;$NF52,""),IF($NX52=1,"A Forma "&amp;$MU52&amp;" pede "&amp;INDEX('DADOS_FORMAS'!$GA$2:$GA$21,$NJ52)&amp;" aberta",""),IF(AND($MS52=0,$NJ52&gt;0,IF($NJ52=0,0,INDEX('DADOS_FORMAS'!$GJ$2:$GJ$21,$NJ52))=0),$MU52&amp;"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Corpo")&gt;0,$OF52=0,OR($RO52="Cone",$RO52="Linha")),"Corpo a Corpo não entra em "&amp;$MU52,""),IF(AND(COUNTIF($OK52:$OL52,"Corpo a Corpo")&gt;0,$RP52="Corpo a Corpo"),"A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"&amp;$NC52,""))),IF(AND($MU52&lt;&gt;"",COUNTIF('DADOS_FORMAS'!$AH$2:$AH$21,SUBSTITUTE(SUBSTITUTE(SUBSTITUTE($MU52,"~","~~"),"*","~*"),"?","~?"))=0),"Forma não cadastrada ou com erro: "&amp;$MU52,""),IF(AND(IFERROR(INDEX('DADOS_FORMAS'!$AS$2:$AS$21,MATCH(SUBSTITUTE(SUBSTITUTE(SUBSTITUTE($MU52,"~","~~"),"*","~*"),"?","~?"),'DADOS_FORMAS'!$AH$2:$AH$21,0)),"")&lt;&gt;"",OR(IFERROR(VLOOKUP(SUBSTITUTE(SUBSTITUTE(SUBSTITUTE(IFERROR(INDEX('DADOS_FORMAS'!$AS$2:$AS$21,MATCH(SUBSTITUTE(SUBSTITUTE(SUBSTITUTE($MU52,"~","~~"),"*","~*"),"?","~?"),'DADOS_FORMAS'!$AH$2:$AH$21,0)),""),"~","~~"),"*","~*"),"?","~?"),'DADOS_RESTRICOES'!$M$2:$Q$54,2,FALSE),"")=$OK52,IFERROR(VLOOKUP(SUBSTITUTE(SUBSTITUTE(SUBSTITUTE(IFERROR(INDEX('DADOS_FORMAS'!$AS$2:$AS$21,MATCH(SUBSTITUTE(SUBSTITUTE(SUBSTITUTE($MU52,"~","~~"),"*","~*"),"?","~?"),'DADOS_FORMAS'!$AH$2:$AH$21,0)),""),"~","~~"),"*","~*"),"?","~?"),'DADOS_RESTRICOES'!$M$2:$Q$54,2,FALSE),"")=$OL52)),"Restrição repetida, contando a embutida",""),IF(IF(IFERROR(INDEX('DADOS_FORMAS'!$AS$2:$AS$21,MATCH(SUBSTITUTE(SUBSTITUTE(SUBSTITUTE($MU52,"~","~~"),"*","~*"),"?","~?"),'DADOS_FORMAS'!$AH$2:$AH$21,0)),"")="",0,IFERROR(N(VLOOKUP(SUBSTITUTE(SUBSTITUTE(SUBSTITUTE(IFERROR(INDEX('DADOS_FORMAS'!$AS$2:$AS$21,MATCH(SUBSTITUTE(SUBSTITUTE(SUBSTITUTE($MU52,"~","~~"),"*","~*"),"?","~?"),'DADOS_FORMAS'!$AH$2:$AH$21,0)),""),"~","~~"),"*","~*"),"?","~?"),'DADOS_RESTRICOES'!$M$2:$Q$54,4,FALSE)=1),0))+IF($NB52="",0,IFERROR(N(VLOOKUP(SUBSTITUTE(SUBSTITUTE(SUBSTITUTE($NB52,"~","~~"),"*","~*"),"?","~?"),'DADOS_RESTRICOES'!$M$2:$Q$54,4,FALSE)=1),0))+IF($NC52="",0,IFERROR(N(VLOOKUP(SUBSTITUTE(SUBSTITUTE(SUBSTITUTE($NC52,"~","~~"),"*","~*"),"?","~?"),'DADOS_RESTRICOES'!$M$2:$Q$54,4,FALSE)=1),0))&gt;1,"Duas Restrições de frequência, contando a embutida",""),IF(AND(IFERROR(VLOOKUP(SUBSTITUTE(SUBSTITUTE(SUBSTITUTE(IFERROR(INDEX('DADOS_FORMAS'!$AS$2:$AS$21,MATCH(SUBSTITUTE(SUBSTITUTE(SUBSTITUTE($MU52,"~","~~"),"*","~*"),"?","~?"),'DADOS_FORMAS'!$AH$2:$AH$21,0)),""),"~","~~"),"*","~*"),"?","~?"),'DADOS_RESTRICOES'!$M$2:$Q$54,2,FALSE),"")="Tudo ou Nada",$OH52=0),"Tudo ou Nada exige TR",""),IF(AND(IFERROR(VLOOKUP(SUBSTITUTE(SUBSTITUTE(SUBSTITUTE(IFERROR(INDEX('DADOS_FORMAS'!$AS$2:$AS$21,MATCH(SUBSTITUTE(SUBSTITUTE(SUBSTITUTE($MU52,"~","~~"),"*","~*"),"?","~?"),'DADOS_FORMAS'!$AH$2:$AH$21,0)),""),"~","~~"),"*","~*"),"?","~?"),'DADOS_RESTRICOES'!$M$2:$Q$54,2,FALSE),"")="Corpo a Corpo",OR($RO52="Cone",$RO52="Linha")),"Corpo a Corpo não entra em Cone/Linha","")))</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dela",IF(COUNTIF($RQ52:$RS52,"Atrasar")&gt;0,"Sua Ação Completa",IF(COUNTIF($RK52:$RN52,"Rápido")&gt;0,"Sua Bônus",IF(COUNTIF($RK52:$RN52,"Reação")&gt;0,"Sua Reação","Sua Padrão")))&amp;" + a básica dela"&amp;IF(COUNTIF($RK52:$RN52,"Reação")&gt;0," e a coletiva","")&amp;IF(COUNTIF($RQ52:$RS52,"Carregar")&gt;0," · em dois turnos","")))</f>
        <v/>
      </c>
      <c r="QC52" s="161">
        <f>IF($MW52&lt;&gt;"",$MW52,IF($NJ52=0,"",INDEX('DADOS_FORMAS'!$GE$2:$GE$21,$NJ52)))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IF($NJ52=0,0,CHOOSE(1+INDEX('DADOS_FORMAS'!$GG$2:$GG$21,$NJ52),0,$QF52,$QG52,$QF52+$QG52))</f>
        <v/>
      </c>
      <c r="QI52" s="161">
        <f>IF($NJ52=0,0,CHOOSE(1+INDEX('DADOS_FORMAS'!$GH$2:$GH$21,$NJ52),0,$QF52,$QG52,$QF52+$QG52))</f>
        <v/>
      </c>
      <c r="QJ52" s="161">
        <f>IF(OR($ND52=0,$NJ52=0),"",INDEX('DADOS_FORMAS'!$HU$2:$HZ$81,($NJ52-1)*4+IF($MS52=0,1,IF($MS52&lt;=5,2,IF($MS52=6,3,4))),1+MIN(5,$QH52))&amp;INDEX('DADOS_FORMAS'!$IA$2:$IF$81,($NJ52-1)*4+IF($MS52=0,1,IF($MS52&lt;=5,2,IF($MS52=6,3,4))),1+MIN(5,$QI52))&amp;IF(INDEX('DADOS_FORMAS'!$GI$2:$GI$21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c r="RO52">
        <f>IFERROR(INDEX('DADOS_FORMAS'!$BJ$2:$BJ$21,MATCH(SUBSTITUTE(SUBSTITUTE(SUBSTITUTE($MU52,"~","~~"),"*","~*"),"?","~?"),'DADOS_FORMAS'!$AH$2:$AH$21,0)),"")</f>
        <v/>
      </c>
      <c r="RP52">
        <f>IFERROR(VLOOKUP(SUBSTITUTE(SUBSTITUTE(SUBSTITUTE(IFERROR(INDEX('DADOS_FORMAS'!$AS$2:$AS$21,MATCH(SUBSTITUTE(SUBSTITUTE(SUBSTITUTE($MU52,"~","~~"),"*","~*"),"?","~?"),'DADOS_FORMAS'!$AH$2:$AH$21,0)),""),"~","~~"),"*","~*"),"?","~?"),'DADOS_RESTRICOES'!$M$2:$Q$54,2,FALSE),"")</f>
        <v/>
      </c>
      <c r="RQ52">
        <f>$OK52</f>
        <v/>
      </c>
      <c r="RR52">
        <f>$OL52</f>
        <v/>
      </c>
      <c r="RS52">
        <f>$RP52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IFERROR(MATCH(SUBSTITUTE(SUBSTITUTE(SUBSTITUTE($MU53,"~","~~"),"*","~*"),"?","~?"),'DADOS_FORMAS'!$FZ$2:$FZ$21,0),0)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IF($MS53=0,0,IF($NJ53=0,0,INDEX('DADOS_FORMAS'!$GB$2:$GB$21,$NJ53)))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IF($NJ53=0,0,IF(INDEX('DADOS_FORMAS'!$GA$2:$GA$21,$NJ53)="",0,IF((COUNTIF(INDEX($EL$2:$EP$13,$MO53,0),INDEX('DADOS_FORMAS'!$GA$2:$GA$21,$NJ53))+COUNTIF(INDEX($QV$2:$QY$13,$MO53,0),INDEX('DADOS_FORMAS'!$GA$2:$GA$21,$NJ53)))=0,1,0)))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IFERROR(N(AND(INDEX('DADOS_FORMAS'!$AO$2:$AO$21,MATCH(SUBSTITUTE(SUBSTITUTE(SUBSTITUTE($MU53,"~","~~"),"*","~*"),"?","~?"),'DADOS_FORMAS'!$AH$2:$AH$21,0))="Acerto",$OH53=1)),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IF($NJ53=0,0,INDEX('DADOS_FORMAS'!$GC$2:$GC$21,$NJ53))</f>
        <v/>
      </c>
      <c r="OG53" s="161">
        <f>IF($NJ53=0,0,INDEX('DADOS_FORMAS'!$GD$2:$GD$21,$NJ53))</f>
        <v/>
      </c>
      <c r="OH53" s="161">
        <f>IF($NJ53=0,0,INDEX('DADOS_FORMAS'!$GF$2:$GF$21,$NJ53))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IF(IFERROR(INDEX('DADOS_FORMAS'!$AS$2:$AS$21,MATCH(SUBSTITUTE(SUBSTITUTE(SUBSTITUTE($MU53,"~","~~"),"*","~*"),"?","~?"),'DADOS_FORMAS'!$AH$2:$AH$21,0)),"")="",0,IFERROR(N(VLOOKUP(SUBSTITUTE(SUBSTITUTE(SUBSTITUTE(IFERROR(INDEX('DADOS_FORMAS'!$AS$2:$AS$21,MATCH(SUBSTITUTE(SUBSTITUTE(SUBSTITUTE($MU53,"~","~~"),"*","~*"),"?","~?"),'DADOS_FORMAS'!$AH$2:$AH$21,0)),""),"~","~~"),"*","~*"),"?","~?"),'DADOS_RESTRICOES'!$M$2:$Q$54,3,FALSE)=1),0))</f>
        <v/>
      </c>
      <c r="OT53" s="161">
        <f>COUNTIF($OI53:$OJ53,2)+IF(IFERROR(INDEX('DADOS_FORMAS'!$AS$2:$AS$21,MATCH(SUBSTITUTE(SUBSTITUTE(SUBSTITUTE($MU53,"~","~~"),"*","~*"),"?","~?"),'DADOS_FORMAS'!$AH$2:$AH$21,0)),"")="",0,IFERROR(N(VLOOKUP(SUBSTITUTE(SUBSTITUTE(SUBSTITUTE(IFERROR(INDEX('DADOS_FORMAS'!$AS$2:$AS$21,MATCH(SUBSTITUTE(SUBSTITUTE(SUBSTITUTE($MU53,"~","~~"),"*","~*"),"?","~?"),'DADOS_FORMAS'!$AH$2:$AH$21,0)),""),"~","~~"),"*","~*"),"?","~?"),'DADOS_RESTRICOES'!$M$2:$Q$54,3,FALSE)=2),0))</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",TRUE,IF($ND53=0,"",TEXTJOIN(" · ",TRUE,IF($MQ53&gt;$NE53,"Este lugar abre no nível "&amp;$MQ53,""),IF($MS53&gt;$NF53,"Classe "&amp;$MS53&amp;": o nível "&amp;$NE53&amp;" libera até a "&amp;$NF53,""),IF($NX53=1,"A Forma "&amp;$MU53&amp;" pede "&amp;INDEX('DADOS_FORMAS'!$GA$2:$GA$21,$NJ53)&amp;" aberta",""),IF(AND($MS53=0,$NJ53&gt;0,IF($NJ53=0,0,INDEX('DADOS_FORMAS'!$GJ$2:$GJ$21,$NJ53))=0),$MU53&amp;"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Corpo")&gt;0,$OF53=0,OR($RO53="Cone",$RO53="Linha")),"Corpo a Corpo não entra em "&amp;$MU53,""),IF(AND(COUNTIF($OK53:$OL53,"Corpo a Corpo")&gt;0,$RP53="Corpo a Corpo"),"A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"&amp;$NC53,""))),IF(AND($MU53&lt;&gt;"",COUNTIF('DADOS_FORMAS'!$AH$2:$AH$21,SUBSTITUTE(SUBSTITUTE(SUBSTITUTE($MU53,"~","~~"),"*","~*"),"?","~?"))=0),"Forma não cadastrada ou com erro: "&amp;$MU53,""),IF(AND(IFERROR(INDEX('DADOS_FORMAS'!$AS$2:$AS$21,MATCH(SUBSTITUTE(SUBSTITUTE(SUBSTITUTE($MU53,"~","~~"),"*","~*"),"?","~?"),'DADOS_FORMAS'!$AH$2:$AH$21,0)),"")&lt;&gt;"",OR(IFERROR(VLOOKUP(SUBSTITUTE(SUBSTITUTE(SUBSTITUTE(IFERROR(INDEX('DADOS_FORMAS'!$AS$2:$AS$21,MATCH(SUBSTITUTE(SUBSTITUTE(SUBSTITUTE($MU53,"~","~~"),"*","~*"),"?","~?"),'DADOS_FORMAS'!$AH$2:$AH$21,0)),""),"~","~~"),"*","~*"),"?","~?"),'DADOS_RESTRICOES'!$M$2:$Q$54,2,FALSE),"")=$OK53,IFERROR(VLOOKUP(SUBSTITUTE(SUBSTITUTE(SUBSTITUTE(IFERROR(INDEX('DADOS_FORMAS'!$AS$2:$AS$21,MATCH(SUBSTITUTE(SUBSTITUTE(SUBSTITUTE($MU53,"~","~~"),"*","~*"),"?","~?"),'DADOS_FORMAS'!$AH$2:$AH$21,0)),""),"~","~~"),"*","~*"),"?","~?"),'DADOS_RESTRICOES'!$M$2:$Q$54,2,FALSE),"")=$OL53)),"Restrição repetida, contando a embutida",""),IF(IF(IFERROR(INDEX('DADOS_FORMAS'!$AS$2:$AS$21,MATCH(SUBSTITUTE(SUBSTITUTE(SUBSTITUTE($MU53,"~","~~"),"*","~*"),"?","~?"),'DADOS_FORMAS'!$AH$2:$AH$21,0)),"")="",0,IFERROR(N(VLOOKUP(SUBSTITUTE(SUBSTITUTE(SUBSTITUTE(IFERROR(INDEX('DADOS_FORMAS'!$AS$2:$AS$21,MATCH(SUBSTITUTE(SUBSTITUTE(SUBSTITUTE($MU53,"~","~~"),"*","~*"),"?","~?"),'DADOS_FORMAS'!$AH$2:$AH$21,0)),""),"~","~~"),"*","~*"),"?","~?"),'DADOS_RESTRICOES'!$M$2:$Q$54,4,FALSE)=1),0))+IF($NB53="",0,IFERROR(N(VLOOKUP(SUBSTITUTE(SUBSTITUTE(SUBSTITUTE($NB53,"~","~~"),"*","~*"),"?","~?"),'DADOS_RESTRICOES'!$M$2:$Q$54,4,FALSE)=1),0))+IF($NC53="",0,IFERROR(N(VLOOKUP(SUBSTITUTE(SUBSTITUTE(SUBSTITUTE($NC53,"~","~~"),"*","~*"),"?","~?"),'DADOS_RESTRICOES'!$M$2:$Q$54,4,FALSE)=1),0))&gt;1,"Duas Restrições de frequência, contando a embutida",""),IF(AND(IFERROR(VLOOKUP(SUBSTITUTE(SUBSTITUTE(SUBSTITUTE(IFERROR(INDEX('DADOS_FORMAS'!$AS$2:$AS$21,MATCH(SUBSTITUTE(SUBSTITUTE(SUBSTITUTE($MU53,"~","~~"),"*","~*"),"?","~?"),'DADOS_FORMAS'!$AH$2:$AH$21,0)),""),"~","~~"),"*","~*"),"?","~?"),'DADOS_RESTRICOES'!$M$2:$Q$54,2,FALSE),"")="Tudo ou Nada",$OH53=0),"Tudo ou Nada exige TR",""),IF(AND(IFERROR(VLOOKUP(SUBSTITUTE(SUBSTITUTE(SUBSTITUTE(IFERROR(INDEX('DADOS_FORMAS'!$AS$2:$AS$21,MATCH(SUBSTITUTE(SUBSTITUTE(SUBSTITUTE($MU53,"~","~~"),"*","~*"),"?","~?"),'DADOS_FORMAS'!$AH$2:$AH$21,0)),""),"~","~~"),"*","~*"),"?","~?"),'DADOS_RESTRICOES'!$M$2:$Q$54,2,FALSE),"")="Corpo a Corpo",OR($RO53="Cone",$RO53="Linha")),"Corpo a Corpo não entra em Cone/Linha","")))</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dela",IF(COUNTIF($RQ53:$RS53,"Atrasar")&gt;0,"Sua Ação Completa",IF(COUNTIF($RK53:$RN53,"Rápido")&gt;0,"Sua Bônus",IF(COUNTIF($RK53:$RN53,"Reação")&gt;0,"Sua Reação","Sua Padrão")))&amp;" + a básica dela"&amp;IF(COUNTIF($RK53:$RN53,"Reação")&gt;0," e a coletiva","")&amp;IF(COUNTIF($RQ53:$RS53,"Carregar")&gt;0," · em dois turnos","")))</f>
        <v/>
      </c>
      <c r="QC53" s="161">
        <f>IF($MW53&lt;&gt;"",$MW53,IF($NJ53=0,"",INDEX('DADOS_FORMAS'!$GE$2:$GE$21,$NJ53)))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IF($NJ53=0,0,CHOOSE(1+INDEX('DADOS_FORMAS'!$GG$2:$GG$21,$NJ53),0,$QF53,$QG53,$QF53+$QG53))</f>
        <v/>
      </c>
      <c r="QI53" s="161">
        <f>IF($NJ53=0,0,CHOOSE(1+INDEX('DADOS_FORMAS'!$GH$2:$GH$21,$NJ53),0,$QF53,$QG53,$QF53+$QG53))</f>
        <v/>
      </c>
      <c r="QJ53" s="161">
        <f>IF(OR($ND53=0,$NJ53=0),"",INDEX('DADOS_FORMAS'!$HU$2:$HZ$81,($NJ53-1)*4+IF($MS53=0,1,IF($MS53&lt;=5,2,IF($MS53=6,3,4))),1+MIN(5,$QH53))&amp;INDEX('DADOS_FORMAS'!$IA$2:$IF$81,($NJ53-1)*4+IF($MS53=0,1,IF($MS53&lt;=5,2,IF($MS53=6,3,4))),1+MIN(5,$QI53))&amp;IF(INDEX('DADOS_FORMAS'!$GI$2:$GI$21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c r="RO53">
        <f>IFERROR(INDEX('DADOS_FORMAS'!$BJ$2:$BJ$21,MATCH(SUBSTITUTE(SUBSTITUTE(SUBSTITUTE($MU53,"~","~~"),"*","~*"),"?","~?"),'DADOS_FORMAS'!$AH$2:$AH$21,0)),"")</f>
        <v/>
      </c>
      <c r="RP53">
        <f>IFERROR(VLOOKUP(SUBSTITUTE(SUBSTITUTE(SUBSTITUTE(IFERROR(INDEX('DADOS_FORMAS'!$AS$2:$AS$21,MATCH(SUBSTITUTE(SUBSTITUTE(SUBSTITUTE($MU53,"~","~~"),"*","~*"),"?","~?"),'DADOS_FORMAS'!$AH$2:$AH$21,0)),""),"~","~~"),"*","~*"),"?","~?"),'DADOS_RESTRICOES'!$M$2:$Q$54,2,FALSE),"")</f>
        <v/>
      </c>
      <c r="RQ53">
        <f>$OK53</f>
        <v/>
      </c>
      <c r="RR53">
        <f>$OL53</f>
        <v/>
      </c>
      <c r="RS53">
        <f>$RP53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IFERROR(MATCH(SUBSTITUTE(SUBSTITUTE(SUBSTITUTE($MU54,"~","~~"),"*","~*"),"?","~?"),'DADOS_FORMAS'!$FZ$2:$FZ$21,0),0)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IF($MS54=0,0,IF($NJ54=0,0,INDEX('DADOS_FORMAS'!$GB$2:$GB$21,$NJ54)))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IF($NJ54=0,0,IF(INDEX('DADOS_FORMAS'!$GA$2:$GA$21,$NJ54)="",0,IF((COUNTIF(INDEX($EL$2:$EP$13,$MO54,0),INDEX('DADOS_FORMAS'!$GA$2:$GA$21,$NJ54))+COUNTIF(INDEX($QV$2:$QY$13,$MO54,0),INDEX('DADOS_FORMAS'!$GA$2:$GA$21,$NJ54)))=0,1,0)))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IFERROR(N(AND(INDEX('DADOS_FORMAS'!$AO$2:$AO$21,MATCH(SUBSTITUTE(SUBSTITUTE(SUBSTITUTE($MU54,"~","~~"),"*","~*"),"?","~?"),'DADOS_FORMAS'!$AH$2:$AH$21,0))="Acerto",$OH54=1)),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IF($NJ54=0,0,INDEX('DADOS_FORMAS'!$GC$2:$GC$21,$NJ54))</f>
        <v/>
      </c>
      <c r="OG54" s="161">
        <f>IF($NJ54=0,0,INDEX('DADOS_FORMAS'!$GD$2:$GD$21,$NJ54))</f>
        <v/>
      </c>
      <c r="OH54" s="161">
        <f>IF($NJ54=0,0,INDEX('DADOS_FORMAS'!$GF$2:$GF$21,$NJ54))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IF(IFERROR(INDEX('DADOS_FORMAS'!$AS$2:$AS$21,MATCH(SUBSTITUTE(SUBSTITUTE(SUBSTITUTE($MU54,"~","~~"),"*","~*"),"?","~?"),'DADOS_FORMAS'!$AH$2:$AH$21,0)),"")="",0,IFERROR(N(VLOOKUP(SUBSTITUTE(SUBSTITUTE(SUBSTITUTE(IFERROR(INDEX('DADOS_FORMAS'!$AS$2:$AS$21,MATCH(SUBSTITUTE(SUBSTITUTE(SUBSTITUTE($MU54,"~","~~"),"*","~*"),"?","~?"),'DADOS_FORMAS'!$AH$2:$AH$21,0)),""),"~","~~"),"*","~*"),"?","~?"),'DADOS_RESTRICOES'!$M$2:$Q$54,3,FALSE)=1),0))</f>
        <v/>
      </c>
      <c r="OT54" s="161">
        <f>COUNTIF($OI54:$OJ54,2)+IF(IFERROR(INDEX('DADOS_FORMAS'!$AS$2:$AS$21,MATCH(SUBSTITUTE(SUBSTITUTE(SUBSTITUTE($MU54,"~","~~"),"*","~*"),"?","~?"),'DADOS_FORMAS'!$AH$2:$AH$21,0)),"")="",0,IFERROR(N(VLOOKUP(SUBSTITUTE(SUBSTITUTE(SUBSTITUTE(IFERROR(INDEX('DADOS_FORMAS'!$AS$2:$AS$21,MATCH(SUBSTITUTE(SUBSTITUTE(SUBSTITUTE($MU54,"~","~~"),"*","~*"),"?","~?"),'DADOS_FORMAS'!$AH$2:$AH$21,0)),""),"~","~~"),"*","~*"),"?","~?"),'DADOS_RESTRICOES'!$M$2:$Q$54,3,FALSE)=2),0))</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",TRUE,IF($ND54=0,"",TEXTJOIN(" · ",TRUE,IF($MQ54&gt;$NE54,"Este lugar abre no nível "&amp;$MQ54,""),IF($MS54&gt;$NF54,"Classe "&amp;$MS54&amp;": o nível "&amp;$NE54&amp;" libera até a "&amp;$NF54,""),IF($NX54=1,"A Forma "&amp;$MU54&amp;" pede "&amp;INDEX('DADOS_FORMAS'!$GA$2:$GA$21,$NJ54)&amp;" aberta",""),IF(AND($MS54=0,$NJ54&gt;0,IF($NJ54=0,0,INDEX('DADOS_FORMAS'!$GJ$2:$GJ$21,$NJ54))=0),$MU54&amp;"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Corpo")&gt;0,$OF54=0,OR($RO54="Cone",$RO54="Linha")),"Corpo a Corpo não entra em "&amp;$MU54,""),IF(AND(COUNTIF($OK54:$OL54,"Corpo a Corpo")&gt;0,$RP54="Corpo a Corpo"),"A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"&amp;$NC54,""))),IF(AND($MU54&lt;&gt;"",COUNTIF('DADOS_FORMAS'!$AH$2:$AH$21,SUBSTITUTE(SUBSTITUTE(SUBSTITUTE($MU54,"~","~~"),"*","~*"),"?","~?"))=0),"Forma não cadastrada ou com erro: "&amp;$MU54,""),IF(AND(IFERROR(INDEX('DADOS_FORMAS'!$AS$2:$AS$21,MATCH(SUBSTITUTE(SUBSTITUTE(SUBSTITUTE($MU54,"~","~~"),"*","~*"),"?","~?"),'DADOS_FORMAS'!$AH$2:$AH$21,0)),"")&lt;&gt;"",OR(IFERROR(VLOOKUP(SUBSTITUTE(SUBSTITUTE(SUBSTITUTE(IFERROR(INDEX('DADOS_FORMAS'!$AS$2:$AS$21,MATCH(SUBSTITUTE(SUBSTITUTE(SUBSTITUTE($MU54,"~","~~"),"*","~*"),"?","~?"),'DADOS_FORMAS'!$AH$2:$AH$21,0)),""),"~","~~"),"*","~*"),"?","~?"),'DADOS_RESTRICOES'!$M$2:$Q$54,2,FALSE),"")=$OK54,IFERROR(VLOOKUP(SUBSTITUTE(SUBSTITUTE(SUBSTITUTE(IFERROR(INDEX('DADOS_FORMAS'!$AS$2:$AS$21,MATCH(SUBSTITUTE(SUBSTITUTE(SUBSTITUTE($MU54,"~","~~"),"*","~*"),"?","~?"),'DADOS_FORMAS'!$AH$2:$AH$21,0)),""),"~","~~"),"*","~*"),"?","~?"),'DADOS_RESTRICOES'!$M$2:$Q$54,2,FALSE),"")=$OL54)),"Restrição repetida, contando a embutida",""),IF(IF(IFERROR(INDEX('DADOS_FORMAS'!$AS$2:$AS$21,MATCH(SUBSTITUTE(SUBSTITUTE(SUBSTITUTE($MU54,"~","~~"),"*","~*"),"?","~?"),'DADOS_FORMAS'!$AH$2:$AH$21,0)),"")="",0,IFERROR(N(VLOOKUP(SUBSTITUTE(SUBSTITUTE(SUBSTITUTE(IFERROR(INDEX('DADOS_FORMAS'!$AS$2:$AS$21,MATCH(SUBSTITUTE(SUBSTITUTE(SUBSTITUTE($MU54,"~","~~"),"*","~*"),"?","~?"),'DADOS_FORMAS'!$AH$2:$AH$21,0)),""),"~","~~"),"*","~*"),"?","~?"),'DADOS_RESTRICOES'!$M$2:$Q$54,4,FALSE)=1),0))+IF($NB54="",0,IFERROR(N(VLOOKUP(SUBSTITUTE(SUBSTITUTE(SUBSTITUTE($NB54,"~","~~"),"*","~*"),"?","~?"),'DADOS_RESTRICOES'!$M$2:$Q$54,4,FALSE)=1),0))+IF($NC54="",0,IFERROR(N(VLOOKUP(SUBSTITUTE(SUBSTITUTE(SUBSTITUTE($NC54,"~","~~"),"*","~*"),"?","~?"),'DADOS_RESTRICOES'!$M$2:$Q$54,4,FALSE)=1),0))&gt;1,"Duas Restrições de frequência, contando a embutida",""),IF(AND(IFERROR(VLOOKUP(SUBSTITUTE(SUBSTITUTE(SUBSTITUTE(IFERROR(INDEX('DADOS_FORMAS'!$AS$2:$AS$21,MATCH(SUBSTITUTE(SUBSTITUTE(SUBSTITUTE($MU54,"~","~~"),"*","~*"),"?","~?"),'DADOS_FORMAS'!$AH$2:$AH$21,0)),""),"~","~~"),"*","~*"),"?","~?"),'DADOS_RESTRICOES'!$M$2:$Q$54,2,FALSE),"")="Tudo ou Nada",$OH54=0),"Tudo ou Nada exige TR",""),IF(AND(IFERROR(VLOOKUP(SUBSTITUTE(SUBSTITUTE(SUBSTITUTE(IFERROR(INDEX('DADOS_FORMAS'!$AS$2:$AS$21,MATCH(SUBSTITUTE(SUBSTITUTE(SUBSTITUTE($MU54,"~","~~"),"*","~*"),"?","~?"),'DADOS_FORMAS'!$AH$2:$AH$21,0)),""),"~","~~"),"*","~*"),"?","~?"),'DADOS_RESTRICOES'!$M$2:$Q$54,2,FALSE),"")="Corpo a Corpo",OR($RO54="Cone",$RO54="Linha")),"Corpo a Corpo não entra em Cone/Linha","")))</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dela",IF(COUNTIF($RQ54:$RS54,"Atrasar")&gt;0,"Sua Ação Completa",IF(COUNTIF($RK54:$RN54,"Rápido")&gt;0,"Sua Bônus",IF(COUNTIF($RK54:$RN54,"Reação")&gt;0,"Sua Reação","Sua Padrão")))&amp;" + a básica dela"&amp;IF(COUNTIF($RK54:$RN54,"Reação")&gt;0," e a coletiva","")&amp;IF(COUNTIF($RQ54:$RS54,"Carregar")&gt;0," · em dois turnos","")))</f>
        <v/>
      </c>
      <c r="QC54" s="161">
        <f>IF($MW54&lt;&gt;"",$MW54,IF($NJ54=0,"",INDEX('DADOS_FORMAS'!$GE$2:$GE$21,$NJ54)))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IF($NJ54=0,0,CHOOSE(1+INDEX('DADOS_FORMAS'!$GG$2:$GG$21,$NJ54),0,$QF54,$QG54,$QF54+$QG54))</f>
        <v/>
      </c>
      <c r="QI54" s="161">
        <f>IF($NJ54=0,0,CHOOSE(1+INDEX('DADOS_FORMAS'!$GH$2:$GH$21,$NJ54),0,$QF54,$QG54,$QF54+$QG54))</f>
        <v/>
      </c>
      <c r="QJ54" s="161">
        <f>IF(OR($ND54=0,$NJ54=0),"",INDEX('DADOS_FORMAS'!$HU$2:$HZ$81,($NJ54-1)*4+IF($MS54=0,1,IF($MS54&lt;=5,2,IF($MS54=6,3,4))),1+MIN(5,$QH54))&amp;INDEX('DADOS_FORMAS'!$IA$2:$IF$81,($NJ54-1)*4+IF($MS54=0,1,IF($MS54&lt;=5,2,IF($MS54=6,3,4))),1+MIN(5,$QI54))&amp;IF(INDEX('DADOS_FORMAS'!$GI$2:$GI$21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c r="RO54">
        <f>IFERROR(INDEX('DADOS_FORMAS'!$BJ$2:$BJ$21,MATCH(SUBSTITUTE(SUBSTITUTE(SUBSTITUTE($MU54,"~","~~"),"*","~*"),"?","~?"),'DADOS_FORMAS'!$AH$2:$AH$21,0)),"")</f>
        <v/>
      </c>
      <c r="RP54">
        <f>IFERROR(VLOOKUP(SUBSTITUTE(SUBSTITUTE(SUBSTITUTE(IFERROR(INDEX('DADOS_FORMAS'!$AS$2:$AS$21,MATCH(SUBSTITUTE(SUBSTITUTE(SUBSTITUTE($MU54,"~","~~"),"*","~*"),"?","~?"),'DADOS_FORMAS'!$AH$2:$AH$21,0)),""),"~","~~"),"*","~*"),"?","~?"),'DADOS_RESTRICOES'!$M$2:$Q$54,2,FALSE),"")</f>
        <v/>
      </c>
      <c r="RQ54">
        <f>$OK54</f>
        <v/>
      </c>
      <c r="RR54">
        <f>$OL54</f>
        <v/>
      </c>
      <c r="RS54">
        <f>$RP54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IFERROR(MATCH(SUBSTITUTE(SUBSTITUTE(SUBSTITUTE($MU55,"~","~~"),"*","~*"),"?","~?"),'DADOS_FORMAS'!$FZ$2:$FZ$21,0),0)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IF($MS55=0,0,IF($NJ55=0,0,INDEX('DADOS_FORMAS'!$GB$2:$GB$21,$NJ55)))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IF($NJ55=0,0,IF(INDEX('DADOS_FORMAS'!$GA$2:$GA$21,$NJ55)="",0,IF((COUNTIF(INDEX($EL$2:$EP$13,$MO55,0),INDEX('DADOS_FORMAS'!$GA$2:$GA$21,$NJ55))+COUNTIF(INDEX($QV$2:$QY$13,$MO55,0),INDEX('DADOS_FORMAS'!$GA$2:$GA$21,$NJ55)))=0,1,0)))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IFERROR(N(AND(INDEX('DADOS_FORMAS'!$AO$2:$AO$21,MATCH(SUBSTITUTE(SUBSTITUTE(SUBSTITUTE($MU55,"~","~~"),"*","~*"),"?","~?"),'DADOS_FORMAS'!$AH$2:$AH$21,0))="Acerto",$OH55=1)),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IF($NJ55=0,0,INDEX('DADOS_FORMAS'!$GC$2:$GC$21,$NJ55))</f>
        <v/>
      </c>
      <c r="OG55" s="161">
        <f>IF($NJ55=0,0,INDEX('DADOS_FORMAS'!$GD$2:$GD$21,$NJ55))</f>
        <v/>
      </c>
      <c r="OH55" s="161">
        <f>IF($NJ55=0,0,INDEX('DADOS_FORMAS'!$GF$2:$GF$21,$NJ55))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IF(IFERROR(INDEX('DADOS_FORMAS'!$AS$2:$AS$21,MATCH(SUBSTITUTE(SUBSTITUTE(SUBSTITUTE($MU55,"~","~~"),"*","~*"),"?","~?"),'DADOS_FORMAS'!$AH$2:$AH$21,0)),"")="",0,IFERROR(N(VLOOKUP(SUBSTITUTE(SUBSTITUTE(SUBSTITUTE(IFERROR(INDEX('DADOS_FORMAS'!$AS$2:$AS$21,MATCH(SUBSTITUTE(SUBSTITUTE(SUBSTITUTE($MU55,"~","~~"),"*","~*"),"?","~?"),'DADOS_FORMAS'!$AH$2:$AH$21,0)),""),"~","~~"),"*","~*"),"?","~?"),'DADOS_RESTRICOES'!$M$2:$Q$54,3,FALSE)=1),0))</f>
        <v/>
      </c>
      <c r="OT55" s="161">
        <f>COUNTIF($OI55:$OJ55,2)+IF(IFERROR(INDEX('DADOS_FORMAS'!$AS$2:$AS$21,MATCH(SUBSTITUTE(SUBSTITUTE(SUBSTITUTE($MU55,"~","~~"),"*","~*"),"?","~?"),'DADOS_FORMAS'!$AH$2:$AH$21,0)),"")="",0,IFERROR(N(VLOOKUP(SUBSTITUTE(SUBSTITUTE(SUBSTITUTE(IFERROR(INDEX('DADOS_FORMAS'!$AS$2:$AS$21,MATCH(SUBSTITUTE(SUBSTITUTE(SUBSTITUTE($MU55,"~","~~"),"*","~*"),"?","~?"),'DADOS_FORMAS'!$AH$2:$AH$21,0)),""),"~","~~"),"*","~*"),"?","~?"),'DADOS_RESTRICOES'!$M$2:$Q$54,3,FALSE)=2),0))</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",TRUE,IF($ND55=0,"",TEXTJOIN(" · ",TRUE,IF($MQ55&gt;$NE55,"Este lugar abre no nível "&amp;$MQ55,""),IF($MS55&gt;$NF55,"Classe "&amp;$MS55&amp;": o nível "&amp;$NE55&amp;" libera até a "&amp;$NF55,""),IF($NX55=1,"A Forma "&amp;$MU55&amp;" pede "&amp;INDEX('DADOS_FORMAS'!$GA$2:$GA$21,$NJ55)&amp;" aberta",""),IF(AND($MS55=0,$NJ55&gt;0,IF($NJ55=0,0,INDEX('DADOS_FORMAS'!$GJ$2:$GJ$21,$NJ55))=0),$MU55&amp;"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Corpo")&gt;0,$OF55=0,OR($RO55="Cone",$RO55="Linha")),"Corpo a Corpo não entra em "&amp;$MU55,""),IF(AND(COUNTIF($OK55:$OL55,"Corpo a Corpo")&gt;0,$RP55="Corpo a Corpo"),"A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"&amp;$NC55,""))),IF(AND($MU55&lt;&gt;"",COUNTIF('DADOS_FORMAS'!$AH$2:$AH$21,SUBSTITUTE(SUBSTITUTE(SUBSTITUTE($MU55,"~","~~"),"*","~*"),"?","~?"))=0),"Forma não cadastrada ou com erro: "&amp;$MU55,""),IF(AND(IFERROR(INDEX('DADOS_FORMAS'!$AS$2:$AS$21,MATCH(SUBSTITUTE(SUBSTITUTE(SUBSTITUTE($MU55,"~","~~"),"*","~*"),"?","~?"),'DADOS_FORMAS'!$AH$2:$AH$21,0)),"")&lt;&gt;"",OR(IFERROR(VLOOKUP(SUBSTITUTE(SUBSTITUTE(SUBSTITUTE(IFERROR(INDEX('DADOS_FORMAS'!$AS$2:$AS$21,MATCH(SUBSTITUTE(SUBSTITUTE(SUBSTITUTE($MU55,"~","~~"),"*","~*"),"?","~?"),'DADOS_FORMAS'!$AH$2:$AH$21,0)),""),"~","~~"),"*","~*"),"?","~?"),'DADOS_RESTRICOES'!$M$2:$Q$54,2,FALSE),"")=$OK55,IFERROR(VLOOKUP(SUBSTITUTE(SUBSTITUTE(SUBSTITUTE(IFERROR(INDEX('DADOS_FORMAS'!$AS$2:$AS$21,MATCH(SUBSTITUTE(SUBSTITUTE(SUBSTITUTE($MU55,"~","~~"),"*","~*"),"?","~?"),'DADOS_FORMAS'!$AH$2:$AH$21,0)),""),"~","~~"),"*","~*"),"?","~?"),'DADOS_RESTRICOES'!$M$2:$Q$54,2,FALSE),"")=$OL55)),"Restrição repetida, contando a embutida",""),IF(IF(IFERROR(INDEX('DADOS_FORMAS'!$AS$2:$AS$21,MATCH(SUBSTITUTE(SUBSTITUTE(SUBSTITUTE($MU55,"~","~~"),"*","~*"),"?","~?"),'DADOS_FORMAS'!$AH$2:$AH$21,0)),"")="",0,IFERROR(N(VLOOKUP(SUBSTITUTE(SUBSTITUTE(SUBSTITUTE(IFERROR(INDEX('DADOS_FORMAS'!$AS$2:$AS$21,MATCH(SUBSTITUTE(SUBSTITUTE(SUBSTITUTE($MU55,"~","~~"),"*","~*"),"?","~?"),'DADOS_FORMAS'!$AH$2:$AH$21,0)),""),"~","~~"),"*","~*"),"?","~?"),'DADOS_RESTRICOES'!$M$2:$Q$54,4,FALSE)=1),0))+IF($NB55="",0,IFERROR(N(VLOOKUP(SUBSTITUTE(SUBSTITUTE(SUBSTITUTE($NB55,"~","~~"),"*","~*"),"?","~?"),'DADOS_RESTRICOES'!$M$2:$Q$54,4,FALSE)=1),0))+IF($NC55="",0,IFERROR(N(VLOOKUP(SUBSTITUTE(SUBSTITUTE(SUBSTITUTE($NC55,"~","~~"),"*","~*"),"?","~?"),'DADOS_RESTRICOES'!$M$2:$Q$54,4,FALSE)=1),0))&gt;1,"Duas Restrições de frequência, contando a embutida",""),IF(AND(IFERROR(VLOOKUP(SUBSTITUTE(SUBSTITUTE(SUBSTITUTE(IFERROR(INDEX('DADOS_FORMAS'!$AS$2:$AS$21,MATCH(SUBSTITUTE(SUBSTITUTE(SUBSTITUTE($MU55,"~","~~"),"*","~*"),"?","~?"),'DADOS_FORMAS'!$AH$2:$AH$21,0)),""),"~","~~"),"*","~*"),"?","~?"),'DADOS_RESTRICOES'!$M$2:$Q$54,2,FALSE),"")="Tudo ou Nada",$OH55=0),"Tudo ou Nada exige TR",""),IF(AND(IFERROR(VLOOKUP(SUBSTITUTE(SUBSTITUTE(SUBSTITUTE(IFERROR(INDEX('DADOS_FORMAS'!$AS$2:$AS$21,MATCH(SUBSTITUTE(SUBSTITUTE(SUBSTITUTE($MU55,"~","~~"),"*","~*"),"?","~?"),'DADOS_FORMAS'!$AH$2:$AH$21,0)),""),"~","~~"),"*","~*"),"?","~?"),'DADOS_RESTRICOES'!$M$2:$Q$54,2,FALSE),"")="Corpo a Corpo",OR($RO55="Cone",$RO55="Linha")),"Corpo a Corpo não entra em Cone/Linha","")))</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dela",IF(COUNTIF($RQ55:$RS55,"Atrasar")&gt;0,"Sua Ação Completa",IF(COUNTIF($RK55:$RN55,"Rápido")&gt;0,"Sua Bônus",IF(COUNTIF($RK55:$RN55,"Reação")&gt;0,"Sua Reação","Sua Padrão")))&amp;" + a básica dela"&amp;IF(COUNTIF($RK55:$RN55,"Reação")&gt;0," e a coletiva","")&amp;IF(COUNTIF($RQ55:$RS55,"Carregar")&gt;0," · em dois turnos","")))</f>
        <v/>
      </c>
      <c r="QC55" s="161">
        <f>IF($MW55&lt;&gt;"",$MW55,IF($NJ55=0,"",INDEX('DADOS_FORMAS'!$GE$2:$GE$21,$NJ55)))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IF($NJ55=0,0,CHOOSE(1+INDEX('DADOS_FORMAS'!$GG$2:$GG$21,$NJ55),0,$QF55,$QG55,$QF55+$QG55))</f>
        <v/>
      </c>
      <c r="QI55" s="161">
        <f>IF($NJ55=0,0,CHOOSE(1+INDEX('DADOS_FORMAS'!$GH$2:$GH$21,$NJ55),0,$QF55,$QG55,$QF55+$QG55))</f>
        <v/>
      </c>
      <c r="QJ55" s="161">
        <f>IF(OR($ND55=0,$NJ55=0),"",INDEX('DADOS_FORMAS'!$HU$2:$HZ$81,($NJ55-1)*4+IF($MS55=0,1,IF($MS55&lt;=5,2,IF($MS55=6,3,4))),1+MIN(5,$QH55))&amp;INDEX('DADOS_FORMAS'!$IA$2:$IF$81,($NJ55-1)*4+IF($MS55=0,1,IF($MS55&lt;=5,2,IF($MS55=6,3,4))),1+MIN(5,$QI55))&amp;IF(INDEX('DADOS_FORMAS'!$GI$2:$GI$21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c r="RO55">
        <f>IFERROR(INDEX('DADOS_FORMAS'!$BJ$2:$BJ$21,MATCH(SUBSTITUTE(SUBSTITUTE(SUBSTITUTE($MU55,"~","~~"),"*","~*"),"?","~?"),'DADOS_FORMAS'!$AH$2:$AH$21,0)),"")</f>
        <v/>
      </c>
      <c r="RP55">
        <f>IFERROR(VLOOKUP(SUBSTITUTE(SUBSTITUTE(SUBSTITUTE(IFERROR(INDEX('DADOS_FORMAS'!$AS$2:$AS$21,MATCH(SUBSTITUTE(SUBSTITUTE(SUBSTITUTE($MU55,"~","~~"),"*","~*"),"?","~?"),'DADOS_FORMAS'!$AH$2:$AH$21,0)),""),"~","~~"),"*","~*"),"?","~?"),'DADOS_RESTRICOES'!$M$2:$Q$54,2,FALSE),"")</f>
        <v/>
      </c>
      <c r="RQ55">
        <f>$OK55</f>
        <v/>
      </c>
      <c r="RR55">
        <f>$OL55</f>
        <v/>
      </c>
      <c r="RS55">
        <f>$RP55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IFERROR(MATCH(SUBSTITUTE(SUBSTITUTE(SUBSTITUTE($MU56,"~","~~"),"*","~*"),"?","~?"),'DADOS_FORMAS'!$FZ$2:$FZ$21,0),0)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IF($MS56=0,0,IF($NJ56=0,0,INDEX('DADOS_FORMAS'!$GB$2:$GB$21,$NJ56)))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IF($NJ56=0,0,IF(INDEX('DADOS_FORMAS'!$GA$2:$GA$21,$NJ56)="",0,IF((COUNTIF(INDEX($EL$2:$EP$13,$MO56,0),INDEX('DADOS_FORMAS'!$GA$2:$GA$21,$NJ56))+COUNTIF(INDEX($QV$2:$QY$13,$MO56,0),INDEX('DADOS_FORMAS'!$GA$2:$GA$21,$NJ56)))=0,1,0)))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IFERROR(N(AND(INDEX('DADOS_FORMAS'!$AO$2:$AO$21,MATCH(SUBSTITUTE(SUBSTITUTE(SUBSTITUTE($MU56,"~","~~"),"*","~*"),"?","~?"),'DADOS_FORMAS'!$AH$2:$AH$21,0))="Acerto",$OH56=1)),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IF($NJ56=0,0,INDEX('DADOS_FORMAS'!$GC$2:$GC$21,$NJ56))</f>
        <v/>
      </c>
      <c r="OG56" s="161">
        <f>IF($NJ56=0,0,INDEX('DADOS_FORMAS'!$GD$2:$GD$21,$NJ56))</f>
        <v/>
      </c>
      <c r="OH56" s="161">
        <f>IF($NJ56=0,0,INDEX('DADOS_FORMAS'!$GF$2:$GF$21,$NJ56))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IF(IFERROR(INDEX('DADOS_FORMAS'!$AS$2:$AS$21,MATCH(SUBSTITUTE(SUBSTITUTE(SUBSTITUTE($MU56,"~","~~"),"*","~*"),"?","~?"),'DADOS_FORMAS'!$AH$2:$AH$21,0)),"")="",0,IFERROR(N(VLOOKUP(SUBSTITUTE(SUBSTITUTE(SUBSTITUTE(IFERROR(INDEX('DADOS_FORMAS'!$AS$2:$AS$21,MATCH(SUBSTITUTE(SUBSTITUTE(SUBSTITUTE($MU56,"~","~~"),"*","~*"),"?","~?"),'DADOS_FORMAS'!$AH$2:$AH$21,0)),""),"~","~~"),"*","~*"),"?","~?"),'DADOS_RESTRICOES'!$M$2:$Q$54,3,FALSE)=1),0))</f>
        <v/>
      </c>
      <c r="OT56" s="161">
        <f>COUNTIF($OI56:$OJ56,2)+IF(IFERROR(INDEX('DADOS_FORMAS'!$AS$2:$AS$21,MATCH(SUBSTITUTE(SUBSTITUTE(SUBSTITUTE($MU56,"~","~~"),"*","~*"),"?","~?"),'DADOS_FORMAS'!$AH$2:$AH$21,0)),"")="",0,IFERROR(N(VLOOKUP(SUBSTITUTE(SUBSTITUTE(SUBSTITUTE(IFERROR(INDEX('DADOS_FORMAS'!$AS$2:$AS$21,MATCH(SUBSTITUTE(SUBSTITUTE(SUBSTITUTE($MU56,"~","~~"),"*","~*"),"?","~?"),'DADOS_FORMAS'!$AH$2:$AH$21,0)),""),"~","~~"),"*","~*"),"?","~?"),'DADOS_RESTRICOES'!$M$2:$Q$54,3,FALSE)=2),0))</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",TRUE,IF($ND56=0,"",TEXTJOIN(" · ",TRUE,IF($MQ56&gt;$NE56,"Este lugar abre no nível "&amp;$MQ56,""),IF($MS56&gt;$NF56,"Classe "&amp;$MS56&amp;": o nível "&amp;$NE56&amp;" libera até a "&amp;$NF56,""),IF($NX56=1,"A Forma "&amp;$MU56&amp;" pede "&amp;INDEX('DADOS_FORMAS'!$GA$2:$GA$21,$NJ56)&amp;" aberta",""),IF(AND($MS56=0,$NJ56&gt;0,IF($NJ56=0,0,INDEX('DADOS_FORMAS'!$GJ$2:$GJ$21,$NJ56))=0),$MU56&amp;"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Corpo")&gt;0,$OF56=0,OR($RO56="Cone",$RO56="Linha")),"Corpo a Corpo não entra em "&amp;$MU56,""),IF(AND(COUNTIF($OK56:$OL56,"Corpo a Corpo")&gt;0,$RP56="Corpo a Corpo"),"A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"&amp;$NC56,""))),IF(AND($MU56&lt;&gt;"",COUNTIF('DADOS_FORMAS'!$AH$2:$AH$21,SUBSTITUTE(SUBSTITUTE(SUBSTITUTE($MU56,"~","~~"),"*","~*"),"?","~?"))=0),"Forma não cadastrada ou com erro: "&amp;$MU56,""),IF(AND(IFERROR(INDEX('DADOS_FORMAS'!$AS$2:$AS$21,MATCH(SUBSTITUTE(SUBSTITUTE(SUBSTITUTE($MU56,"~","~~"),"*","~*"),"?","~?"),'DADOS_FORMAS'!$AH$2:$AH$21,0)),"")&lt;&gt;"",OR(IFERROR(VLOOKUP(SUBSTITUTE(SUBSTITUTE(SUBSTITUTE(IFERROR(INDEX('DADOS_FORMAS'!$AS$2:$AS$21,MATCH(SUBSTITUTE(SUBSTITUTE(SUBSTITUTE($MU56,"~","~~"),"*","~*"),"?","~?"),'DADOS_FORMAS'!$AH$2:$AH$21,0)),""),"~","~~"),"*","~*"),"?","~?"),'DADOS_RESTRICOES'!$M$2:$Q$54,2,FALSE),"")=$OK56,IFERROR(VLOOKUP(SUBSTITUTE(SUBSTITUTE(SUBSTITUTE(IFERROR(INDEX('DADOS_FORMAS'!$AS$2:$AS$21,MATCH(SUBSTITUTE(SUBSTITUTE(SUBSTITUTE($MU56,"~","~~"),"*","~*"),"?","~?"),'DADOS_FORMAS'!$AH$2:$AH$21,0)),""),"~","~~"),"*","~*"),"?","~?"),'DADOS_RESTRICOES'!$M$2:$Q$54,2,FALSE),"")=$OL56)),"Restrição repetida, contando a embutida",""),IF(IF(IFERROR(INDEX('DADOS_FORMAS'!$AS$2:$AS$21,MATCH(SUBSTITUTE(SUBSTITUTE(SUBSTITUTE($MU56,"~","~~"),"*","~*"),"?","~?"),'DADOS_FORMAS'!$AH$2:$AH$21,0)),"")="",0,IFERROR(N(VLOOKUP(SUBSTITUTE(SUBSTITUTE(SUBSTITUTE(IFERROR(INDEX('DADOS_FORMAS'!$AS$2:$AS$21,MATCH(SUBSTITUTE(SUBSTITUTE(SUBSTITUTE($MU56,"~","~~"),"*","~*"),"?","~?"),'DADOS_FORMAS'!$AH$2:$AH$21,0)),""),"~","~~"),"*","~*"),"?","~?"),'DADOS_RESTRICOES'!$M$2:$Q$54,4,FALSE)=1),0))+IF($NB56="",0,IFERROR(N(VLOOKUP(SUBSTITUTE(SUBSTITUTE(SUBSTITUTE($NB56,"~","~~"),"*","~*"),"?","~?"),'DADOS_RESTRICOES'!$M$2:$Q$54,4,FALSE)=1),0))+IF($NC56="",0,IFERROR(N(VLOOKUP(SUBSTITUTE(SUBSTITUTE(SUBSTITUTE($NC56,"~","~~"),"*","~*"),"?","~?"),'DADOS_RESTRICOES'!$M$2:$Q$54,4,FALSE)=1),0))&gt;1,"Duas Restrições de frequência, contando a embutida",""),IF(AND(IFERROR(VLOOKUP(SUBSTITUTE(SUBSTITUTE(SUBSTITUTE(IFERROR(INDEX('DADOS_FORMAS'!$AS$2:$AS$21,MATCH(SUBSTITUTE(SUBSTITUTE(SUBSTITUTE($MU56,"~","~~"),"*","~*"),"?","~?"),'DADOS_FORMAS'!$AH$2:$AH$21,0)),""),"~","~~"),"*","~*"),"?","~?"),'DADOS_RESTRICOES'!$M$2:$Q$54,2,FALSE),"")="Tudo ou Nada",$OH56=0),"Tudo ou Nada exige TR",""),IF(AND(IFERROR(VLOOKUP(SUBSTITUTE(SUBSTITUTE(SUBSTITUTE(IFERROR(INDEX('DADOS_FORMAS'!$AS$2:$AS$21,MATCH(SUBSTITUTE(SUBSTITUTE(SUBSTITUTE($MU56,"~","~~"),"*","~*"),"?","~?"),'DADOS_FORMAS'!$AH$2:$AH$21,0)),""),"~","~~"),"*","~*"),"?","~?"),'DADOS_RESTRICOES'!$M$2:$Q$54,2,FALSE),"")="Corpo a Corpo",OR($RO56="Cone",$RO56="Linha")),"Corpo a Corpo não entra em Cone/Linha","")))</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dela",IF(COUNTIF($RQ56:$RS56,"Atrasar")&gt;0,"Sua Ação Completa",IF(COUNTIF($RK56:$RN56,"Rápido")&gt;0,"Sua Bônus",IF(COUNTIF($RK56:$RN56,"Reação")&gt;0,"Sua Reação","Sua Padrão")))&amp;" + a básica dela"&amp;IF(COUNTIF($RK56:$RN56,"Reação")&gt;0," e a coletiva","")&amp;IF(COUNTIF($RQ56:$RS56,"Carregar")&gt;0," · em dois turnos","")))</f>
        <v/>
      </c>
      <c r="QC56" s="161">
        <f>IF($MW56&lt;&gt;"",$MW56,IF($NJ56=0,"",INDEX('DADOS_FORMAS'!$GE$2:$GE$21,$NJ56)))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IF($NJ56=0,0,CHOOSE(1+INDEX('DADOS_FORMAS'!$GG$2:$GG$21,$NJ56),0,$QF56,$QG56,$QF56+$QG56))</f>
        <v/>
      </c>
      <c r="QI56" s="161">
        <f>IF($NJ56=0,0,CHOOSE(1+INDEX('DADOS_FORMAS'!$GH$2:$GH$21,$NJ56),0,$QF56,$QG56,$QF56+$QG56))</f>
        <v/>
      </c>
      <c r="QJ56" s="161">
        <f>IF(OR($ND56=0,$NJ56=0),"",INDEX('DADOS_FORMAS'!$HU$2:$HZ$81,($NJ56-1)*4+IF($MS56=0,1,IF($MS56&lt;=5,2,IF($MS56=6,3,4))),1+MIN(5,$QH56))&amp;INDEX('DADOS_FORMAS'!$IA$2:$IF$81,($NJ56-1)*4+IF($MS56=0,1,IF($MS56&lt;=5,2,IF($MS56=6,3,4))),1+MIN(5,$QI56))&amp;IF(INDEX('DADOS_FORMAS'!$GI$2:$GI$21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c r="RO56">
        <f>IFERROR(INDEX('DADOS_FORMAS'!$BJ$2:$BJ$21,MATCH(SUBSTITUTE(SUBSTITUTE(SUBSTITUTE($MU56,"~","~~"),"*","~*"),"?","~?"),'DADOS_FORMAS'!$AH$2:$AH$21,0)),"")</f>
        <v/>
      </c>
      <c r="RP56">
        <f>IFERROR(VLOOKUP(SUBSTITUTE(SUBSTITUTE(SUBSTITUTE(IFERROR(INDEX('DADOS_FORMAS'!$AS$2:$AS$21,MATCH(SUBSTITUTE(SUBSTITUTE(SUBSTITUTE($MU56,"~","~~"),"*","~*"),"?","~?"),'DADOS_FORMAS'!$AH$2:$AH$21,0)),""),"~","~~"),"*","~*"),"?","~?"),'DADOS_RESTRICOES'!$M$2:$Q$54,2,FALSE),"")</f>
        <v/>
      </c>
      <c r="RQ56">
        <f>$OK56</f>
        <v/>
      </c>
      <c r="RR56">
        <f>$OL56</f>
        <v/>
      </c>
      <c r="RS56">
        <f>$RP56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IFERROR(MATCH(SUBSTITUTE(SUBSTITUTE(SUBSTITUTE($MU57,"~","~~"),"*","~*"),"?","~?"),'DADOS_FORMAS'!$FZ$2:$FZ$21,0),0)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IF($MS57=0,0,IF($NJ57=0,0,INDEX('DADOS_FORMAS'!$GB$2:$GB$21,$NJ57)))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IF($NJ57=0,0,IF(INDEX('DADOS_FORMAS'!$GA$2:$GA$21,$NJ57)="",0,IF((COUNTIF(INDEX($EL$2:$EP$13,$MO57,0),INDEX('DADOS_FORMAS'!$GA$2:$GA$21,$NJ57))+COUNTIF(INDEX($QV$2:$QY$13,$MO57,0),INDEX('DADOS_FORMAS'!$GA$2:$GA$21,$NJ57)))=0,1,0)))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IFERROR(N(AND(INDEX('DADOS_FORMAS'!$AO$2:$AO$21,MATCH(SUBSTITUTE(SUBSTITUTE(SUBSTITUTE($MU57,"~","~~"),"*","~*"),"?","~?"),'DADOS_FORMAS'!$AH$2:$AH$21,0))="Acerto",$OH57=1)),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IF($NJ57=0,0,INDEX('DADOS_FORMAS'!$GC$2:$GC$21,$NJ57))</f>
        <v/>
      </c>
      <c r="OG57" s="161">
        <f>IF($NJ57=0,0,INDEX('DADOS_FORMAS'!$GD$2:$GD$21,$NJ57))</f>
        <v/>
      </c>
      <c r="OH57" s="161">
        <f>IF($NJ57=0,0,INDEX('DADOS_FORMAS'!$GF$2:$GF$21,$NJ57))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IF(IFERROR(INDEX('DADOS_FORMAS'!$AS$2:$AS$21,MATCH(SUBSTITUTE(SUBSTITUTE(SUBSTITUTE($MU57,"~","~~"),"*","~*"),"?","~?"),'DADOS_FORMAS'!$AH$2:$AH$21,0)),"")="",0,IFERROR(N(VLOOKUP(SUBSTITUTE(SUBSTITUTE(SUBSTITUTE(IFERROR(INDEX('DADOS_FORMAS'!$AS$2:$AS$21,MATCH(SUBSTITUTE(SUBSTITUTE(SUBSTITUTE($MU57,"~","~~"),"*","~*"),"?","~?"),'DADOS_FORMAS'!$AH$2:$AH$21,0)),""),"~","~~"),"*","~*"),"?","~?"),'DADOS_RESTRICOES'!$M$2:$Q$54,3,FALSE)=1),0))</f>
        <v/>
      </c>
      <c r="OT57" s="161">
        <f>COUNTIF($OI57:$OJ57,2)+IF(IFERROR(INDEX('DADOS_FORMAS'!$AS$2:$AS$21,MATCH(SUBSTITUTE(SUBSTITUTE(SUBSTITUTE($MU57,"~","~~"),"*","~*"),"?","~?"),'DADOS_FORMAS'!$AH$2:$AH$21,0)),"")="",0,IFERROR(N(VLOOKUP(SUBSTITUTE(SUBSTITUTE(SUBSTITUTE(IFERROR(INDEX('DADOS_FORMAS'!$AS$2:$AS$21,MATCH(SUBSTITUTE(SUBSTITUTE(SUBSTITUTE($MU57,"~","~~"),"*","~*"),"?","~?"),'DADOS_FORMAS'!$AH$2:$AH$21,0)),""),"~","~~"),"*","~*"),"?","~?"),'DADOS_RESTRICOES'!$M$2:$Q$54,3,FALSE)=2),0))</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",TRUE,IF($ND57=0,"",TEXTJOIN(" · ",TRUE,IF($MQ57&gt;$NE57,"Este lugar abre no nível "&amp;$MQ57,""),IF($MS57&gt;$NF57,"Classe "&amp;$MS57&amp;": o nível "&amp;$NE57&amp;" libera até a "&amp;$NF57,""),IF($NX57=1,"A Forma "&amp;$MU57&amp;" pede "&amp;INDEX('DADOS_FORMAS'!$GA$2:$GA$21,$NJ57)&amp;" aberta",""),IF(AND($MS57=0,$NJ57&gt;0,IF($NJ57=0,0,INDEX('DADOS_FORMAS'!$GJ$2:$GJ$21,$NJ57))=0),$MU57&amp;"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Corpo")&gt;0,$OF57=0,OR($RO57="Cone",$RO57="Linha")),"Corpo a Corpo não entra em "&amp;$MU57,""),IF(AND(COUNTIF($OK57:$OL57,"Corpo a Corpo")&gt;0,$RP57="Corpo a Corpo"),"A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"&amp;$NC57,""))),IF(AND($MU57&lt;&gt;"",COUNTIF('DADOS_FORMAS'!$AH$2:$AH$21,SUBSTITUTE(SUBSTITUTE(SUBSTITUTE($MU57,"~","~~"),"*","~*"),"?","~?"))=0),"Forma não cadastrada ou com erro: "&amp;$MU57,""),IF(AND(IFERROR(INDEX('DADOS_FORMAS'!$AS$2:$AS$21,MATCH(SUBSTITUTE(SUBSTITUTE(SUBSTITUTE($MU57,"~","~~"),"*","~*"),"?","~?"),'DADOS_FORMAS'!$AH$2:$AH$21,0)),"")&lt;&gt;"",OR(IFERROR(VLOOKUP(SUBSTITUTE(SUBSTITUTE(SUBSTITUTE(IFERROR(INDEX('DADOS_FORMAS'!$AS$2:$AS$21,MATCH(SUBSTITUTE(SUBSTITUTE(SUBSTITUTE($MU57,"~","~~"),"*","~*"),"?","~?"),'DADOS_FORMAS'!$AH$2:$AH$21,0)),""),"~","~~"),"*","~*"),"?","~?"),'DADOS_RESTRICOES'!$M$2:$Q$54,2,FALSE),"")=$OK57,IFERROR(VLOOKUP(SUBSTITUTE(SUBSTITUTE(SUBSTITUTE(IFERROR(INDEX('DADOS_FORMAS'!$AS$2:$AS$21,MATCH(SUBSTITUTE(SUBSTITUTE(SUBSTITUTE($MU57,"~","~~"),"*","~*"),"?","~?"),'DADOS_FORMAS'!$AH$2:$AH$21,0)),""),"~","~~"),"*","~*"),"?","~?"),'DADOS_RESTRICOES'!$M$2:$Q$54,2,FALSE),"")=$OL57)),"Restrição repetida, contando a embutida",""),IF(IF(IFERROR(INDEX('DADOS_FORMAS'!$AS$2:$AS$21,MATCH(SUBSTITUTE(SUBSTITUTE(SUBSTITUTE($MU57,"~","~~"),"*","~*"),"?","~?"),'DADOS_FORMAS'!$AH$2:$AH$21,0)),"")="",0,IFERROR(N(VLOOKUP(SUBSTITUTE(SUBSTITUTE(SUBSTITUTE(IFERROR(INDEX('DADOS_FORMAS'!$AS$2:$AS$21,MATCH(SUBSTITUTE(SUBSTITUTE(SUBSTITUTE($MU57,"~","~~"),"*","~*"),"?","~?"),'DADOS_FORMAS'!$AH$2:$AH$21,0)),""),"~","~~"),"*","~*"),"?","~?"),'DADOS_RESTRICOES'!$M$2:$Q$54,4,FALSE)=1),0))+IF($NB57="",0,IFERROR(N(VLOOKUP(SUBSTITUTE(SUBSTITUTE(SUBSTITUTE($NB57,"~","~~"),"*","~*"),"?","~?"),'DADOS_RESTRICOES'!$M$2:$Q$54,4,FALSE)=1),0))+IF($NC57="",0,IFERROR(N(VLOOKUP(SUBSTITUTE(SUBSTITUTE(SUBSTITUTE($NC57,"~","~~"),"*","~*"),"?","~?"),'DADOS_RESTRICOES'!$M$2:$Q$54,4,FALSE)=1),0))&gt;1,"Duas Restrições de frequência, contando a embutida",""),IF(AND(IFERROR(VLOOKUP(SUBSTITUTE(SUBSTITUTE(SUBSTITUTE(IFERROR(INDEX('DADOS_FORMAS'!$AS$2:$AS$21,MATCH(SUBSTITUTE(SUBSTITUTE(SUBSTITUTE($MU57,"~","~~"),"*","~*"),"?","~?"),'DADOS_FORMAS'!$AH$2:$AH$21,0)),""),"~","~~"),"*","~*"),"?","~?"),'DADOS_RESTRICOES'!$M$2:$Q$54,2,FALSE),"")="Tudo ou Nada",$OH57=0),"Tudo ou Nada exige TR",""),IF(AND(IFERROR(VLOOKUP(SUBSTITUTE(SUBSTITUTE(SUBSTITUTE(IFERROR(INDEX('DADOS_FORMAS'!$AS$2:$AS$21,MATCH(SUBSTITUTE(SUBSTITUTE(SUBSTITUTE($MU57,"~","~~"),"*","~*"),"?","~?"),'DADOS_FORMAS'!$AH$2:$AH$21,0)),""),"~","~~"),"*","~*"),"?","~?"),'DADOS_RESTRICOES'!$M$2:$Q$54,2,FALSE),"")="Corpo a Corpo",OR($RO57="Cone",$RO57="Linha")),"Corpo a Corpo não entra em Cone/Linha","")))</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dela",IF(COUNTIF($RQ57:$RS57,"Atrasar")&gt;0,"Sua Ação Completa",IF(COUNTIF($RK57:$RN57,"Rápido")&gt;0,"Sua Bônus",IF(COUNTIF($RK57:$RN57,"Reação")&gt;0,"Sua Reação","Sua Padrão")))&amp;" + a básica dela"&amp;IF(COUNTIF($RK57:$RN57,"Reação")&gt;0," e a coletiva","")&amp;IF(COUNTIF($RQ57:$RS57,"Carregar")&gt;0," · em dois turnos","")))</f>
        <v/>
      </c>
      <c r="QC57" s="161">
        <f>IF($MW57&lt;&gt;"",$MW57,IF($NJ57=0,"",INDEX('DADOS_FORMAS'!$GE$2:$GE$21,$NJ57)))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IF($NJ57=0,0,CHOOSE(1+INDEX('DADOS_FORMAS'!$GG$2:$GG$21,$NJ57),0,$QF57,$QG57,$QF57+$QG57))</f>
        <v/>
      </c>
      <c r="QI57" s="161">
        <f>IF($NJ57=0,0,CHOOSE(1+INDEX('DADOS_FORMAS'!$GH$2:$GH$21,$NJ57),0,$QF57,$QG57,$QF57+$QG57))</f>
        <v/>
      </c>
      <c r="QJ57" s="161">
        <f>IF(OR($ND57=0,$NJ57=0),"",INDEX('DADOS_FORMAS'!$HU$2:$HZ$81,($NJ57-1)*4+IF($MS57=0,1,IF($MS57&lt;=5,2,IF($MS57=6,3,4))),1+MIN(5,$QH57))&amp;INDEX('DADOS_FORMAS'!$IA$2:$IF$81,($NJ57-1)*4+IF($MS57=0,1,IF($MS57&lt;=5,2,IF($MS57=6,3,4))),1+MIN(5,$QI57))&amp;IF(INDEX('DADOS_FORMAS'!$GI$2:$GI$21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c r="RO57">
        <f>IFERROR(INDEX('DADOS_FORMAS'!$BJ$2:$BJ$21,MATCH(SUBSTITUTE(SUBSTITUTE(SUBSTITUTE($MU57,"~","~~"),"*","~*"),"?","~?"),'DADOS_FORMAS'!$AH$2:$AH$21,0)),"")</f>
        <v/>
      </c>
      <c r="RP57">
        <f>IFERROR(VLOOKUP(SUBSTITUTE(SUBSTITUTE(SUBSTITUTE(IFERROR(INDEX('DADOS_FORMAS'!$AS$2:$AS$21,MATCH(SUBSTITUTE(SUBSTITUTE(SUBSTITUTE($MU57,"~","~~"),"*","~*"),"?","~?"),'DADOS_FORMAS'!$AH$2:$AH$21,0)),""),"~","~~"),"*","~*"),"?","~?"),'DADOS_RESTRICOES'!$M$2:$Q$54,2,FALSE),"")</f>
        <v/>
      </c>
      <c r="RQ57">
        <f>$OK57</f>
        <v/>
      </c>
      <c r="RR57">
        <f>$OL57</f>
        <v/>
      </c>
      <c r="RS57">
        <f>$RP57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IFERROR(MATCH(SUBSTITUTE(SUBSTITUTE(SUBSTITUTE($MU58,"~","~~"),"*","~*"),"?","~?"),'DADOS_FORMAS'!$FZ$2:$FZ$21,0),0)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IF($MS58=0,0,IF($NJ58=0,0,INDEX('DADOS_FORMAS'!$GB$2:$GB$21,$NJ58)))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IF($NJ58=0,0,IF(INDEX('DADOS_FORMAS'!$GA$2:$GA$21,$NJ58)="",0,IF((COUNTIF(INDEX($EL$2:$EP$13,$MO58,0),INDEX('DADOS_FORMAS'!$GA$2:$GA$21,$NJ58))+COUNTIF(INDEX($QV$2:$QY$13,$MO58,0),INDEX('DADOS_FORMAS'!$GA$2:$GA$21,$NJ58)))=0,1,0)))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IFERROR(N(AND(INDEX('DADOS_FORMAS'!$AO$2:$AO$21,MATCH(SUBSTITUTE(SUBSTITUTE(SUBSTITUTE($MU58,"~","~~"),"*","~*"),"?","~?"),'DADOS_FORMAS'!$AH$2:$AH$21,0))="Acerto",$OH58=1)),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IF($NJ58=0,0,INDEX('DADOS_FORMAS'!$GC$2:$GC$21,$NJ58))</f>
        <v/>
      </c>
      <c r="OG58" s="161">
        <f>IF($NJ58=0,0,INDEX('DADOS_FORMAS'!$GD$2:$GD$21,$NJ58))</f>
        <v/>
      </c>
      <c r="OH58" s="161">
        <f>IF($NJ58=0,0,INDEX('DADOS_FORMAS'!$GF$2:$GF$21,$NJ58))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IF(IFERROR(INDEX('DADOS_FORMAS'!$AS$2:$AS$21,MATCH(SUBSTITUTE(SUBSTITUTE(SUBSTITUTE($MU58,"~","~~"),"*","~*"),"?","~?"),'DADOS_FORMAS'!$AH$2:$AH$21,0)),"")="",0,IFERROR(N(VLOOKUP(SUBSTITUTE(SUBSTITUTE(SUBSTITUTE(IFERROR(INDEX('DADOS_FORMAS'!$AS$2:$AS$21,MATCH(SUBSTITUTE(SUBSTITUTE(SUBSTITUTE($MU58,"~","~~"),"*","~*"),"?","~?"),'DADOS_FORMAS'!$AH$2:$AH$21,0)),""),"~","~~"),"*","~*"),"?","~?"),'DADOS_RESTRICOES'!$M$2:$Q$54,3,FALSE)=1),0))</f>
        <v/>
      </c>
      <c r="OT58" s="161">
        <f>COUNTIF($OI58:$OJ58,2)+IF(IFERROR(INDEX('DADOS_FORMAS'!$AS$2:$AS$21,MATCH(SUBSTITUTE(SUBSTITUTE(SUBSTITUTE($MU58,"~","~~"),"*","~*"),"?","~?"),'DADOS_FORMAS'!$AH$2:$AH$21,0)),"")="",0,IFERROR(N(VLOOKUP(SUBSTITUTE(SUBSTITUTE(SUBSTITUTE(IFERROR(INDEX('DADOS_FORMAS'!$AS$2:$AS$21,MATCH(SUBSTITUTE(SUBSTITUTE(SUBSTITUTE($MU58,"~","~~"),"*","~*"),"?","~?"),'DADOS_FORMAS'!$AH$2:$AH$21,0)),""),"~","~~"),"*","~*"),"?","~?"),'DADOS_RESTRICOES'!$M$2:$Q$54,3,FALSE)=2),0))</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",TRUE,IF($ND58=0,"",TEXTJOIN(" · ",TRUE,IF($MQ58&gt;$NE58,"Este lugar abre no nível "&amp;$MQ58,""),IF($MS58&gt;$NF58,"Classe "&amp;$MS58&amp;": o nível "&amp;$NE58&amp;" libera até a "&amp;$NF58,""),IF($NX58=1,"A Forma "&amp;$MU58&amp;" pede "&amp;INDEX('DADOS_FORMAS'!$GA$2:$GA$21,$NJ58)&amp;" aberta",""),IF(AND($MS58=0,$NJ58&gt;0,IF($NJ58=0,0,INDEX('DADOS_FORMAS'!$GJ$2:$GJ$21,$NJ58))=0),$MU58&amp;"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Corpo")&gt;0,$OF58=0,OR($RO58="Cone",$RO58="Linha")),"Corpo a Corpo não entra em "&amp;$MU58,""),IF(AND(COUNTIF($OK58:$OL58,"Corpo a Corpo")&gt;0,$RP58="Corpo a Corpo"),"A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"&amp;$NC58,""))),IF(AND($MU58&lt;&gt;"",COUNTIF('DADOS_FORMAS'!$AH$2:$AH$21,SUBSTITUTE(SUBSTITUTE(SUBSTITUTE($MU58,"~","~~"),"*","~*"),"?","~?"))=0),"Forma não cadastrada ou com erro: "&amp;$MU58,""),IF(AND(IFERROR(INDEX('DADOS_FORMAS'!$AS$2:$AS$21,MATCH(SUBSTITUTE(SUBSTITUTE(SUBSTITUTE($MU58,"~","~~"),"*","~*"),"?","~?"),'DADOS_FORMAS'!$AH$2:$AH$21,0)),"")&lt;&gt;"",OR(IFERROR(VLOOKUP(SUBSTITUTE(SUBSTITUTE(SUBSTITUTE(IFERROR(INDEX('DADOS_FORMAS'!$AS$2:$AS$21,MATCH(SUBSTITUTE(SUBSTITUTE(SUBSTITUTE($MU58,"~","~~"),"*","~*"),"?","~?"),'DADOS_FORMAS'!$AH$2:$AH$21,0)),""),"~","~~"),"*","~*"),"?","~?"),'DADOS_RESTRICOES'!$M$2:$Q$54,2,FALSE),"")=$OK58,IFERROR(VLOOKUP(SUBSTITUTE(SUBSTITUTE(SUBSTITUTE(IFERROR(INDEX('DADOS_FORMAS'!$AS$2:$AS$21,MATCH(SUBSTITUTE(SUBSTITUTE(SUBSTITUTE($MU58,"~","~~"),"*","~*"),"?","~?"),'DADOS_FORMAS'!$AH$2:$AH$21,0)),""),"~","~~"),"*","~*"),"?","~?"),'DADOS_RESTRICOES'!$M$2:$Q$54,2,FALSE),"")=$OL58)),"Restrição repetida, contando a embutida",""),IF(IF(IFERROR(INDEX('DADOS_FORMAS'!$AS$2:$AS$21,MATCH(SUBSTITUTE(SUBSTITUTE(SUBSTITUTE($MU58,"~","~~"),"*","~*"),"?","~?"),'DADOS_FORMAS'!$AH$2:$AH$21,0)),"")="",0,IFERROR(N(VLOOKUP(SUBSTITUTE(SUBSTITUTE(SUBSTITUTE(IFERROR(INDEX('DADOS_FORMAS'!$AS$2:$AS$21,MATCH(SUBSTITUTE(SUBSTITUTE(SUBSTITUTE($MU58,"~","~~"),"*","~*"),"?","~?"),'DADOS_FORMAS'!$AH$2:$AH$21,0)),""),"~","~~"),"*","~*"),"?","~?"),'DADOS_RESTRICOES'!$M$2:$Q$54,4,FALSE)=1),0))+IF($NB58="",0,IFERROR(N(VLOOKUP(SUBSTITUTE(SUBSTITUTE(SUBSTITUTE($NB58,"~","~~"),"*","~*"),"?","~?"),'DADOS_RESTRICOES'!$M$2:$Q$54,4,FALSE)=1),0))+IF($NC58="",0,IFERROR(N(VLOOKUP(SUBSTITUTE(SUBSTITUTE(SUBSTITUTE($NC58,"~","~~"),"*","~*"),"?","~?"),'DADOS_RESTRICOES'!$M$2:$Q$54,4,FALSE)=1),0))&gt;1,"Duas Restrições de frequência, contando a embutida",""),IF(AND(IFERROR(VLOOKUP(SUBSTITUTE(SUBSTITUTE(SUBSTITUTE(IFERROR(INDEX('DADOS_FORMAS'!$AS$2:$AS$21,MATCH(SUBSTITUTE(SUBSTITUTE(SUBSTITUTE($MU58,"~","~~"),"*","~*"),"?","~?"),'DADOS_FORMAS'!$AH$2:$AH$21,0)),""),"~","~~"),"*","~*"),"?","~?"),'DADOS_RESTRICOES'!$M$2:$Q$54,2,FALSE),"")="Tudo ou Nada",$OH58=0),"Tudo ou Nada exige TR",""),IF(AND(IFERROR(VLOOKUP(SUBSTITUTE(SUBSTITUTE(SUBSTITUTE(IFERROR(INDEX('DADOS_FORMAS'!$AS$2:$AS$21,MATCH(SUBSTITUTE(SUBSTITUTE(SUBSTITUTE($MU58,"~","~~"),"*","~*"),"?","~?"),'DADOS_FORMAS'!$AH$2:$AH$21,0)),""),"~","~~"),"*","~*"),"?","~?"),'DADOS_RESTRICOES'!$M$2:$Q$54,2,FALSE),"")="Corpo a Corpo",OR($RO58="Cone",$RO58="Linha")),"Corpo a Corpo não entra em Cone/Linha","")))</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dela",IF(COUNTIF($RQ58:$RS58,"Atrasar")&gt;0,"Sua Ação Completa",IF(COUNTIF($RK58:$RN58,"Rápido")&gt;0,"Sua Bônus",IF(COUNTIF($RK58:$RN58,"Reação")&gt;0,"Sua Reação","Sua Padrão")))&amp;" + a básica dela"&amp;IF(COUNTIF($RK58:$RN58,"Reação")&gt;0," e a coletiva","")&amp;IF(COUNTIF($RQ58:$RS58,"Carregar")&gt;0," · em dois turnos","")))</f>
        <v/>
      </c>
      <c r="QC58" s="161">
        <f>IF($MW58&lt;&gt;"",$MW58,IF($NJ58=0,"",INDEX('DADOS_FORMAS'!$GE$2:$GE$21,$NJ58)))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IF($NJ58=0,0,CHOOSE(1+INDEX('DADOS_FORMAS'!$GG$2:$GG$21,$NJ58),0,$QF58,$QG58,$QF58+$QG58))</f>
        <v/>
      </c>
      <c r="QI58" s="161">
        <f>IF($NJ58=0,0,CHOOSE(1+INDEX('DADOS_FORMAS'!$GH$2:$GH$21,$NJ58),0,$QF58,$QG58,$QF58+$QG58))</f>
        <v/>
      </c>
      <c r="QJ58" s="161">
        <f>IF(OR($ND58=0,$NJ58=0),"",INDEX('DADOS_FORMAS'!$HU$2:$HZ$81,($NJ58-1)*4+IF($MS58=0,1,IF($MS58&lt;=5,2,IF($MS58=6,3,4))),1+MIN(5,$QH58))&amp;INDEX('DADOS_FORMAS'!$IA$2:$IF$81,($NJ58-1)*4+IF($MS58=0,1,IF($MS58&lt;=5,2,IF($MS58=6,3,4))),1+MIN(5,$QI58))&amp;IF(INDEX('DADOS_FORMAS'!$GI$2:$GI$21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c r="RO58">
        <f>IFERROR(INDEX('DADOS_FORMAS'!$BJ$2:$BJ$21,MATCH(SUBSTITUTE(SUBSTITUTE(SUBSTITUTE($MU58,"~","~~"),"*","~*"),"?","~?"),'DADOS_FORMAS'!$AH$2:$AH$21,0)),"")</f>
        <v/>
      </c>
      <c r="RP58">
        <f>IFERROR(VLOOKUP(SUBSTITUTE(SUBSTITUTE(SUBSTITUTE(IFERROR(INDEX('DADOS_FORMAS'!$AS$2:$AS$21,MATCH(SUBSTITUTE(SUBSTITUTE(SUBSTITUTE($MU58,"~","~~"),"*","~*"),"?","~?"),'DADOS_FORMAS'!$AH$2:$AH$21,0)),""),"~","~~"),"*","~*"),"?","~?"),'DADOS_RESTRICOES'!$M$2:$Q$54,2,FALSE),"")</f>
        <v/>
      </c>
      <c r="RQ58">
        <f>$OK58</f>
        <v/>
      </c>
      <c r="RR58">
        <f>$OL58</f>
        <v/>
      </c>
      <c r="RS58">
        <f>$RP58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IFERROR(MATCH(SUBSTITUTE(SUBSTITUTE(SUBSTITUTE($MU59,"~","~~"),"*","~*"),"?","~?"),'DADOS_FORMAS'!$FZ$2:$FZ$21,0),0)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IF($MS59=0,0,IF($NJ59=0,0,INDEX('DADOS_FORMAS'!$GB$2:$GB$21,$NJ59)))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IF($NJ59=0,0,IF(INDEX('DADOS_FORMAS'!$GA$2:$GA$21,$NJ59)="",0,IF((COUNTIF(INDEX($EL$2:$EP$13,$MO59,0),INDEX('DADOS_FORMAS'!$GA$2:$GA$21,$NJ59))+COUNTIF(INDEX($QV$2:$QY$13,$MO59,0),INDEX('DADOS_FORMAS'!$GA$2:$GA$21,$NJ59)))=0,1,0)))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IFERROR(N(AND(INDEX('DADOS_FORMAS'!$AO$2:$AO$21,MATCH(SUBSTITUTE(SUBSTITUTE(SUBSTITUTE($MU59,"~","~~"),"*","~*"),"?","~?"),'DADOS_FORMAS'!$AH$2:$AH$21,0))="Acerto",$OH59=1)),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IF($NJ59=0,0,INDEX('DADOS_FORMAS'!$GC$2:$GC$21,$NJ59))</f>
        <v/>
      </c>
      <c r="OG59" s="161">
        <f>IF($NJ59=0,0,INDEX('DADOS_FORMAS'!$GD$2:$GD$21,$NJ59))</f>
        <v/>
      </c>
      <c r="OH59" s="161">
        <f>IF($NJ59=0,0,INDEX('DADOS_FORMAS'!$GF$2:$GF$21,$NJ59))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IF(IFERROR(INDEX('DADOS_FORMAS'!$AS$2:$AS$21,MATCH(SUBSTITUTE(SUBSTITUTE(SUBSTITUTE($MU59,"~","~~"),"*","~*"),"?","~?"),'DADOS_FORMAS'!$AH$2:$AH$21,0)),"")="",0,IFERROR(N(VLOOKUP(SUBSTITUTE(SUBSTITUTE(SUBSTITUTE(IFERROR(INDEX('DADOS_FORMAS'!$AS$2:$AS$21,MATCH(SUBSTITUTE(SUBSTITUTE(SUBSTITUTE($MU59,"~","~~"),"*","~*"),"?","~?"),'DADOS_FORMAS'!$AH$2:$AH$21,0)),""),"~","~~"),"*","~*"),"?","~?"),'DADOS_RESTRICOES'!$M$2:$Q$54,3,FALSE)=1),0))</f>
        <v/>
      </c>
      <c r="OT59" s="161">
        <f>COUNTIF($OI59:$OJ59,2)+IF(IFERROR(INDEX('DADOS_FORMAS'!$AS$2:$AS$21,MATCH(SUBSTITUTE(SUBSTITUTE(SUBSTITUTE($MU59,"~","~~"),"*","~*"),"?","~?"),'DADOS_FORMAS'!$AH$2:$AH$21,0)),"")="",0,IFERROR(N(VLOOKUP(SUBSTITUTE(SUBSTITUTE(SUBSTITUTE(IFERROR(INDEX('DADOS_FORMAS'!$AS$2:$AS$21,MATCH(SUBSTITUTE(SUBSTITUTE(SUBSTITUTE($MU59,"~","~~"),"*","~*"),"?","~?"),'DADOS_FORMAS'!$AH$2:$AH$21,0)),""),"~","~~"),"*","~*"),"?","~?"),'DADOS_RESTRICOES'!$M$2:$Q$54,3,FALSE)=2),0))</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",TRUE,IF($ND59=0,"",TEXTJOIN(" · ",TRUE,IF($MQ59&gt;$NE59,"Este lugar abre no nível "&amp;$MQ59,""),IF($MS59&gt;$NF59,"Classe "&amp;$MS59&amp;": o nível "&amp;$NE59&amp;" libera até a "&amp;$NF59,""),IF($NX59=1,"A Forma "&amp;$MU59&amp;" pede "&amp;INDEX('DADOS_FORMAS'!$GA$2:$GA$21,$NJ59)&amp;" aberta",""),IF(AND($MS59=0,$NJ59&gt;0,IF($NJ59=0,0,INDEX('DADOS_FORMAS'!$GJ$2:$GJ$21,$NJ59))=0),$MU59&amp;"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Corpo")&gt;0,$OF59=0,OR($RO59="Cone",$RO59="Linha")),"Corpo a Corpo não entra em "&amp;$MU59,""),IF(AND(COUNTIF($OK59:$OL59,"Corpo a Corpo")&gt;0,$RP59="Corpo a Corpo"),"A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"&amp;$NC59,""))),IF(AND($MU59&lt;&gt;"",COUNTIF('DADOS_FORMAS'!$AH$2:$AH$21,SUBSTITUTE(SUBSTITUTE(SUBSTITUTE($MU59,"~","~~"),"*","~*"),"?","~?"))=0),"Forma não cadastrada ou com erro: "&amp;$MU59,""),IF(AND(IFERROR(INDEX('DADOS_FORMAS'!$AS$2:$AS$21,MATCH(SUBSTITUTE(SUBSTITUTE(SUBSTITUTE($MU59,"~","~~"),"*","~*"),"?","~?"),'DADOS_FORMAS'!$AH$2:$AH$21,0)),"")&lt;&gt;"",OR(IFERROR(VLOOKUP(SUBSTITUTE(SUBSTITUTE(SUBSTITUTE(IFERROR(INDEX('DADOS_FORMAS'!$AS$2:$AS$21,MATCH(SUBSTITUTE(SUBSTITUTE(SUBSTITUTE($MU59,"~","~~"),"*","~*"),"?","~?"),'DADOS_FORMAS'!$AH$2:$AH$21,0)),""),"~","~~"),"*","~*"),"?","~?"),'DADOS_RESTRICOES'!$M$2:$Q$54,2,FALSE),"")=$OK59,IFERROR(VLOOKUP(SUBSTITUTE(SUBSTITUTE(SUBSTITUTE(IFERROR(INDEX('DADOS_FORMAS'!$AS$2:$AS$21,MATCH(SUBSTITUTE(SUBSTITUTE(SUBSTITUTE($MU59,"~","~~"),"*","~*"),"?","~?"),'DADOS_FORMAS'!$AH$2:$AH$21,0)),""),"~","~~"),"*","~*"),"?","~?"),'DADOS_RESTRICOES'!$M$2:$Q$54,2,FALSE),"")=$OL59)),"Restrição repetida, contando a embutida",""),IF(IF(IFERROR(INDEX('DADOS_FORMAS'!$AS$2:$AS$21,MATCH(SUBSTITUTE(SUBSTITUTE(SUBSTITUTE($MU59,"~","~~"),"*","~*"),"?","~?"),'DADOS_FORMAS'!$AH$2:$AH$21,0)),"")="",0,IFERROR(N(VLOOKUP(SUBSTITUTE(SUBSTITUTE(SUBSTITUTE(IFERROR(INDEX('DADOS_FORMAS'!$AS$2:$AS$21,MATCH(SUBSTITUTE(SUBSTITUTE(SUBSTITUTE($MU59,"~","~~"),"*","~*"),"?","~?"),'DADOS_FORMAS'!$AH$2:$AH$21,0)),""),"~","~~"),"*","~*"),"?","~?"),'DADOS_RESTRICOES'!$M$2:$Q$54,4,FALSE)=1),0))+IF($NB59="",0,IFERROR(N(VLOOKUP(SUBSTITUTE(SUBSTITUTE(SUBSTITUTE($NB59,"~","~~"),"*","~*"),"?","~?"),'DADOS_RESTRICOES'!$M$2:$Q$54,4,FALSE)=1),0))+IF($NC59="",0,IFERROR(N(VLOOKUP(SUBSTITUTE(SUBSTITUTE(SUBSTITUTE($NC59,"~","~~"),"*","~*"),"?","~?"),'DADOS_RESTRICOES'!$M$2:$Q$54,4,FALSE)=1),0))&gt;1,"Duas Restrições de frequência, contando a embutida",""),IF(AND(IFERROR(VLOOKUP(SUBSTITUTE(SUBSTITUTE(SUBSTITUTE(IFERROR(INDEX('DADOS_FORMAS'!$AS$2:$AS$21,MATCH(SUBSTITUTE(SUBSTITUTE(SUBSTITUTE($MU59,"~","~~"),"*","~*"),"?","~?"),'DADOS_FORMAS'!$AH$2:$AH$21,0)),""),"~","~~"),"*","~*"),"?","~?"),'DADOS_RESTRICOES'!$M$2:$Q$54,2,FALSE),"")="Tudo ou Nada",$OH59=0),"Tudo ou Nada exige TR",""),IF(AND(IFERROR(VLOOKUP(SUBSTITUTE(SUBSTITUTE(SUBSTITUTE(IFERROR(INDEX('DADOS_FORMAS'!$AS$2:$AS$21,MATCH(SUBSTITUTE(SUBSTITUTE(SUBSTITUTE($MU59,"~","~~"),"*","~*"),"?","~?"),'DADOS_FORMAS'!$AH$2:$AH$21,0)),""),"~","~~"),"*","~*"),"?","~?"),'DADOS_RESTRICOES'!$M$2:$Q$54,2,FALSE),"")="Corpo a Corpo",OR($RO59="Cone",$RO59="Linha")),"Corpo a Corpo não entra em Cone/Linha","")))</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dela",IF(COUNTIF($RQ59:$RS59,"Atrasar")&gt;0,"Sua Ação Completa",IF(COUNTIF($RK59:$RN59,"Rápido")&gt;0,"Sua Bônus",IF(COUNTIF($RK59:$RN59,"Reação")&gt;0,"Sua Reação","Sua Padrão")))&amp;" + a básica dela"&amp;IF(COUNTIF($RK59:$RN59,"Reação")&gt;0," e a coletiva","")&amp;IF(COUNTIF($RQ59:$RS59,"Carregar")&gt;0," · em dois turnos","")))</f>
        <v/>
      </c>
      <c r="QC59" s="161">
        <f>IF($MW59&lt;&gt;"",$MW59,IF($NJ59=0,"",INDEX('DADOS_FORMAS'!$GE$2:$GE$21,$NJ59)))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IF($NJ59=0,0,CHOOSE(1+INDEX('DADOS_FORMAS'!$GG$2:$GG$21,$NJ59),0,$QF59,$QG59,$QF59+$QG59))</f>
        <v/>
      </c>
      <c r="QI59" s="161">
        <f>IF($NJ59=0,0,CHOOSE(1+INDEX('DADOS_FORMAS'!$GH$2:$GH$21,$NJ59),0,$QF59,$QG59,$QF59+$QG59))</f>
        <v/>
      </c>
      <c r="QJ59" s="161">
        <f>IF(OR($ND59=0,$NJ59=0),"",INDEX('DADOS_FORMAS'!$HU$2:$HZ$81,($NJ59-1)*4+IF($MS59=0,1,IF($MS59&lt;=5,2,IF($MS59=6,3,4))),1+MIN(5,$QH59))&amp;INDEX('DADOS_FORMAS'!$IA$2:$IF$81,($NJ59-1)*4+IF($MS59=0,1,IF($MS59&lt;=5,2,IF($MS59=6,3,4))),1+MIN(5,$QI59))&amp;IF(INDEX('DADOS_FORMAS'!$GI$2:$GI$21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c r="RO59">
        <f>IFERROR(INDEX('DADOS_FORMAS'!$BJ$2:$BJ$21,MATCH(SUBSTITUTE(SUBSTITUTE(SUBSTITUTE($MU59,"~","~~"),"*","~*"),"?","~?"),'DADOS_FORMAS'!$AH$2:$AH$21,0)),"")</f>
        <v/>
      </c>
      <c r="RP59">
        <f>IFERROR(VLOOKUP(SUBSTITUTE(SUBSTITUTE(SUBSTITUTE(IFERROR(INDEX('DADOS_FORMAS'!$AS$2:$AS$21,MATCH(SUBSTITUTE(SUBSTITUTE(SUBSTITUTE($MU59,"~","~~"),"*","~*"),"?","~?"),'DADOS_FORMAS'!$AH$2:$AH$21,0)),""),"~","~~"),"*","~*"),"?","~?"),'DADOS_RESTRICOES'!$M$2:$Q$54,2,FALSE),"")</f>
        <v/>
      </c>
      <c r="RQ59">
        <f>$OK59</f>
        <v/>
      </c>
      <c r="RR59">
        <f>$OL59</f>
        <v/>
      </c>
      <c r="RS59">
        <f>$RP59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IFERROR(MATCH(SUBSTITUTE(SUBSTITUTE(SUBSTITUTE($MU60,"~","~~"),"*","~*"),"?","~?"),'DADOS_FORMAS'!$FZ$2:$FZ$21,0),0)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IF($MS60=0,0,IF($NJ60=0,0,INDEX('DADOS_FORMAS'!$GB$2:$GB$21,$NJ60)))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IF($NJ60=0,0,IF(INDEX('DADOS_FORMAS'!$GA$2:$GA$21,$NJ60)="",0,IF((COUNTIF(INDEX($EL$2:$EP$13,$MO60,0),INDEX('DADOS_FORMAS'!$GA$2:$GA$21,$NJ60))+COUNTIF(INDEX($QV$2:$QY$13,$MO60,0),INDEX('DADOS_FORMAS'!$GA$2:$GA$21,$NJ60)))=0,1,0)))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IFERROR(N(AND(INDEX('DADOS_FORMAS'!$AO$2:$AO$21,MATCH(SUBSTITUTE(SUBSTITUTE(SUBSTITUTE($MU60,"~","~~"),"*","~*"),"?","~?"),'DADOS_FORMAS'!$AH$2:$AH$21,0))="Acerto",$OH60=1)),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IF($NJ60=0,0,INDEX('DADOS_FORMAS'!$GC$2:$GC$21,$NJ60))</f>
        <v/>
      </c>
      <c r="OG60" s="161">
        <f>IF($NJ60=0,0,INDEX('DADOS_FORMAS'!$GD$2:$GD$21,$NJ60))</f>
        <v/>
      </c>
      <c r="OH60" s="161">
        <f>IF($NJ60=0,0,INDEX('DADOS_FORMAS'!$GF$2:$GF$21,$NJ60))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IF(IFERROR(INDEX('DADOS_FORMAS'!$AS$2:$AS$21,MATCH(SUBSTITUTE(SUBSTITUTE(SUBSTITUTE($MU60,"~","~~"),"*","~*"),"?","~?"),'DADOS_FORMAS'!$AH$2:$AH$21,0)),"")="",0,IFERROR(N(VLOOKUP(SUBSTITUTE(SUBSTITUTE(SUBSTITUTE(IFERROR(INDEX('DADOS_FORMAS'!$AS$2:$AS$21,MATCH(SUBSTITUTE(SUBSTITUTE(SUBSTITUTE($MU60,"~","~~"),"*","~*"),"?","~?"),'DADOS_FORMAS'!$AH$2:$AH$21,0)),""),"~","~~"),"*","~*"),"?","~?"),'DADOS_RESTRICOES'!$M$2:$Q$54,3,FALSE)=1),0))</f>
        <v/>
      </c>
      <c r="OT60" s="161">
        <f>COUNTIF($OI60:$OJ60,2)+IF(IFERROR(INDEX('DADOS_FORMAS'!$AS$2:$AS$21,MATCH(SUBSTITUTE(SUBSTITUTE(SUBSTITUTE($MU60,"~","~~"),"*","~*"),"?","~?"),'DADOS_FORMAS'!$AH$2:$AH$21,0)),"")="",0,IFERROR(N(VLOOKUP(SUBSTITUTE(SUBSTITUTE(SUBSTITUTE(IFERROR(INDEX('DADOS_FORMAS'!$AS$2:$AS$21,MATCH(SUBSTITUTE(SUBSTITUTE(SUBSTITUTE($MU60,"~","~~"),"*","~*"),"?","~?"),'DADOS_FORMAS'!$AH$2:$AH$21,0)),""),"~","~~"),"*","~*"),"?","~?"),'DADOS_RESTRICOES'!$M$2:$Q$54,3,FALSE)=2),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",TRUE,IF($ND60=0,"",TEXTJOIN(" · ",TRUE,IF($MQ60&gt;$NE60,"Este lugar abre no nível "&amp;$MQ60,""),IF($MS60&gt;$NF60,"Classe "&amp;$MS60&amp;": o nível "&amp;$NE60&amp;" libera até a "&amp;$NF60,""),IF($NX60=1,"A Forma "&amp;$MU60&amp;" pede "&amp;INDEX('DADOS_FORMAS'!$GA$2:$GA$21,$NJ60)&amp;" aberta",""),IF(AND($MS60=0,$NJ60&gt;0,IF($NJ60=0,0,INDEX('DADOS_FORMAS'!$GJ$2:$GJ$21,$NJ60))=0),$MU60&amp;"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Corpo")&gt;0,$OF60=0,OR($RO60="Cone",$RO60="Linha")),"Corpo a Corpo não entra em "&amp;$MU60,""),IF(AND(COUNTIF($OK60:$OL60,"Corpo a Corpo")&gt;0,$RP60="Corpo a Corpo"),"A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"&amp;$NC60,""))),IF(AND($MU60&lt;&gt;"",COUNTIF('DADOS_FORMAS'!$AH$2:$AH$21,SUBSTITUTE(SUBSTITUTE(SUBSTITUTE($MU60,"~","~~"),"*","~*"),"?","~?"))=0),"Forma não cadastrada ou com erro: "&amp;$MU60,""),IF(AND(IFERROR(INDEX('DADOS_FORMAS'!$AS$2:$AS$21,MATCH(SUBSTITUTE(SUBSTITUTE(SUBSTITUTE($MU60,"~","~~"),"*","~*"),"?","~?"),'DADOS_FORMAS'!$AH$2:$AH$21,0)),"")&lt;&gt;"",OR(IFERROR(VLOOKUP(SUBSTITUTE(SUBSTITUTE(SUBSTITUTE(IFERROR(INDEX('DADOS_FORMAS'!$AS$2:$AS$21,MATCH(SUBSTITUTE(SUBSTITUTE(SUBSTITUTE($MU60,"~","~~"),"*","~*"),"?","~?"),'DADOS_FORMAS'!$AH$2:$AH$21,0)),""),"~","~~"),"*","~*"),"?","~?"),'DADOS_RESTRICOES'!$M$2:$Q$54,2,FALSE),"")=$OK60,IFERROR(VLOOKUP(SUBSTITUTE(SUBSTITUTE(SUBSTITUTE(IFERROR(INDEX('DADOS_FORMAS'!$AS$2:$AS$21,MATCH(SUBSTITUTE(SUBSTITUTE(SUBSTITUTE($MU60,"~","~~"),"*","~*"),"?","~?"),'DADOS_FORMAS'!$AH$2:$AH$21,0)),""),"~","~~"),"*","~*"),"?","~?"),'DADOS_RESTRICOES'!$M$2:$Q$54,2,FALSE),"")=$OL60)),"Restrição repetida, contando a embutida",""),IF(IF(IFERROR(INDEX('DADOS_FORMAS'!$AS$2:$AS$21,MATCH(SUBSTITUTE(SUBSTITUTE(SUBSTITUTE($MU60,"~","~~"),"*","~*"),"?","~?"),'DADOS_FORMAS'!$AH$2:$AH$21,0)),"")="",0,IFERROR(N(VLOOKUP(SUBSTITUTE(SUBSTITUTE(SUBSTITUTE(IFERROR(INDEX('DADOS_FORMAS'!$AS$2:$AS$21,MATCH(SUBSTITUTE(SUBSTITUTE(SUBSTITUTE($MU60,"~","~~"),"*","~*"),"?","~?"),'DADOS_FORMAS'!$AH$2:$AH$21,0)),""),"~","~~"),"*","~*"),"?","~?"),'DADOS_RESTRICOES'!$M$2:$Q$54,4,FALSE)=1),0))+IF($NB60="",0,IFERROR(N(VLOOKUP(SUBSTITUTE(SUBSTITUTE(SUBSTITUTE($NB60,"~","~~"),"*","~*"),"?","~?"),'DADOS_RESTRICOES'!$M$2:$Q$54,4,FALSE)=1),0))+IF($NC60="",0,IFERROR(N(VLOOKUP(SUBSTITUTE(SUBSTITUTE(SUBSTITUTE($NC60,"~","~~"),"*","~*"),"?","~?"),'DADOS_RESTRICOES'!$M$2:$Q$54,4,FALSE)=1),0))&gt;1,"Duas Restrições de frequência, contando a embutida",""),IF(AND(IFERROR(VLOOKUP(SUBSTITUTE(SUBSTITUTE(SUBSTITUTE(IFERROR(INDEX('DADOS_FORMAS'!$AS$2:$AS$21,MATCH(SUBSTITUTE(SUBSTITUTE(SUBSTITUTE($MU60,"~","~~"),"*","~*"),"?","~?"),'DADOS_FORMAS'!$AH$2:$AH$21,0)),""),"~","~~"),"*","~*"),"?","~?"),'DADOS_RESTRICOES'!$M$2:$Q$54,2,FALSE),"")="Tudo ou Nada",$OH60=0),"Tudo ou Nada exige TR",""),IF(AND(IFERROR(VLOOKUP(SUBSTITUTE(SUBSTITUTE(SUBSTITUTE(IFERROR(INDEX('DADOS_FORMAS'!$AS$2:$AS$21,MATCH(SUBSTITUTE(SUBSTITUTE(SUBSTITUTE($MU60,"~","~~"),"*","~*"),"?","~?"),'DADOS_FORMAS'!$AH$2:$AH$21,0)),""),"~","~~"),"*","~*"),"?","~?"),'DADOS_RESTRICOES'!$M$2:$Q$54,2,FALSE),"")="Corpo a Corpo",OR($RO60="Cone",$RO60="Linha")),"Corpo a Corpo não entra em Cone/Linha","")))</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dela",IF(COUNTIF($RQ60:$RS60,"Atrasar")&gt;0,"Sua Ação Completa",IF(COUNTIF($RK60:$RN60,"Rápido")&gt;0,"Sua Bônus",IF(COUNTIF($RK60:$RN60,"Reação")&gt;0,"Sua Reação","Sua Padrão")))&amp;" + a básica dela"&amp;IF(COUNTIF($RK60:$RN60,"Reação")&gt;0," e a coletiva","")&amp;IF(COUNTIF($RQ60:$RS60,"Carregar")&gt;0," · em dois turnos","")))</f>
        <v/>
      </c>
      <c r="QC60" s="161">
        <f>IF($MW60&lt;&gt;"",$MW60,IF($NJ60=0,"",INDEX('DADOS_FORMAS'!$GE$2:$GE$21,$NJ60)))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IF($NJ60=0,0,CHOOSE(1+INDEX('DADOS_FORMAS'!$GG$2:$GG$21,$NJ60),0,$QF60,$QG60,$QF60+$QG60))</f>
        <v/>
      </c>
      <c r="QI60" s="161">
        <f>IF($NJ60=0,0,CHOOSE(1+INDEX('DADOS_FORMAS'!$GH$2:$GH$21,$NJ60),0,$QF60,$QG60,$QF60+$QG60))</f>
        <v/>
      </c>
      <c r="QJ60" s="161">
        <f>IF(OR($ND60=0,$NJ60=0),"",INDEX('DADOS_FORMAS'!$HU$2:$HZ$81,($NJ60-1)*4+IF($MS60=0,1,IF($MS60&lt;=5,2,IF($MS60=6,3,4))),1+MIN(5,$QH60))&amp;INDEX('DADOS_FORMAS'!$IA$2:$IF$81,($NJ60-1)*4+IF($MS60=0,1,IF($MS60&lt;=5,2,IF($MS60=6,3,4))),1+MIN(5,$QI60))&amp;IF(INDEX('DADOS_FORMAS'!$GI$2:$GI$21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c r="RO60">
        <f>IFERROR(INDEX('DADOS_FORMAS'!$BJ$2:$BJ$21,MATCH(SUBSTITUTE(SUBSTITUTE(SUBSTITUTE($MU60,"~","~~"),"*","~*"),"?","~?"),'DADOS_FORMAS'!$AH$2:$AH$21,0)),"")</f>
        <v/>
      </c>
      <c r="RP60">
        <f>IFERROR(VLOOKUP(SUBSTITUTE(SUBSTITUTE(SUBSTITUTE(IFERROR(INDEX('DADOS_FORMAS'!$AS$2:$AS$21,MATCH(SUBSTITUTE(SUBSTITUTE(SUBSTITUTE($MU60,"~","~~"),"*","~*"),"?","~?"),'DADOS_FORMAS'!$AH$2:$AH$21,0)),""),"~","~~"),"*","~*"),"?","~?"),'DADOS_RESTRICOES'!$M$2:$Q$54,2,FALSE),"")</f>
        <v/>
      </c>
      <c r="RQ60">
        <f>$OK60</f>
        <v/>
      </c>
      <c r="RR60">
        <f>$OL60</f>
        <v/>
      </c>
      <c r="RS60">
        <f>$RP60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IFERROR(MATCH(SUBSTITUTE(SUBSTITUTE(SUBSTITUTE($MU61,"~","~~"),"*","~*"),"?","~?"),'DADOS_FORMAS'!$FZ$2:$FZ$21,0),0)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IF($MS61=0,0,IF($NJ61=0,0,INDEX('DADOS_FORMAS'!$GB$2:$GB$21,$NJ61)))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IF($NJ61=0,0,IF(INDEX('DADOS_FORMAS'!$GA$2:$GA$21,$NJ61)="",0,IF((COUNTIF(INDEX($EL$2:$EP$13,$MO61,0),INDEX('DADOS_FORMAS'!$GA$2:$GA$21,$NJ61))+COUNTIF(INDEX($QV$2:$QY$13,$MO61,0),INDEX('DADOS_FORMAS'!$GA$2:$GA$21,$NJ61)))=0,1,0)))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IFERROR(N(AND(INDEX('DADOS_FORMAS'!$AO$2:$AO$21,MATCH(SUBSTITUTE(SUBSTITUTE(SUBSTITUTE($MU61,"~","~~"),"*","~*"),"?","~?"),'DADOS_FORMAS'!$AH$2:$AH$21,0))="Acerto",$OH61=1)),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IF($NJ61=0,0,INDEX('DADOS_FORMAS'!$GC$2:$GC$21,$NJ61))</f>
        <v/>
      </c>
      <c r="OG61" s="161">
        <f>IF($NJ61=0,0,INDEX('DADOS_FORMAS'!$GD$2:$GD$21,$NJ61))</f>
        <v/>
      </c>
      <c r="OH61" s="161">
        <f>IF($NJ61=0,0,INDEX('DADOS_FORMAS'!$GF$2:$GF$21,$NJ61))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IF(IFERROR(INDEX('DADOS_FORMAS'!$AS$2:$AS$21,MATCH(SUBSTITUTE(SUBSTITUTE(SUBSTITUTE($MU61,"~","~~"),"*","~*"),"?","~?"),'DADOS_FORMAS'!$AH$2:$AH$21,0)),"")="",0,IFERROR(N(VLOOKUP(SUBSTITUTE(SUBSTITUTE(SUBSTITUTE(IFERROR(INDEX('DADOS_FORMAS'!$AS$2:$AS$21,MATCH(SUBSTITUTE(SUBSTITUTE(SUBSTITUTE($MU61,"~","~~"),"*","~*"),"?","~?"),'DADOS_FORMAS'!$AH$2:$AH$21,0)),""),"~","~~"),"*","~*"),"?","~?"),'DADOS_RESTRICOES'!$M$2:$Q$54,3,FALSE)=1),0))</f>
        <v/>
      </c>
      <c r="OT61" s="161">
        <f>COUNTIF($OI61:$OJ61,2)+IF(IFERROR(INDEX('DADOS_FORMAS'!$AS$2:$AS$21,MATCH(SUBSTITUTE(SUBSTITUTE(SUBSTITUTE($MU61,"~","~~"),"*","~*"),"?","~?"),'DADOS_FORMAS'!$AH$2:$AH$21,0)),"")="",0,IFERROR(N(VLOOKUP(SUBSTITUTE(SUBSTITUTE(SUBSTITUTE(IFERROR(INDEX('DADOS_FORMAS'!$AS$2:$AS$21,MATCH(SUBSTITUTE(SUBSTITUTE(SUBSTITUTE($MU61,"~","~~"),"*","~*"),"?","~?"),'DADOS_FORMAS'!$AH$2:$AH$21,0)),""),"~","~~"),"*","~*"),"?","~?"),'DADOS_RESTRICOES'!$M$2:$Q$54,3,FALSE)=2),0))</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",TRUE,IF($ND61=0,"",TEXTJOIN(" · ",TRUE,IF($MQ61&gt;$NE61,"Este lugar abre no nível "&amp;$MQ61,""),IF($MS61&gt;$NF61,"Classe "&amp;$MS61&amp;": o nível "&amp;$NE61&amp;" libera até a "&amp;$NF61,""),IF($NX61=1,"A Forma "&amp;$MU61&amp;" pede "&amp;INDEX('DADOS_FORMAS'!$GA$2:$GA$21,$NJ61)&amp;" aberta",""),IF(AND($MS61=0,$NJ61&gt;0,IF($NJ61=0,0,INDEX('DADOS_FORMAS'!$GJ$2:$GJ$21,$NJ61))=0),$MU61&amp;"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Corpo")&gt;0,$OF61=0,OR($RO61="Cone",$RO61="Linha")),"Corpo a Corpo não entra em "&amp;$MU61,""),IF(AND(COUNTIF($OK61:$OL61,"Corpo a Corpo")&gt;0,$RP61="Corpo a Corpo"),"A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"&amp;$NC61,""))),IF(AND($MU61&lt;&gt;"",COUNTIF('DADOS_FORMAS'!$AH$2:$AH$21,SUBSTITUTE(SUBSTITUTE(SUBSTITUTE($MU61,"~","~~"),"*","~*"),"?","~?"))=0),"Forma não cadastrada ou com erro: "&amp;$MU61,""),IF(AND(IFERROR(INDEX('DADOS_FORMAS'!$AS$2:$AS$21,MATCH(SUBSTITUTE(SUBSTITUTE(SUBSTITUTE($MU61,"~","~~"),"*","~*"),"?","~?"),'DADOS_FORMAS'!$AH$2:$AH$21,0)),"")&lt;&gt;"",OR(IFERROR(VLOOKUP(SUBSTITUTE(SUBSTITUTE(SUBSTITUTE(IFERROR(INDEX('DADOS_FORMAS'!$AS$2:$AS$21,MATCH(SUBSTITUTE(SUBSTITUTE(SUBSTITUTE($MU61,"~","~~"),"*","~*"),"?","~?"),'DADOS_FORMAS'!$AH$2:$AH$21,0)),""),"~","~~"),"*","~*"),"?","~?"),'DADOS_RESTRICOES'!$M$2:$Q$54,2,FALSE),"")=$OK61,IFERROR(VLOOKUP(SUBSTITUTE(SUBSTITUTE(SUBSTITUTE(IFERROR(INDEX('DADOS_FORMAS'!$AS$2:$AS$21,MATCH(SUBSTITUTE(SUBSTITUTE(SUBSTITUTE($MU61,"~","~~"),"*","~*"),"?","~?"),'DADOS_FORMAS'!$AH$2:$AH$21,0)),""),"~","~~"),"*","~*"),"?","~?"),'DADOS_RESTRICOES'!$M$2:$Q$54,2,FALSE),"")=$OL61)),"Restrição repetida, contando a embutida",""),IF(IF(IFERROR(INDEX('DADOS_FORMAS'!$AS$2:$AS$21,MATCH(SUBSTITUTE(SUBSTITUTE(SUBSTITUTE($MU61,"~","~~"),"*","~*"),"?","~?"),'DADOS_FORMAS'!$AH$2:$AH$21,0)),"")="",0,IFERROR(N(VLOOKUP(SUBSTITUTE(SUBSTITUTE(SUBSTITUTE(IFERROR(INDEX('DADOS_FORMAS'!$AS$2:$AS$21,MATCH(SUBSTITUTE(SUBSTITUTE(SUBSTITUTE($MU61,"~","~~"),"*","~*"),"?","~?"),'DADOS_FORMAS'!$AH$2:$AH$21,0)),""),"~","~~"),"*","~*"),"?","~?"),'DADOS_RESTRICOES'!$M$2:$Q$54,4,FALSE)=1),0))+IF($NB61="",0,IFERROR(N(VLOOKUP(SUBSTITUTE(SUBSTITUTE(SUBSTITUTE($NB61,"~","~~"),"*","~*"),"?","~?"),'DADOS_RESTRICOES'!$M$2:$Q$54,4,FALSE)=1),0))+IF($NC61="",0,IFERROR(N(VLOOKUP(SUBSTITUTE(SUBSTITUTE(SUBSTITUTE($NC61,"~","~~"),"*","~*"),"?","~?"),'DADOS_RESTRICOES'!$M$2:$Q$54,4,FALSE)=1),0))&gt;1,"Duas Restrições de frequência, contando a embutida",""),IF(AND(IFERROR(VLOOKUP(SUBSTITUTE(SUBSTITUTE(SUBSTITUTE(IFERROR(INDEX('DADOS_FORMAS'!$AS$2:$AS$21,MATCH(SUBSTITUTE(SUBSTITUTE(SUBSTITUTE($MU61,"~","~~"),"*","~*"),"?","~?"),'DADOS_FORMAS'!$AH$2:$AH$21,0)),""),"~","~~"),"*","~*"),"?","~?"),'DADOS_RESTRICOES'!$M$2:$Q$54,2,FALSE),"")="Tudo ou Nada",$OH61=0),"Tudo ou Nada exige TR",""),IF(AND(IFERROR(VLOOKUP(SUBSTITUTE(SUBSTITUTE(SUBSTITUTE(IFERROR(INDEX('DADOS_FORMAS'!$AS$2:$AS$21,MATCH(SUBSTITUTE(SUBSTITUTE(SUBSTITUTE($MU61,"~","~~"),"*","~*"),"?","~?"),'DADOS_FORMAS'!$AH$2:$AH$21,0)),""),"~","~~"),"*","~*"),"?","~?"),'DADOS_RESTRICOES'!$M$2:$Q$54,2,FALSE),"")="Corpo a Corpo",OR($RO61="Cone",$RO61="Linha")),"Corpo a Corpo não entra em Cone/Linha","")))</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dela",IF(COUNTIF($RQ61:$RS61,"Atrasar")&gt;0,"Sua Ação Completa",IF(COUNTIF($RK61:$RN61,"Rápido")&gt;0,"Sua Bônus",IF(COUNTIF($RK61:$RN61,"Reação")&gt;0,"Sua Reação","Sua Padrão")))&amp;" + a básica dela"&amp;IF(COUNTIF($RK61:$RN61,"Reação")&gt;0," e a coletiva","")&amp;IF(COUNTIF($RQ61:$RS61,"Carregar")&gt;0," · em dois turnos","")))</f>
        <v/>
      </c>
      <c r="QC61" s="161">
        <f>IF($MW61&lt;&gt;"",$MW61,IF($NJ61=0,"",INDEX('DADOS_FORMAS'!$GE$2:$GE$21,$NJ61)))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IF($NJ61=0,0,CHOOSE(1+INDEX('DADOS_FORMAS'!$GG$2:$GG$21,$NJ61),0,$QF61,$QG61,$QF61+$QG61))</f>
        <v/>
      </c>
      <c r="QI61" s="161">
        <f>IF($NJ61=0,0,CHOOSE(1+INDEX('DADOS_FORMAS'!$GH$2:$GH$21,$NJ61),0,$QF61,$QG61,$QF61+$QG61))</f>
        <v/>
      </c>
      <c r="QJ61" s="161">
        <f>IF(OR($ND61=0,$NJ61=0),"",INDEX('DADOS_FORMAS'!$HU$2:$HZ$81,($NJ61-1)*4+IF($MS61=0,1,IF($MS61&lt;=5,2,IF($MS61=6,3,4))),1+MIN(5,$QH61))&amp;INDEX('DADOS_FORMAS'!$IA$2:$IF$81,($NJ61-1)*4+IF($MS61=0,1,IF($MS61&lt;=5,2,IF($MS61=6,3,4))),1+MIN(5,$QI61))&amp;IF(INDEX('DADOS_FORMAS'!$GI$2:$GI$21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c r="RO61">
        <f>IFERROR(INDEX('DADOS_FORMAS'!$BJ$2:$BJ$21,MATCH(SUBSTITUTE(SUBSTITUTE(SUBSTITUTE($MU61,"~","~~"),"*","~*"),"?","~?"),'DADOS_FORMAS'!$AH$2:$AH$21,0)),"")</f>
        <v/>
      </c>
      <c r="RP61">
        <f>IFERROR(VLOOKUP(SUBSTITUTE(SUBSTITUTE(SUBSTITUTE(IFERROR(INDEX('DADOS_FORMAS'!$AS$2:$AS$21,MATCH(SUBSTITUTE(SUBSTITUTE(SUBSTITUTE($MU61,"~","~~"),"*","~*"),"?","~?"),'DADOS_FORMAS'!$AH$2:$AH$21,0)),""),"~","~~"),"*","~*"),"?","~?"),'DADOS_RESTRICOES'!$M$2:$Q$54,2,FALSE),"")</f>
        <v/>
      </c>
      <c r="RQ61">
        <f>$OK61</f>
        <v/>
      </c>
      <c r="RR61">
        <f>$OL61</f>
        <v/>
      </c>
      <c r="RS61">
        <f>$RP61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IFERROR(MATCH(SUBSTITUTE(SUBSTITUTE(SUBSTITUTE($MU62,"~","~~"),"*","~*"),"?","~?"),'DADOS_FORMAS'!$FZ$2:$FZ$21,0),0)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IF($MS62=0,0,IF($NJ62=0,0,INDEX('DADOS_FORMAS'!$GB$2:$GB$21,$NJ62)))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IF($NJ62=0,0,IF(INDEX('DADOS_FORMAS'!$GA$2:$GA$21,$NJ62)="",0,IF((COUNTIF(INDEX($EL$2:$EP$13,$MO62,0),INDEX('DADOS_FORMAS'!$GA$2:$GA$21,$NJ62))+COUNTIF(INDEX($QV$2:$QY$13,$MO62,0),INDEX('DADOS_FORMAS'!$GA$2:$GA$21,$NJ62)))=0,1,0)))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IFERROR(N(AND(INDEX('DADOS_FORMAS'!$AO$2:$AO$21,MATCH(SUBSTITUTE(SUBSTITUTE(SUBSTITUTE($MU62,"~","~~"),"*","~*"),"?","~?"),'DADOS_FORMAS'!$AH$2:$AH$21,0))="Acerto",$OH62=1)),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IF($NJ62=0,0,INDEX('DADOS_FORMAS'!$GC$2:$GC$21,$NJ62))</f>
        <v/>
      </c>
      <c r="OG62" s="161">
        <f>IF($NJ62=0,0,INDEX('DADOS_FORMAS'!$GD$2:$GD$21,$NJ62))</f>
        <v/>
      </c>
      <c r="OH62" s="161">
        <f>IF($NJ62=0,0,INDEX('DADOS_FORMAS'!$GF$2:$GF$21,$NJ62))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IF(IFERROR(INDEX('DADOS_FORMAS'!$AS$2:$AS$21,MATCH(SUBSTITUTE(SUBSTITUTE(SUBSTITUTE($MU62,"~","~~"),"*","~*"),"?","~?"),'DADOS_FORMAS'!$AH$2:$AH$21,0)),"")="",0,IFERROR(N(VLOOKUP(SUBSTITUTE(SUBSTITUTE(SUBSTITUTE(IFERROR(INDEX('DADOS_FORMAS'!$AS$2:$AS$21,MATCH(SUBSTITUTE(SUBSTITUTE(SUBSTITUTE($MU62,"~","~~"),"*","~*"),"?","~?"),'DADOS_FORMAS'!$AH$2:$AH$21,0)),""),"~","~~"),"*","~*"),"?","~?"),'DADOS_RESTRICOES'!$M$2:$Q$54,3,FALSE)=1),0))</f>
        <v/>
      </c>
      <c r="OT62" s="161">
        <f>COUNTIF($OI62:$OJ62,2)+IF(IFERROR(INDEX('DADOS_FORMAS'!$AS$2:$AS$21,MATCH(SUBSTITUTE(SUBSTITUTE(SUBSTITUTE($MU62,"~","~~"),"*","~*"),"?","~?"),'DADOS_FORMAS'!$AH$2:$AH$21,0)),"")="",0,IFERROR(N(VLOOKUP(SUBSTITUTE(SUBSTITUTE(SUBSTITUTE(IFERROR(INDEX('DADOS_FORMAS'!$AS$2:$AS$21,MATCH(SUBSTITUTE(SUBSTITUTE(SUBSTITUTE($MU62,"~","~~"),"*","~*"),"?","~?"),'DADOS_FORMAS'!$AH$2:$AH$21,0)),""),"~","~~"),"*","~*"),"?","~?"),'DADOS_RESTRICOES'!$M$2:$Q$54,3,FALSE)=2),0))</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",TRUE,IF($ND62=0,"",TEXTJOIN(" · ",TRUE,IF($MQ62&gt;$NE62,"Este lugar abre no nível "&amp;$MQ62,""),IF($MS62&gt;$NF62,"Classe "&amp;$MS62&amp;": o nível "&amp;$NE62&amp;" libera até a "&amp;$NF62,""),IF($NX62=1,"A Forma "&amp;$MU62&amp;" pede "&amp;INDEX('DADOS_FORMAS'!$GA$2:$GA$21,$NJ62)&amp;" aberta",""),IF(AND($MS62=0,$NJ62&gt;0,IF($NJ62=0,0,INDEX('DADOS_FORMAS'!$GJ$2:$GJ$21,$NJ62))=0),$MU62&amp;"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Corpo")&gt;0,$OF62=0,OR($RO62="Cone",$RO62="Linha")),"Corpo a Corpo não entra em "&amp;$MU62,""),IF(AND(COUNTIF($OK62:$OL62,"Corpo a Corpo")&gt;0,$RP62="Corpo a Corpo"),"A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"&amp;$NC62,""))),IF(AND($MU62&lt;&gt;"",COUNTIF('DADOS_FORMAS'!$AH$2:$AH$21,SUBSTITUTE(SUBSTITUTE(SUBSTITUTE($MU62,"~","~~"),"*","~*"),"?","~?"))=0),"Forma não cadastrada ou com erro: "&amp;$MU62,""),IF(AND(IFERROR(INDEX('DADOS_FORMAS'!$AS$2:$AS$21,MATCH(SUBSTITUTE(SUBSTITUTE(SUBSTITUTE($MU62,"~","~~"),"*","~*"),"?","~?"),'DADOS_FORMAS'!$AH$2:$AH$21,0)),"")&lt;&gt;"",OR(IFERROR(VLOOKUP(SUBSTITUTE(SUBSTITUTE(SUBSTITUTE(IFERROR(INDEX('DADOS_FORMAS'!$AS$2:$AS$21,MATCH(SUBSTITUTE(SUBSTITUTE(SUBSTITUTE($MU62,"~","~~"),"*","~*"),"?","~?"),'DADOS_FORMAS'!$AH$2:$AH$21,0)),""),"~","~~"),"*","~*"),"?","~?"),'DADOS_RESTRICOES'!$M$2:$Q$54,2,FALSE),"")=$OK62,IFERROR(VLOOKUP(SUBSTITUTE(SUBSTITUTE(SUBSTITUTE(IFERROR(INDEX('DADOS_FORMAS'!$AS$2:$AS$21,MATCH(SUBSTITUTE(SUBSTITUTE(SUBSTITUTE($MU62,"~","~~"),"*","~*"),"?","~?"),'DADOS_FORMAS'!$AH$2:$AH$21,0)),""),"~","~~"),"*","~*"),"?","~?"),'DADOS_RESTRICOES'!$M$2:$Q$54,2,FALSE),"")=$OL62)),"Restrição repetida, contando a embutida",""),IF(IF(IFERROR(INDEX('DADOS_FORMAS'!$AS$2:$AS$21,MATCH(SUBSTITUTE(SUBSTITUTE(SUBSTITUTE($MU62,"~","~~"),"*","~*"),"?","~?"),'DADOS_FORMAS'!$AH$2:$AH$21,0)),"")="",0,IFERROR(N(VLOOKUP(SUBSTITUTE(SUBSTITUTE(SUBSTITUTE(IFERROR(INDEX('DADOS_FORMAS'!$AS$2:$AS$21,MATCH(SUBSTITUTE(SUBSTITUTE(SUBSTITUTE($MU62,"~","~~"),"*","~*"),"?","~?"),'DADOS_FORMAS'!$AH$2:$AH$21,0)),""),"~","~~"),"*","~*"),"?","~?"),'DADOS_RESTRICOES'!$M$2:$Q$54,4,FALSE)=1),0))+IF($NB62="",0,IFERROR(N(VLOOKUP(SUBSTITUTE(SUBSTITUTE(SUBSTITUTE($NB62,"~","~~"),"*","~*"),"?","~?"),'DADOS_RESTRICOES'!$M$2:$Q$54,4,FALSE)=1),0))+IF($NC62="",0,IFERROR(N(VLOOKUP(SUBSTITUTE(SUBSTITUTE(SUBSTITUTE($NC62,"~","~~"),"*","~*"),"?","~?"),'DADOS_RESTRICOES'!$M$2:$Q$54,4,FALSE)=1),0))&gt;1,"Duas Restrições de frequência, contando a embutida",""),IF(AND(IFERROR(VLOOKUP(SUBSTITUTE(SUBSTITUTE(SUBSTITUTE(IFERROR(INDEX('DADOS_FORMAS'!$AS$2:$AS$21,MATCH(SUBSTITUTE(SUBSTITUTE(SUBSTITUTE($MU62,"~","~~"),"*","~*"),"?","~?"),'DADOS_FORMAS'!$AH$2:$AH$21,0)),""),"~","~~"),"*","~*"),"?","~?"),'DADOS_RESTRICOES'!$M$2:$Q$54,2,FALSE),"")="Tudo ou Nada",$OH62=0),"Tudo ou Nada exige TR",""),IF(AND(IFERROR(VLOOKUP(SUBSTITUTE(SUBSTITUTE(SUBSTITUTE(IFERROR(INDEX('DADOS_FORMAS'!$AS$2:$AS$21,MATCH(SUBSTITUTE(SUBSTITUTE(SUBSTITUTE($MU62,"~","~~"),"*","~*"),"?","~?"),'DADOS_FORMAS'!$AH$2:$AH$21,0)),""),"~","~~"),"*","~*"),"?","~?"),'DADOS_RESTRICOES'!$M$2:$Q$54,2,FALSE),"")="Corpo a Corpo",OR($RO62="Cone",$RO62="Linha")),"Corpo a Corpo não entra em Cone/Linha","")))</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dela",IF(COUNTIF($RQ62:$RS62,"Atrasar")&gt;0,"Sua Ação Completa",IF(COUNTIF($RK62:$RN62,"Rápido")&gt;0,"Sua Bônus",IF(COUNTIF($RK62:$RN62,"Reação")&gt;0,"Sua Reação","Sua Padrão")))&amp;" + a básica dela"&amp;IF(COUNTIF($RK62:$RN62,"Reação")&gt;0," e a coletiva","")&amp;IF(COUNTIF($RQ62:$RS62,"Carregar")&gt;0," · em dois turnos","")))</f>
        <v/>
      </c>
      <c r="QC62" s="161">
        <f>IF($MW62&lt;&gt;"",$MW62,IF($NJ62=0,"",INDEX('DADOS_FORMAS'!$GE$2:$GE$21,$NJ62)))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IF($NJ62=0,0,CHOOSE(1+INDEX('DADOS_FORMAS'!$GG$2:$GG$21,$NJ62),0,$QF62,$QG62,$QF62+$QG62))</f>
        <v/>
      </c>
      <c r="QI62" s="161">
        <f>IF($NJ62=0,0,CHOOSE(1+INDEX('DADOS_FORMAS'!$GH$2:$GH$21,$NJ62),0,$QF62,$QG62,$QF62+$QG62))</f>
        <v/>
      </c>
      <c r="QJ62" s="161">
        <f>IF(OR($ND62=0,$NJ62=0),"",INDEX('DADOS_FORMAS'!$HU$2:$HZ$81,($NJ62-1)*4+IF($MS62=0,1,IF($MS62&lt;=5,2,IF($MS62=6,3,4))),1+MIN(5,$QH62))&amp;INDEX('DADOS_FORMAS'!$IA$2:$IF$81,($NJ62-1)*4+IF($MS62=0,1,IF($MS62&lt;=5,2,IF($MS62=6,3,4))),1+MIN(5,$QI62))&amp;IF(INDEX('DADOS_FORMAS'!$GI$2:$GI$21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c r="RO62">
        <f>IFERROR(INDEX('DADOS_FORMAS'!$BJ$2:$BJ$21,MATCH(SUBSTITUTE(SUBSTITUTE(SUBSTITUTE($MU62,"~","~~"),"*","~*"),"?","~?"),'DADOS_FORMAS'!$AH$2:$AH$21,0)),"")</f>
        <v/>
      </c>
      <c r="RP62">
        <f>IFERROR(VLOOKUP(SUBSTITUTE(SUBSTITUTE(SUBSTITUTE(IFERROR(INDEX('DADOS_FORMAS'!$AS$2:$AS$21,MATCH(SUBSTITUTE(SUBSTITUTE(SUBSTITUTE($MU62,"~","~~"),"*","~*"),"?","~?"),'DADOS_FORMAS'!$AH$2:$AH$21,0)),""),"~","~~"),"*","~*"),"?","~?"),'DADOS_RESTRICOES'!$M$2:$Q$54,2,FALSE),"")</f>
        <v/>
      </c>
      <c r="RQ62">
        <f>$OK62</f>
        <v/>
      </c>
      <c r="RR62">
        <f>$OL62</f>
        <v/>
      </c>
      <c r="RS62">
        <f>$RP62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IFERROR(MATCH(SUBSTITUTE(SUBSTITUTE(SUBSTITUTE($MU63,"~","~~"),"*","~*"),"?","~?"),'DADOS_FORMAS'!$FZ$2:$FZ$21,0),0)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IF($MS63=0,0,IF($NJ63=0,0,INDEX('DADOS_FORMAS'!$GB$2:$GB$21,$NJ63)))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IF($NJ63=0,0,IF(INDEX('DADOS_FORMAS'!$GA$2:$GA$21,$NJ63)="",0,IF((COUNTIF(INDEX($EL$2:$EP$13,$MO63,0),INDEX('DADOS_FORMAS'!$GA$2:$GA$21,$NJ63))+COUNTIF(INDEX($QV$2:$QY$13,$MO63,0),INDEX('DADOS_FORMAS'!$GA$2:$GA$21,$NJ63)))=0,1,0)))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IFERROR(N(AND(INDEX('DADOS_FORMAS'!$AO$2:$AO$21,MATCH(SUBSTITUTE(SUBSTITUTE(SUBSTITUTE($MU63,"~","~~"),"*","~*"),"?","~?"),'DADOS_FORMAS'!$AH$2:$AH$21,0))="Acerto",$OH63=1)),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IF($NJ63=0,0,INDEX('DADOS_FORMAS'!$GC$2:$GC$21,$NJ63))</f>
        <v/>
      </c>
      <c r="OG63" s="161">
        <f>IF($NJ63=0,0,INDEX('DADOS_FORMAS'!$GD$2:$GD$21,$NJ63))</f>
        <v/>
      </c>
      <c r="OH63" s="161">
        <f>IF($NJ63=0,0,INDEX('DADOS_FORMAS'!$GF$2:$GF$21,$NJ63))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IF(IFERROR(INDEX('DADOS_FORMAS'!$AS$2:$AS$21,MATCH(SUBSTITUTE(SUBSTITUTE(SUBSTITUTE($MU63,"~","~~"),"*","~*"),"?","~?"),'DADOS_FORMAS'!$AH$2:$AH$21,0)),"")="",0,IFERROR(N(VLOOKUP(SUBSTITUTE(SUBSTITUTE(SUBSTITUTE(IFERROR(INDEX('DADOS_FORMAS'!$AS$2:$AS$21,MATCH(SUBSTITUTE(SUBSTITUTE(SUBSTITUTE($MU63,"~","~~"),"*","~*"),"?","~?"),'DADOS_FORMAS'!$AH$2:$AH$21,0)),""),"~","~~"),"*","~*"),"?","~?"),'DADOS_RESTRICOES'!$M$2:$Q$54,3,FALSE)=1),0))</f>
        <v/>
      </c>
      <c r="OT63" s="161">
        <f>COUNTIF($OI63:$OJ63,2)+IF(IFERROR(INDEX('DADOS_FORMAS'!$AS$2:$AS$21,MATCH(SUBSTITUTE(SUBSTITUTE(SUBSTITUTE($MU63,"~","~~"),"*","~*"),"?","~?"),'DADOS_FORMAS'!$AH$2:$AH$21,0)),"")="",0,IFERROR(N(VLOOKUP(SUBSTITUTE(SUBSTITUTE(SUBSTITUTE(IFERROR(INDEX('DADOS_FORMAS'!$AS$2:$AS$21,MATCH(SUBSTITUTE(SUBSTITUTE(SUBSTITUTE($MU63,"~","~~"),"*","~*"),"?","~?"),'DADOS_FORMAS'!$AH$2:$AH$21,0)),""),"~","~~"),"*","~*"),"?","~?"),'DADOS_RESTRICOES'!$M$2:$Q$54,3,FALSE)=2),0))</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",TRUE,IF($ND63=0,"",TEXTJOIN(" · ",TRUE,IF($MQ63&gt;$NE63,"Este lugar abre no nível "&amp;$MQ63,""),IF($MS63&gt;$NF63,"Classe "&amp;$MS63&amp;": o nível "&amp;$NE63&amp;" libera até a "&amp;$NF63,""),IF($NX63=1,"A Forma "&amp;$MU63&amp;" pede "&amp;INDEX('DADOS_FORMAS'!$GA$2:$GA$21,$NJ63)&amp;" aberta",""),IF(AND($MS63=0,$NJ63&gt;0,IF($NJ63=0,0,INDEX('DADOS_FORMAS'!$GJ$2:$GJ$21,$NJ63))=0),$MU63&amp;"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Corpo")&gt;0,$OF63=0,OR($RO63="Cone",$RO63="Linha")),"Corpo a Corpo não entra em "&amp;$MU63,""),IF(AND(COUNTIF($OK63:$OL63,"Corpo a Corpo")&gt;0,$RP63="Corpo a Corpo"),"A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"&amp;$NC63,""))),IF(AND($MU63&lt;&gt;"",COUNTIF('DADOS_FORMAS'!$AH$2:$AH$21,SUBSTITUTE(SUBSTITUTE(SUBSTITUTE($MU63,"~","~~"),"*","~*"),"?","~?"))=0),"Forma não cadastrada ou com erro: "&amp;$MU63,""),IF(AND(IFERROR(INDEX('DADOS_FORMAS'!$AS$2:$AS$21,MATCH(SUBSTITUTE(SUBSTITUTE(SUBSTITUTE($MU63,"~","~~"),"*","~*"),"?","~?"),'DADOS_FORMAS'!$AH$2:$AH$21,0)),"")&lt;&gt;"",OR(IFERROR(VLOOKUP(SUBSTITUTE(SUBSTITUTE(SUBSTITUTE(IFERROR(INDEX('DADOS_FORMAS'!$AS$2:$AS$21,MATCH(SUBSTITUTE(SUBSTITUTE(SUBSTITUTE($MU63,"~","~~"),"*","~*"),"?","~?"),'DADOS_FORMAS'!$AH$2:$AH$21,0)),""),"~","~~"),"*","~*"),"?","~?"),'DADOS_RESTRICOES'!$M$2:$Q$54,2,FALSE),"")=$OK63,IFERROR(VLOOKUP(SUBSTITUTE(SUBSTITUTE(SUBSTITUTE(IFERROR(INDEX('DADOS_FORMAS'!$AS$2:$AS$21,MATCH(SUBSTITUTE(SUBSTITUTE(SUBSTITUTE($MU63,"~","~~"),"*","~*"),"?","~?"),'DADOS_FORMAS'!$AH$2:$AH$21,0)),""),"~","~~"),"*","~*"),"?","~?"),'DADOS_RESTRICOES'!$M$2:$Q$54,2,FALSE),"")=$OL63)),"Restrição repetida, contando a embutida",""),IF(IF(IFERROR(INDEX('DADOS_FORMAS'!$AS$2:$AS$21,MATCH(SUBSTITUTE(SUBSTITUTE(SUBSTITUTE($MU63,"~","~~"),"*","~*"),"?","~?"),'DADOS_FORMAS'!$AH$2:$AH$21,0)),"")="",0,IFERROR(N(VLOOKUP(SUBSTITUTE(SUBSTITUTE(SUBSTITUTE(IFERROR(INDEX('DADOS_FORMAS'!$AS$2:$AS$21,MATCH(SUBSTITUTE(SUBSTITUTE(SUBSTITUTE($MU63,"~","~~"),"*","~*"),"?","~?"),'DADOS_FORMAS'!$AH$2:$AH$21,0)),""),"~","~~"),"*","~*"),"?","~?"),'DADOS_RESTRICOES'!$M$2:$Q$54,4,FALSE)=1),0))+IF($NB63="",0,IFERROR(N(VLOOKUP(SUBSTITUTE(SUBSTITUTE(SUBSTITUTE($NB63,"~","~~"),"*","~*"),"?","~?"),'DADOS_RESTRICOES'!$M$2:$Q$54,4,FALSE)=1),0))+IF($NC63="",0,IFERROR(N(VLOOKUP(SUBSTITUTE(SUBSTITUTE(SUBSTITUTE($NC63,"~","~~"),"*","~*"),"?","~?"),'DADOS_RESTRICOES'!$M$2:$Q$54,4,FALSE)=1),0))&gt;1,"Duas Restrições de frequência, contando a embutida",""),IF(AND(IFERROR(VLOOKUP(SUBSTITUTE(SUBSTITUTE(SUBSTITUTE(IFERROR(INDEX('DADOS_FORMAS'!$AS$2:$AS$21,MATCH(SUBSTITUTE(SUBSTITUTE(SUBSTITUTE($MU63,"~","~~"),"*","~*"),"?","~?"),'DADOS_FORMAS'!$AH$2:$AH$21,0)),""),"~","~~"),"*","~*"),"?","~?"),'DADOS_RESTRICOES'!$M$2:$Q$54,2,FALSE),"")="Tudo ou Nada",$OH63=0),"Tudo ou Nada exige TR",""),IF(AND(IFERROR(VLOOKUP(SUBSTITUTE(SUBSTITUTE(SUBSTITUTE(IFERROR(INDEX('DADOS_FORMAS'!$AS$2:$AS$21,MATCH(SUBSTITUTE(SUBSTITUTE(SUBSTITUTE($MU63,"~","~~"),"*","~*"),"?","~?"),'DADOS_FORMAS'!$AH$2:$AH$21,0)),""),"~","~~"),"*","~*"),"?","~?"),'DADOS_RESTRICOES'!$M$2:$Q$54,2,FALSE),"")="Corpo a Corpo",OR($RO63="Cone",$RO63="Linha")),"Corpo a Corpo não entra em Cone/Linha","")))</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dela",IF(COUNTIF($RQ63:$RS63,"Atrasar")&gt;0,"Sua Ação Completa",IF(COUNTIF($RK63:$RN63,"Rápido")&gt;0,"Sua Bônus",IF(COUNTIF($RK63:$RN63,"Reação")&gt;0,"Sua Reação","Sua Padrão")))&amp;" + a básica dela"&amp;IF(COUNTIF($RK63:$RN63,"Reação")&gt;0," e a coletiva","")&amp;IF(COUNTIF($RQ63:$RS63,"Carregar")&gt;0," · em dois turnos","")))</f>
        <v/>
      </c>
      <c r="QC63" s="161">
        <f>IF($MW63&lt;&gt;"",$MW63,IF($NJ63=0,"",INDEX('DADOS_FORMAS'!$GE$2:$GE$21,$NJ63)))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IF($NJ63=0,0,CHOOSE(1+INDEX('DADOS_FORMAS'!$GG$2:$GG$21,$NJ63),0,$QF63,$QG63,$QF63+$QG63))</f>
        <v/>
      </c>
      <c r="QI63" s="161">
        <f>IF($NJ63=0,0,CHOOSE(1+INDEX('DADOS_FORMAS'!$GH$2:$GH$21,$NJ63),0,$QF63,$QG63,$QF63+$QG63))</f>
        <v/>
      </c>
      <c r="QJ63" s="161">
        <f>IF(OR($ND63=0,$NJ63=0),"",INDEX('DADOS_FORMAS'!$HU$2:$HZ$81,($NJ63-1)*4+IF($MS63=0,1,IF($MS63&lt;=5,2,IF($MS63=6,3,4))),1+MIN(5,$QH63))&amp;INDEX('DADOS_FORMAS'!$IA$2:$IF$81,($NJ63-1)*4+IF($MS63=0,1,IF($MS63&lt;=5,2,IF($MS63=6,3,4))),1+MIN(5,$QI63))&amp;IF(INDEX('DADOS_FORMAS'!$GI$2:$GI$21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c r="RO63">
        <f>IFERROR(INDEX('DADOS_FORMAS'!$BJ$2:$BJ$21,MATCH(SUBSTITUTE(SUBSTITUTE(SUBSTITUTE($MU63,"~","~~"),"*","~*"),"?","~?"),'DADOS_FORMAS'!$AH$2:$AH$21,0)),"")</f>
        <v/>
      </c>
      <c r="RP63">
        <f>IFERROR(VLOOKUP(SUBSTITUTE(SUBSTITUTE(SUBSTITUTE(IFERROR(INDEX('DADOS_FORMAS'!$AS$2:$AS$21,MATCH(SUBSTITUTE(SUBSTITUTE(SUBSTITUTE($MU63,"~","~~"),"*","~*"),"?","~?"),'DADOS_FORMAS'!$AH$2:$AH$21,0)),""),"~","~~"),"*","~*"),"?","~?"),'DADOS_RESTRICOES'!$M$2:$Q$54,2,FALSE),"")</f>
        <v/>
      </c>
      <c r="RQ63">
        <f>$OK63</f>
        <v/>
      </c>
      <c r="RR63">
        <f>$OL63</f>
        <v/>
      </c>
      <c r="RS63">
        <f>$RP63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IFERROR(MATCH(SUBSTITUTE(SUBSTITUTE(SUBSTITUTE($MU64,"~","~~"),"*","~*"),"?","~?"),'DADOS_FORMAS'!$FZ$2:$FZ$21,0),0)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IF($MS64=0,0,IF($NJ64=0,0,INDEX('DADOS_FORMAS'!$GB$2:$GB$21,$NJ64)))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IF($NJ64=0,0,IF(INDEX('DADOS_FORMAS'!$GA$2:$GA$21,$NJ64)="",0,IF((COUNTIF(INDEX($EL$2:$EP$13,$MO64,0),INDEX('DADOS_FORMAS'!$GA$2:$GA$21,$NJ64))+COUNTIF(INDEX($QV$2:$QY$13,$MO64,0),INDEX('DADOS_FORMAS'!$GA$2:$GA$21,$NJ64)))=0,1,0)))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IFERROR(N(AND(INDEX('DADOS_FORMAS'!$AO$2:$AO$21,MATCH(SUBSTITUTE(SUBSTITUTE(SUBSTITUTE($MU64,"~","~~"),"*","~*"),"?","~?"),'DADOS_FORMAS'!$AH$2:$AH$21,0))="Acerto",$OH64=1)),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IF($NJ64=0,0,INDEX('DADOS_FORMAS'!$GC$2:$GC$21,$NJ64))</f>
        <v/>
      </c>
      <c r="OG64" s="161">
        <f>IF($NJ64=0,0,INDEX('DADOS_FORMAS'!$GD$2:$GD$21,$NJ64))</f>
        <v/>
      </c>
      <c r="OH64" s="161">
        <f>IF($NJ64=0,0,INDEX('DADOS_FORMAS'!$GF$2:$GF$21,$NJ64))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IF(IFERROR(INDEX('DADOS_FORMAS'!$AS$2:$AS$21,MATCH(SUBSTITUTE(SUBSTITUTE(SUBSTITUTE($MU64,"~","~~"),"*","~*"),"?","~?"),'DADOS_FORMAS'!$AH$2:$AH$21,0)),"")="",0,IFERROR(N(VLOOKUP(SUBSTITUTE(SUBSTITUTE(SUBSTITUTE(IFERROR(INDEX('DADOS_FORMAS'!$AS$2:$AS$21,MATCH(SUBSTITUTE(SUBSTITUTE(SUBSTITUTE($MU64,"~","~~"),"*","~*"),"?","~?"),'DADOS_FORMAS'!$AH$2:$AH$21,0)),""),"~","~~"),"*","~*"),"?","~?"),'DADOS_RESTRICOES'!$M$2:$Q$54,3,FALSE)=1),0))</f>
        <v/>
      </c>
      <c r="OT64" s="161">
        <f>COUNTIF($OI64:$OJ64,2)+IF(IFERROR(INDEX('DADOS_FORMAS'!$AS$2:$AS$21,MATCH(SUBSTITUTE(SUBSTITUTE(SUBSTITUTE($MU64,"~","~~"),"*","~*"),"?","~?"),'DADOS_FORMAS'!$AH$2:$AH$21,0)),"")="",0,IFERROR(N(VLOOKUP(SUBSTITUTE(SUBSTITUTE(SUBSTITUTE(IFERROR(INDEX('DADOS_FORMAS'!$AS$2:$AS$21,MATCH(SUBSTITUTE(SUBSTITUTE(SUBSTITUTE($MU64,"~","~~"),"*","~*"),"?","~?"),'DADOS_FORMAS'!$AH$2:$AH$21,0)),""),"~","~~"),"*","~*"),"?","~?"),'DADOS_RESTRICOES'!$M$2:$Q$54,3,FALSE)=2),0))</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",TRUE,IF($ND64=0,"",TEXTJOIN(" · ",TRUE,IF($MQ64&gt;$NE64,"Este lugar abre no nível "&amp;$MQ64,""),IF($MS64&gt;$NF64,"Classe "&amp;$MS64&amp;": o nível "&amp;$NE64&amp;" libera até a "&amp;$NF64,""),IF($NX64=1,"A Forma "&amp;$MU64&amp;" pede "&amp;INDEX('DADOS_FORMAS'!$GA$2:$GA$21,$NJ64)&amp;" aberta",""),IF(AND($MS64=0,$NJ64&gt;0,IF($NJ64=0,0,INDEX('DADOS_FORMAS'!$GJ$2:$GJ$21,$NJ64))=0),$MU64&amp;"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Corpo")&gt;0,$OF64=0,OR($RO64="Cone",$RO64="Linha")),"Corpo a Corpo não entra em "&amp;$MU64,""),IF(AND(COUNTIF($OK64:$OL64,"Corpo a Corpo")&gt;0,$RP64="Corpo a Corpo"),"A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"&amp;$NC64,""))),IF(AND($MU64&lt;&gt;"",COUNTIF('DADOS_FORMAS'!$AH$2:$AH$21,SUBSTITUTE(SUBSTITUTE(SUBSTITUTE($MU64,"~","~~"),"*","~*"),"?","~?"))=0),"Forma não cadastrada ou com erro: "&amp;$MU64,""),IF(AND(IFERROR(INDEX('DADOS_FORMAS'!$AS$2:$AS$21,MATCH(SUBSTITUTE(SUBSTITUTE(SUBSTITUTE($MU64,"~","~~"),"*","~*"),"?","~?"),'DADOS_FORMAS'!$AH$2:$AH$21,0)),"")&lt;&gt;"",OR(IFERROR(VLOOKUP(SUBSTITUTE(SUBSTITUTE(SUBSTITUTE(IFERROR(INDEX('DADOS_FORMAS'!$AS$2:$AS$21,MATCH(SUBSTITUTE(SUBSTITUTE(SUBSTITUTE($MU64,"~","~~"),"*","~*"),"?","~?"),'DADOS_FORMAS'!$AH$2:$AH$21,0)),""),"~","~~"),"*","~*"),"?","~?"),'DADOS_RESTRICOES'!$M$2:$Q$54,2,FALSE),"")=$OK64,IFERROR(VLOOKUP(SUBSTITUTE(SUBSTITUTE(SUBSTITUTE(IFERROR(INDEX('DADOS_FORMAS'!$AS$2:$AS$21,MATCH(SUBSTITUTE(SUBSTITUTE(SUBSTITUTE($MU64,"~","~~"),"*","~*"),"?","~?"),'DADOS_FORMAS'!$AH$2:$AH$21,0)),""),"~","~~"),"*","~*"),"?","~?"),'DADOS_RESTRICOES'!$M$2:$Q$54,2,FALSE),"")=$OL64)),"Restrição repetida, contando a embutida",""),IF(IF(IFERROR(INDEX('DADOS_FORMAS'!$AS$2:$AS$21,MATCH(SUBSTITUTE(SUBSTITUTE(SUBSTITUTE($MU64,"~","~~"),"*","~*"),"?","~?"),'DADOS_FORMAS'!$AH$2:$AH$21,0)),"")="",0,IFERROR(N(VLOOKUP(SUBSTITUTE(SUBSTITUTE(SUBSTITUTE(IFERROR(INDEX('DADOS_FORMAS'!$AS$2:$AS$21,MATCH(SUBSTITUTE(SUBSTITUTE(SUBSTITUTE($MU64,"~","~~"),"*","~*"),"?","~?"),'DADOS_FORMAS'!$AH$2:$AH$21,0)),""),"~","~~"),"*","~*"),"?","~?"),'DADOS_RESTRICOES'!$M$2:$Q$54,4,FALSE)=1),0))+IF($NB64="",0,IFERROR(N(VLOOKUP(SUBSTITUTE(SUBSTITUTE(SUBSTITUTE($NB64,"~","~~"),"*","~*"),"?","~?"),'DADOS_RESTRICOES'!$M$2:$Q$54,4,FALSE)=1),0))+IF($NC64="",0,IFERROR(N(VLOOKUP(SUBSTITUTE(SUBSTITUTE(SUBSTITUTE($NC64,"~","~~"),"*","~*"),"?","~?"),'DADOS_RESTRICOES'!$M$2:$Q$54,4,FALSE)=1),0))&gt;1,"Duas Restrições de frequência, contando a embutida",""),IF(AND(IFERROR(VLOOKUP(SUBSTITUTE(SUBSTITUTE(SUBSTITUTE(IFERROR(INDEX('DADOS_FORMAS'!$AS$2:$AS$21,MATCH(SUBSTITUTE(SUBSTITUTE(SUBSTITUTE($MU64,"~","~~"),"*","~*"),"?","~?"),'DADOS_FORMAS'!$AH$2:$AH$21,0)),""),"~","~~"),"*","~*"),"?","~?"),'DADOS_RESTRICOES'!$M$2:$Q$54,2,FALSE),"")="Tudo ou Nada",$OH64=0),"Tudo ou Nada exige TR",""),IF(AND(IFERROR(VLOOKUP(SUBSTITUTE(SUBSTITUTE(SUBSTITUTE(IFERROR(INDEX('DADOS_FORMAS'!$AS$2:$AS$21,MATCH(SUBSTITUTE(SUBSTITUTE(SUBSTITUTE($MU64,"~","~~"),"*","~*"),"?","~?"),'DADOS_FORMAS'!$AH$2:$AH$21,0)),""),"~","~~"),"*","~*"),"?","~?"),'DADOS_RESTRICOES'!$M$2:$Q$54,2,FALSE),"")="Corpo a Corpo",OR($RO64="Cone",$RO64="Linha")),"Corpo a Corpo não entra em Cone/Linha","")))</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dela",IF(COUNTIF($RQ64:$RS64,"Atrasar")&gt;0,"Sua Ação Completa",IF(COUNTIF($RK64:$RN64,"Rápido")&gt;0,"Sua Bônus",IF(COUNTIF($RK64:$RN64,"Reação")&gt;0,"Sua Reação","Sua Padrão")))&amp;" + a básica dela"&amp;IF(COUNTIF($RK64:$RN64,"Reação")&gt;0," e a coletiva","")&amp;IF(COUNTIF($RQ64:$RS64,"Carregar")&gt;0," · em dois turnos","")))</f>
        <v/>
      </c>
      <c r="QC64" s="161">
        <f>IF($MW64&lt;&gt;"",$MW64,IF($NJ64=0,"",INDEX('DADOS_FORMAS'!$GE$2:$GE$21,$NJ64)))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IF($NJ64=0,0,CHOOSE(1+INDEX('DADOS_FORMAS'!$GG$2:$GG$21,$NJ64),0,$QF64,$QG64,$QF64+$QG64))</f>
        <v/>
      </c>
      <c r="QI64" s="161">
        <f>IF($NJ64=0,0,CHOOSE(1+INDEX('DADOS_FORMAS'!$GH$2:$GH$21,$NJ64),0,$QF64,$QG64,$QF64+$QG64))</f>
        <v/>
      </c>
      <c r="QJ64" s="161">
        <f>IF(OR($ND64=0,$NJ64=0),"",INDEX('DADOS_FORMAS'!$HU$2:$HZ$81,($NJ64-1)*4+IF($MS64=0,1,IF($MS64&lt;=5,2,IF($MS64=6,3,4))),1+MIN(5,$QH64))&amp;INDEX('DADOS_FORMAS'!$IA$2:$IF$81,($NJ64-1)*4+IF($MS64=0,1,IF($MS64&lt;=5,2,IF($MS64=6,3,4))),1+MIN(5,$QI64))&amp;IF(INDEX('DADOS_FORMAS'!$GI$2:$GI$21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c r="RO64">
        <f>IFERROR(INDEX('DADOS_FORMAS'!$BJ$2:$BJ$21,MATCH(SUBSTITUTE(SUBSTITUTE(SUBSTITUTE($MU64,"~","~~"),"*","~*"),"?","~?"),'DADOS_FORMAS'!$AH$2:$AH$21,0)),"")</f>
        <v/>
      </c>
      <c r="RP64">
        <f>IFERROR(VLOOKUP(SUBSTITUTE(SUBSTITUTE(SUBSTITUTE(IFERROR(INDEX('DADOS_FORMAS'!$AS$2:$AS$21,MATCH(SUBSTITUTE(SUBSTITUTE(SUBSTITUTE($MU64,"~","~~"),"*","~*"),"?","~?"),'DADOS_FORMAS'!$AH$2:$AH$21,0)),""),"~","~~"),"*","~*"),"?","~?"),'DADOS_RESTRICOES'!$M$2:$Q$54,2,FALSE),"")</f>
        <v/>
      </c>
      <c r="RQ64">
        <f>$OK64</f>
        <v/>
      </c>
      <c r="RR64">
        <f>$OL64</f>
        <v/>
      </c>
      <c r="RS64">
        <f>$RP64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IFERROR(MATCH(SUBSTITUTE(SUBSTITUTE(SUBSTITUTE($MU65,"~","~~"),"*","~*"),"?","~?"),'DADOS_FORMAS'!$FZ$2:$FZ$21,0),0)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IF($MS65=0,0,IF($NJ65=0,0,INDEX('DADOS_FORMAS'!$GB$2:$GB$21,$NJ65)))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IF($NJ65=0,0,IF(INDEX('DADOS_FORMAS'!$GA$2:$GA$21,$NJ65)="",0,IF((COUNTIF(INDEX($EL$2:$EP$13,$MO65,0),INDEX('DADOS_FORMAS'!$GA$2:$GA$21,$NJ65))+COUNTIF(INDEX($QV$2:$QY$13,$MO65,0),INDEX('DADOS_FORMAS'!$GA$2:$GA$21,$NJ65)))=0,1,0)))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IFERROR(N(AND(INDEX('DADOS_FORMAS'!$AO$2:$AO$21,MATCH(SUBSTITUTE(SUBSTITUTE(SUBSTITUTE($MU65,"~","~~"),"*","~*"),"?","~?"),'DADOS_FORMAS'!$AH$2:$AH$21,0))="Acerto",$OH65=1)),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IF($NJ65=0,0,INDEX('DADOS_FORMAS'!$GC$2:$GC$21,$NJ65))</f>
        <v/>
      </c>
      <c r="OG65" s="161">
        <f>IF($NJ65=0,0,INDEX('DADOS_FORMAS'!$GD$2:$GD$21,$NJ65))</f>
        <v/>
      </c>
      <c r="OH65" s="161">
        <f>IF($NJ65=0,0,INDEX('DADOS_FORMAS'!$GF$2:$GF$21,$NJ65))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IF(IFERROR(INDEX('DADOS_FORMAS'!$AS$2:$AS$21,MATCH(SUBSTITUTE(SUBSTITUTE(SUBSTITUTE($MU65,"~","~~"),"*","~*"),"?","~?"),'DADOS_FORMAS'!$AH$2:$AH$21,0)),"")="",0,IFERROR(N(VLOOKUP(SUBSTITUTE(SUBSTITUTE(SUBSTITUTE(IFERROR(INDEX('DADOS_FORMAS'!$AS$2:$AS$21,MATCH(SUBSTITUTE(SUBSTITUTE(SUBSTITUTE($MU65,"~","~~"),"*","~*"),"?","~?"),'DADOS_FORMAS'!$AH$2:$AH$21,0)),""),"~","~~"),"*","~*"),"?","~?"),'DADOS_RESTRICOES'!$M$2:$Q$54,3,FALSE)=1),0))</f>
        <v/>
      </c>
      <c r="OT65" s="161">
        <f>COUNTIF($OI65:$OJ65,2)+IF(IFERROR(INDEX('DADOS_FORMAS'!$AS$2:$AS$21,MATCH(SUBSTITUTE(SUBSTITUTE(SUBSTITUTE($MU65,"~","~~"),"*","~*"),"?","~?"),'DADOS_FORMAS'!$AH$2:$AH$21,0)),"")="",0,IFERROR(N(VLOOKUP(SUBSTITUTE(SUBSTITUTE(SUBSTITUTE(IFERROR(INDEX('DADOS_FORMAS'!$AS$2:$AS$21,MATCH(SUBSTITUTE(SUBSTITUTE(SUBSTITUTE($MU65,"~","~~"),"*","~*"),"?","~?"),'DADOS_FORMAS'!$AH$2:$AH$21,0)),""),"~","~~"),"*","~*"),"?","~?"),'DADOS_RESTRICOES'!$M$2:$Q$54,3,FALSE)=2),0))</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",TRUE,IF($ND65=0,"",TEXTJOIN(" · ",TRUE,IF($MQ65&gt;$NE65,"Este lugar abre no nível "&amp;$MQ65,""),IF($MS65&gt;$NF65,"Classe "&amp;$MS65&amp;": o nível "&amp;$NE65&amp;" libera até a "&amp;$NF65,""),IF($NX65=1,"A Forma "&amp;$MU65&amp;" pede "&amp;INDEX('DADOS_FORMAS'!$GA$2:$GA$21,$NJ65)&amp;" aberta",""),IF(AND($MS65=0,$NJ65&gt;0,IF($NJ65=0,0,INDEX('DADOS_FORMAS'!$GJ$2:$GJ$21,$NJ65))=0),$MU65&amp;"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Corpo")&gt;0,$OF65=0,OR($RO65="Cone",$RO65="Linha")),"Corpo a Corpo não entra em "&amp;$MU65,""),IF(AND(COUNTIF($OK65:$OL65,"Corpo a Corpo")&gt;0,$RP65="Corpo a Corpo"),"A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"&amp;$NC65,""))),IF(AND($MU65&lt;&gt;"",COUNTIF('DADOS_FORMAS'!$AH$2:$AH$21,SUBSTITUTE(SUBSTITUTE(SUBSTITUTE($MU65,"~","~~"),"*","~*"),"?","~?"))=0),"Forma não cadastrada ou com erro: "&amp;$MU65,""),IF(AND(IFERROR(INDEX('DADOS_FORMAS'!$AS$2:$AS$21,MATCH(SUBSTITUTE(SUBSTITUTE(SUBSTITUTE($MU65,"~","~~"),"*","~*"),"?","~?"),'DADOS_FORMAS'!$AH$2:$AH$21,0)),"")&lt;&gt;"",OR(IFERROR(VLOOKUP(SUBSTITUTE(SUBSTITUTE(SUBSTITUTE(IFERROR(INDEX('DADOS_FORMAS'!$AS$2:$AS$21,MATCH(SUBSTITUTE(SUBSTITUTE(SUBSTITUTE($MU65,"~","~~"),"*","~*"),"?","~?"),'DADOS_FORMAS'!$AH$2:$AH$21,0)),""),"~","~~"),"*","~*"),"?","~?"),'DADOS_RESTRICOES'!$M$2:$Q$54,2,FALSE),"")=$OK65,IFERROR(VLOOKUP(SUBSTITUTE(SUBSTITUTE(SUBSTITUTE(IFERROR(INDEX('DADOS_FORMAS'!$AS$2:$AS$21,MATCH(SUBSTITUTE(SUBSTITUTE(SUBSTITUTE($MU65,"~","~~"),"*","~*"),"?","~?"),'DADOS_FORMAS'!$AH$2:$AH$21,0)),""),"~","~~"),"*","~*"),"?","~?"),'DADOS_RESTRICOES'!$M$2:$Q$54,2,FALSE),"")=$OL65)),"Restrição repetida, contando a embutida",""),IF(IF(IFERROR(INDEX('DADOS_FORMAS'!$AS$2:$AS$21,MATCH(SUBSTITUTE(SUBSTITUTE(SUBSTITUTE($MU65,"~","~~"),"*","~*"),"?","~?"),'DADOS_FORMAS'!$AH$2:$AH$21,0)),"")="",0,IFERROR(N(VLOOKUP(SUBSTITUTE(SUBSTITUTE(SUBSTITUTE(IFERROR(INDEX('DADOS_FORMAS'!$AS$2:$AS$21,MATCH(SUBSTITUTE(SUBSTITUTE(SUBSTITUTE($MU65,"~","~~"),"*","~*"),"?","~?"),'DADOS_FORMAS'!$AH$2:$AH$21,0)),""),"~","~~"),"*","~*"),"?","~?"),'DADOS_RESTRICOES'!$M$2:$Q$54,4,FALSE)=1),0))+IF($NB65="",0,IFERROR(N(VLOOKUP(SUBSTITUTE(SUBSTITUTE(SUBSTITUTE($NB65,"~","~~"),"*","~*"),"?","~?"),'DADOS_RESTRICOES'!$M$2:$Q$54,4,FALSE)=1),0))+IF($NC65="",0,IFERROR(N(VLOOKUP(SUBSTITUTE(SUBSTITUTE(SUBSTITUTE($NC65,"~","~~"),"*","~*"),"?","~?"),'DADOS_RESTRICOES'!$M$2:$Q$54,4,FALSE)=1),0))&gt;1,"Duas Restrições de frequência, contando a embutida",""),IF(AND(IFERROR(VLOOKUP(SUBSTITUTE(SUBSTITUTE(SUBSTITUTE(IFERROR(INDEX('DADOS_FORMAS'!$AS$2:$AS$21,MATCH(SUBSTITUTE(SUBSTITUTE(SUBSTITUTE($MU65,"~","~~"),"*","~*"),"?","~?"),'DADOS_FORMAS'!$AH$2:$AH$21,0)),""),"~","~~"),"*","~*"),"?","~?"),'DADOS_RESTRICOES'!$M$2:$Q$54,2,FALSE),"")="Tudo ou Nada",$OH65=0),"Tudo ou Nada exige TR",""),IF(AND(IFERROR(VLOOKUP(SUBSTITUTE(SUBSTITUTE(SUBSTITUTE(IFERROR(INDEX('DADOS_FORMAS'!$AS$2:$AS$21,MATCH(SUBSTITUTE(SUBSTITUTE(SUBSTITUTE($MU65,"~","~~"),"*","~*"),"?","~?"),'DADOS_FORMAS'!$AH$2:$AH$21,0)),""),"~","~~"),"*","~*"),"?","~?"),'DADOS_RESTRICOES'!$M$2:$Q$54,2,FALSE),"")="Corpo a Corpo",OR($RO65="Cone",$RO65="Linha")),"Corpo a Corpo não entra em Cone/Linha","")))</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dela",IF(COUNTIF($RQ65:$RS65,"Atrasar")&gt;0,"Sua Ação Completa",IF(COUNTIF($RK65:$RN65,"Rápido")&gt;0,"Sua Bônus",IF(COUNTIF($RK65:$RN65,"Reação")&gt;0,"Sua Reação","Sua Padrão")))&amp;" + a básica dela"&amp;IF(COUNTIF($RK65:$RN65,"Reação")&gt;0," e a coletiva","")&amp;IF(COUNTIF($RQ65:$RS65,"Carregar")&gt;0," · em dois turnos","")))</f>
        <v/>
      </c>
      <c r="QC65" s="161">
        <f>IF($MW65&lt;&gt;"",$MW65,IF($NJ65=0,"",INDEX('DADOS_FORMAS'!$GE$2:$GE$21,$NJ65)))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IF($NJ65=0,0,CHOOSE(1+INDEX('DADOS_FORMAS'!$GG$2:$GG$21,$NJ65),0,$QF65,$QG65,$QF65+$QG65))</f>
        <v/>
      </c>
      <c r="QI65" s="161">
        <f>IF($NJ65=0,0,CHOOSE(1+INDEX('DADOS_FORMAS'!$GH$2:$GH$21,$NJ65),0,$QF65,$QG65,$QF65+$QG65))</f>
        <v/>
      </c>
      <c r="QJ65" s="161">
        <f>IF(OR($ND65=0,$NJ65=0),"",INDEX('DADOS_FORMAS'!$HU$2:$HZ$81,($NJ65-1)*4+IF($MS65=0,1,IF($MS65&lt;=5,2,IF($MS65=6,3,4))),1+MIN(5,$QH65))&amp;INDEX('DADOS_FORMAS'!$IA$2:$IF$81,($NJ65-1)*4+IF($MS65=0,1,IF($MS65&lt;=5,2,IF($MS65=6,3,4))),1+MIN(5,$QI65))&amp;IF(INDEX('DADOS_FORMAS'!$GI$2:$GI$21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c r="RO65">
        <f>IFERROR(INDEX('DADOS_FORMAS'!$BJ$2:$BJ$21,MATCH(SUBSTITUTE(SUBSTITUTE(SUBSTITUTE($MU65,"~","~~"),"*","~*"),"?","~?"),'DADOS_FORMAS'!$AH$2:$AH$21,0)),"")</f>
        <v/>
      </c>
      <c r="RP65">
        <f>IFERROR(VLOOKUP(SUBSTITUTE(SUBSTITUTE(SUBSTITUTE(IFERROR(INDEX('DADOS_FORMAS'!$AS$2:$AS$21,MATCH(SUBSTITUTE(SUBSTITUTE(SUBSTITUTE($MU65,"~","~~"),"*","~*"),"?","~?"),'DADOS_FORMAS'!$AH$2:$AH$21,0)),""),"~","~~"),"*","~*"),"?","~?"),'DADOS_RESTRICOES'!$M$2:$Q$54,2,FALSE),"")</f>
        <v/>
      </c>
      <c r="RQ65">
        <f>$OK65</f>
        <v/>
      </c>
      <c r="RR65">
        <f>$OL65</f>
        <v/>
      </c>
      <c r="RS65">
        <f>$RP65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IFERROR(MATCH(SUBSTITUTE(SUBSTITUTE(SUBSTITUTE($MU66,"~","~~"),"*","~*"),"?","~?"),'DADOS_FORMAS'!$FZ$2:$FZ$21,0),0)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IF($MS66=0,0,IF($NJ66=0,0,INDEX('DADOS_FORMAS'!$GB$2:$GB$21,$NJ66)))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IF($NJ66=0,0,IF(INDEX('DADOS_FORMAS'!$GA$2:$GA$21,$NJ66)="",0,IF((COUNTIF(INDEX($EL$2:$EP$13,$MO66,0),INDEX('DADOS_FORMAS'!$GA$2:$GA$21,$NJ66))+COUNTIF(INDEX($QV$2:$QY$13,$MO66,0),INDEX('DADOS_FORMAS'!$GA$2:$GA$21,$NJ66)))=0,1,0)))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IFERROR(N(AND(INDEX('DADOS_FORMAS'!$AO$2:$AO$21,MATCH(SUBSTITUTE(SUBSTITUTE(SUBSTITUTE($MU66,"~","~~"),"*","~*"),"?","~?"),'DADOS_FORMAS'!$AH$2:$AH$21,0))="Acerto",$OH66=1)),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IF($NJ66=0,0,INDEX('DADOS_FORMAS'!$GC$2:$GC$21,$NJ66))</f>
        <v/>
      </c>
      <c r="OG66" s="161">
        <f>IF($NJ66=0,0,INDEX('DADOS_FORMAS'!$GD$2:$GD$21,$NJ66))</f>
        <v/>
      </c>
      <c r="OH66" s="161">
        <f>IF($NJ66=0,0,INDEX('DADOS_FORMAS'!$GF$2:$GF$21,$NJ66))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IF(IFERROR(INDEX('DADOS_FORMAS'!$AS$2:$AS$21,MATCH(SUBSTITUTE(SUBSTITUTE(SUBSTITUTE($MU66,"~","~~"),"*","~*"),"?","~?"),'DADOS_FORMAS'!$AH$2:$AH$21,0)),"")="",0,IFERROR(N(VLOOKUP(SUBSTITUTE(SUBSTITUTE(SUBSTITUTE(IFERROR(INDEX('DADOS_FORMAS'!$AS$2:$AS$21,MATCH(SUBSTITUTE(SUBSTITUTE(SUBSTITUTE($MU66,"~","~~"),"*","~*"),"?","~?"),'DADOS_FORMAS'!$AH$2:$AH$21,0)),""),"~","~~"),"*","~*"),"?","~?"),'DADOS_RESTRICOES'!$M$2:$Q$54,3,FALSE)=1),0))</f>
        <v/>
      </c>
      <c r="OT66" s="161">
        <f>COUNTIF($OI66:$OJ66,2)+IF(IFERROR(INDEX('DADOS_FORMAS'!$AS$2:$AS$21,MATCH(SUBSTITUTE(SUBSTITUTE(SUBSTITUTE($MU66,"~","~~"),"*","~*"),"?","~?"),'DADOS_FORMAS'!$AH$2:$AH$21,0)),"")="",0,IFERROR(N(VLOOKUP(SUBSTITUTE(SUBSTITUTE(SUBSTITUTE(IFERROR(INDEX('DADOS_FORMAS'!$AS$2:$AS$21,MATCH(SUBSTITUTE(SUBSTITUTE(SUBSTITUTE($MU66,"~","~~"),"*","~*"),"?","~?"),'DADOS_FORMAS'!$AH$2:$AH$21,0)),""),"~","~~"),"*","~*"),"?","~?"),'DADOS_RESTRICOES'!$M$2:$Q$54,3,FALSE)=2),0))</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",TRUE,IF($ND66=0,"",TEXTJOIN(" · ",TRUE,IF($MQ66&gt;$NE66,"Este lugar abre no nível "&amp;$MQ66,""),IF($MS66&gt;$NF66,"Classe "&amp;$MS66&amp;": o nível "&amp;$NE66&amp;" libera até a "&amp;$NF66,""),IF($NX66=1,"A Forma "&amp;$MU66&amp;" pede "&amp;INDEX('DADOS_FORMAS'!$GA$2:$GA$21,$NJ66)&amp;" aberta",""),IF(AND($MS66=0,$NJ66&gt;0,IF($NJ66=0,0,INDEX('DADOS_FORMAS'!$GJ$2:$GJ$21,$NJ66))=0),$MU66&amp;"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Corpo")&gt;0,$OF66=0,OR($RO66="Cone",$RO66="Linha")),"Corpo a Corpo não entra em "&amp;$MU66,""),IF(AND(COUNTIF($OK66:$OL66,"Corpo a Corpo")&gt;0,$RP66="Corpo a Corpo"),"A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"&amp;$NC66,""))),IF(AND($MU66&lt;&gt;"",COUNTIF('DADOS_FORMAS'!$AH$2:$AH$21,SUBSTITUTE(SUBSTITUTE(SUBSTITUTE($MU66,"~","~~"),"*","~*"),"?","~?"))=0),"Forma não cadastrada ou com erro: "&amp;$MU66,""),IF(AND(IFERROR(INDEX('DADOS_FORMAS'!$AS$2:$AS$21,MATCH(SUBSTITUTE(SUBSTITUTE(SUBSTITUTE($MU66,"~","~~"),"*","~*"),"?","~?"),'DADOS_FORMAS'!$AH$2:$AH$21,0)),"")&lt;&gt;"",OR(IFERROR(VLOOKUP(SUBSTITUTE(SUBSTITUTE(SUBSTITUTE(IFERROR(INDEX('DADOS_FORMAS'!$AS$2:$AS$21,MATCH(SUBSTITUTE(SUBSTITUTE(SUBSTITUTE($MU66,"~","~~"),"*","~*"),"?","~?"),'DADOS_FORMAS'!$AH$2:$AH$21,0)),""),"~","~~"),"*","~*"),"?","~?"),'DADOS_RESTRICOES'!$M$2:$Q$54,2,FALSE),"")=$OK66,IFERROR(VLOOKUP(SUBSTITUTE(SUBSTITUTE(SUBSTITUTE(IFERROR(INDEX('DADOS_FORMAS'!$AS$2:$AS$21,MATCH(SUBSTITUTE(SUBSTITUTE(SUBSTITUTE($MU66,"~","~~"),"*","~*"),"?","~?"),'DADOS_FORMAS'!$AH$2:$AH$21,0)),""),"~","~~"),"*","~*"),"?","~?"),'DADOS_RESTRICOES'!$M$2:$Q$54,2,FALSE),"")=$OL66)),"Restrição repetida, contando a embutida",""),IF(IF(IFERROR(INDEX('DADOS_FORMAS'!$AS$2:$AS$21,MATCH(SUBSTITUTE(SUBSTITUTE(SUBSTITUTE($MU66,"~","~~"),"*","~*"),"?","~?"),'DADOS_FORMAS'!$AH$2:$AH$21,0)),"")="",0,IFERROR(N(VLOOKUP(SUBSTITUTE(SUBSTITUTE(SUBSTITUTE(IFERROR(INDEX('DADOS_FORMAS'!$AS$2:$AS$21,MATCH(SUBSTITUTE(SUBSTITUTE(SUBSTITUTE($MU66,"~","~~"),"*","~*"),"?","~?"),'DADOS_FORMAS'!$AH$2:$AH$21,0)),""),"~","~~"),"*","~*"),"?","~?"),'DADOS_RESTRICOES'!$M$2:$Q$54,4,FALSE)=1),0))+IF($NB66="",0,IFERROR(N(VLOOKUP(SUBSTITUTE(SUBSTITUTE(SUBSTITUTE($NB66,"~","~~"),"*","~*"),"?","~?"),'DADOS_RESTRICOES'!$M$2:$Q$54,4,FALSE)=1),0))+IF($NC66="",0,IFERROR(N(VLOOKUP(SUBSTITUTE(SUBSTITUTE(SUBSTITUTE($NC66,"~","~~"),"*","~*"),"?","~?"),'DADOS_RESTRICOES'!$M$2:$Q$54,4,FALSE)=1),0))&gt;1,"Duas Restrições de frequência, contando a embutida",""),IF(AND(IFERROR(VLOOKUP(SUBSTITUTE(SUBSTITUTE(SUBSTITUTE(IFERROR(INDEX('DADOS_FORMAS'!$AS$2:$AS$21,MATCH(SUBSTITUTE(SUBSTITUTE(SUBSTITUTE($MU66,"~","~~"),"*","~*"),"?","~?"),'DADOS_FORMAS'!$AH$2:$AH$21,0)),""),"~","~~"),"*","~*"),"?","~?"),'DADOS_RESTRICOES'!$M$2:$Q$54,2,FALSE),"")="Tudo ou Nada",$OH66=0),"Tudo ou Nada exige TR",""),IF(AND(IFERROR(VLOOKUP(SUBSTITUTE(SUBSTITUTE(SUBSTITUTE(IFERROR(INDEX('DADOS_FORMAS'!$AS$2:$AS$21,MATCH(SUBSTITUTE(SUBSTITUTE(SUBSTITUTE($MU66,"~","~~"),"*","~*"),"?","~?"),'DADOS_FORMAS'!$AH$2:$AH$21,0)),""),"~","~~"),"*","~*"),"?","~?"),'DADOS_RESTRICOES'!$M$2:$Q$54,2,FALSE),"")="Corpo a Corpo",OR($RO66="Cone",$RO66="Linha")),"Corpo a Corpo não entra em Cone/Linha","")))</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dela",IF(COUNTIF($RQ66:$RS66,"Atrasar")&gt;0,"Sua Ação Completa",IF(COUNTIF($RK66:$RN66,"Rápido")&gt;0,"Sua Bônus",IF(COUNTIF($RK66:$RN66,"Reação")&gt;0,"Sua Reação","Sua Padrão")))&amp;" + a básica dela"&amp;IF(COUNTIF($RK66:$RN66,"Reação")&gt;0," e a coletiva","")&amp;IF(COUNTIF($RQ66:$RS66,"Carregar")&gt;0," · em dois turnos","")))</f>
        <v/>
      </c>
      <c r="QC66" s="161">
        <f>IF($MW66&lt;&gt;"",$MW66,IF($NJ66=0,"",INDEX('DADOS_FORMAS'!$GE$2:$GE$21,$NJ66)))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IF($NJ66=0,0,CHOOSE(1+INDEX('DADOS_FORMAS'!$GG$2:$GG$21,$NJ66),0,$QF66,$QG66,$QF66+$QG66))</f>
        <v/>
      </c>
      <c r="QI66" s="161">
        <f>IF($NJ66=0,0,CHOOSE(1+INDEX('DADOS_FORMAS'!$GH$2:$GH$21,$NJ66),0,$QF66,$QG66,$QF66+$QG66))</f>
        <v/>
      </c>
      <c r="QJ66" s="161">
        <f>IF(OR($ND66=0,$NJ66=0),"",INDEX('DADOS_FORMAS'!$HU$2:$HZ$81,($NJ66-1)*4+IF($MS66=0,1,IF($MS66&lt;=5,2,IF($MS66=6,3,4))),1+MIN(5,$QH66))&amp;INDEX('DADOS_FORMAS'!$IA$2:$IF$81,($NJ66-1)*4+IF($MS66=0,1,IF($MS66&lt;=5,2,IF($MS66=6,3,4))),1+MIN(5,$QI66))&amp;IF(INDEX('DADOS_FORMAS'!$GI$2:$GI$21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c r="RO66">
        <f>IFERROR(INDEX('DADOS_FORMAS'!$BJ$2:$BJ$21,MATCH(SUBSTITUTE(SUBSTITUTE(SUBSTITUTE($MU66,"~","~~"),"*","~*"),"?","~?"),'DADOS_FORMAS'!$AH$2:$AH$21,0)),"")</f>
        <v/>
      </c>
      <c r="RP66">
        <f>IFERROR(VLOOKUP(SUBSTITUTE(SUBSTITUTE(SUBSTITUTE(IFERROR(INDEX('DADOS_FORMAS'!$AS$2:$AS$21,MATCH(SUBSTITUTE(SUBSTITUTE(SUBSTITUTE($MU66,"~","~~"),"*","~*"),"?","~?"),'DADOS_FORMAS'!$AH$2:$AH$21,0)),""),"~","~~"),"*","~*"),"?","~?"),'DADOS_RESTRICOES'!$M$2:$Q$54,2,FALSE),"")</f>
        <v/>
      </c>
      <c r="RQ66">
        <f>$OK66</f>
        <v/>
      </c>
      <c r="RR66">
        <f>$OL66</f>
        <v/>
      </c>
      <c r="RS66">
        <f>$RP66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IFERROR(MATCH(SUBSTITUTE(SUBSTITUTE(SUBSTITUTE($MU67,"~","~~"),"*","~*"),"?","~?"),'DADOS_FORMAS'!$FZ$2:$FZ$21,0),0)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IF($MS67=0,0,IF($NJ67=0,0,INDEX('DADOS_FORMAS'!$GB$2:$GB$21,$NJ67)))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IF($NJ67=0,0,IF(INDEX('DADOS_FORMAS'!$GA$2:$GA$21,$NJ67)="",0,IF((COUNTIF(INDEX($EL$2:$EP$13,$MO67,0),INDEX('DADOS_FORMAS'!$GA$2:$GA$21,$NJ67))+COUNTIF(INDEX($QV$2:$QY$13,$MO67,0),INDEX('DADOS_FORMAS'!$GA$2:$GA$21,$NJ67)))=0,1,0)))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IFERROR(N(AND(INDEX('DADOS_FORMAS'!$AO$2:$AO$21,MATCH(SUBSTITUTE(SUBSTITUTE(SUBSTITUTE($MU67,"~","~~"),"*","~*"),"?","~?"),'DADOS_FORMAS'!$AH$2:$AH$21,0))="Acerto",$OH67=1)),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IF($NJ67=0,0,INDEX('DADOS_FORMAS'!$GC$2:$GC$21,$NJ67))</f>
        <v/>
      </c>
      <c r="OG67" s="161">
        <f>IF($NJ67=0,0,INDEX('DADOS_FORMAS'!$GD$2:$GD$21,$NJ67))</f>
        <v/>
      </c>
      <c r="OH67" s="161">
        <f>IF($NJ67=0,0,INDEX('DADOS_FORMAS'!$GF$2:$GF$21,$NJ67))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IF(IFERROR(INDEX('DADOS_FORMAS'!$AS$2:$AS$21,MATCH(SUBSTITUTE(SUBSTITUTE(SUBSTITUTE($MU67,"~","~~"),"*","~*"),"?","~?"),'DADOS_FORMAS'!$AH$2:$AH$21,0)),"")="",0,IFERROR(N(VLOOKUP(SUBSTITUTE(SUBSTITUTE(SUBSTITUTE(IFERROR(INDEX('DADOS_FORMAS'!$AS$2:$AS$21,MATCH(SUBSTITUTE(SUBSTITUTE(SUBSTITUTE($MU67,"~","~~"),"*","~*"),"?","~?"),'DADOS_FORMAS'!$AH$2:$AH$21,0)),""),"~","~~"),"*","~*"),"?","~?"),'DADOS_RESTRICOES'!$M$2:$Q$54,3,FALSE)=1),0))</f>
        <v/>
      </c>
      <c r="OT67" s="161">
        <f>COUNTIF($OI67:$OJ67,2)+IF(IFERROR(INDEX('DADOS_FORMAS'!$AS$2:$AS$21,MATCH(SUBSTITUTE(SUBSTITUTE(SUBSTITUTE($MU67,"~","~~"),"*","~*"),"?","~?"),'DADOS_FORMAS'!$AH$2:$AH$21,0)),"")="",0,IFERROR(N(VLOOKUP(SUBSTITUTE(SUBSTITUTE(SUBSTITUTE(IFERROR(INDEX('DADOS_FORMAS'!$AS$2:$AS$21,MATCH(SUBSTITUTE(SUBSTITUTE(SUBSTITUTE($MU67,"~","~~"),"*","~*"),"?","~?"),'DADOS_FORMAS'!$AH$2:$AH$21,0)),""),"~","~~"),"*","~*"),"?","~?"),'DADOS_RESTRICOES'!$M$2:$Q$54,3,FALSE)=2),0))</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",TRUE,IF($ND67=0,"",TEXTJOIN(" · ",TRUE,IF($MQ67&gt;$NE67,"Este lugar abre no nível "&amp;$MQ67,""),IF($MS67&gt;$NF67,"Classe "&amp;$MS67&amp;": o nível "&amp;$NE67&amp;" libera até a "&amp;$NF67,""),IF($NX67=1,"A Forma "&amp;$MU67&amp;" pede "&amp;INDEX('DADOS_FORMAS'!$GA$2:$GA$21,$NJ67)&amp;" aberta",""),IF(AND($MS67=0,$NJ67&gt;0,IF($NJ67=0,0,INDEX('DADOS_FORMAS'!$GJ$2:$GJ$21,$NJ67))=0),$MU67&amp;"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Corpo")&gt;0,$OF67=0,OR($RO67="Cone",$RO67="Linha")),"Corpo a Corpo não entra em "&amp;$MU67,""),IF(AND(COUNTIF($OK67:$OL67,"Corpo a Corpo")&gt;0,$RP67="Corpo a Corpo"),"A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"&amp;$NC67,""))),IF(AND($MU67&lt;&gt;"",COUNTIF('DADOS_FORMAS'!$AH$2:$AH$21,SUBSTITUTE(SUBSTITUTE(SUBSTITUTE($MU67,"~","~~"),"*","~*"),"?","~?"))=0),"Forma não cadastrada ou com erro: "&amp;$MU67,""),IF(AND(IFERROR(INDEX('DADOS_FORMAS'!$AS$2:$AS$21,MATCH(SUBSTITUTE(SUBSTITUTE(SUBSTITUTE($MU67,"~","~~"),"*","~*"),"?","~?"),'DADOS_FORMAS'!$AH$2:$AH$21,0)),"")&lt;&gt;"",OR(IFERROR(VLOOKUP(SUBSTITUTE(SUBSTITUTE(SUBSTITUTE(IFERROR(INDEX('DADOS_FORMAS'!$AS$2:$AS$21,MATCH(SUBSTITUTE(SUBSTITUTE(SUBSTITUTE($MU67,"~","~~"),"*","~*"),"?","~?"),'DADOS_FORMAS'!$AH$2:$AH$21,0)),""),"~","~~"),"*","~*"),"?","~?"),'DADOS_RESTRICOES'!$M$2:$Q$54,2,FALSE),"")=$OK67,IFERROR(VLOOKUP(SUBSTITUTE(SUBSTITUTE(SUBSTITUTE(IFERROR(INDEX('DADOS_FORMAS'!$AS$2:$AS$21,MATCH(SUBSTITUTE(SUBSTITUTE(SUBSTITUTE($MU67,"~","~~"),"*","~*"),"?","~?"),'DADOS_FORMAS'!$AH$2:$AH$21,0)),""),"~","~~"),"*","~*"),"?","~?"),'DADOS_RESTRICOES'!$M$2:$Q$54,2,FALSE),"")=$OL67)),"Restrição repetida, contando a embutida",""),IF(IF(IFERROR(INDEX('DADOS_FORMAS'!$AS$2:$AS$21,MATCH(SUBSTITUTE(SUBSTITUTE(SUBSTITUTE($MU67,"~","~~"),"*","~*"),"?","~?"),'DADOS_FORMAS'!$AH$2:$AH$21,0)),"")="",0,IFERROR(N(VLOOKUP(SUBSTITUTE(SUBSTITUTE(SUBSTITUTE(IFERROR(INDEX('DADOS_FORMAS'!$AS$2:$AS$21,MATCH(SUBSTITUTE(SUBSTITUTE(SUBSTITUTE($MU67,"~","~~"),"*","~*"),"?","~?"),'DADOS_FORMAS'!$AH$2:$AH$21,0)),""),"~","~~"),"*","~*"),"?","~?"),'DADOS_RESTRICOES'!$M$2:$Q$54,4,FALSE)=1),0))+IF($NB67="",0,IFERROR(N(VLOOKUP(SUBSTITUTE(SUBSTITUTE(SUBSTITUTE($NB67,"~","~~"),"*","~*"),"?","~?"),'DADOS_RESTRICOES'!$M$2:$Q$54,4,FALSE)=1),0))+IF($NC67="",0,IFERROR(N(VLOOKUP(SUBSTITUTE(SUBSTITUTE(SUBSTITUTE($NC67,"~","~~"),"*","~*"),"?","~?"),'DADOS_RESTRICOES'!$M$2:$Q$54,4,FALSE)=1),0))&gt;1,"Duas Restrições de frequência, contando a embutida",""),IF(AND(IFERROR(VLOOKUP(SUBSTITUTE(SUBSTITUTE(SUBSTITUTE(IFERROR(INDEX('DADOS_FORMAS'!$AS$2:$AS$21,MATCH(SUBSTITUTE(SUBSTITUTE(SUBSTITUTE($MU67,"~","~~"),"*","~*"),"?","~?"),'DADOS_FORMAS'!$AH$2:$AH$21,0)),""),"~","~~"),"*","~*"),"?","~?"),'DADOS_RESTRICOES'!$M$2:$Q$54,2,FALSE),"")="Tudo ou Nada",$OH67=0),"Tudo ou Nada exige TR",""),IF(AND(IFERROR(VLOOKUP(SUBSTITUTE(SUBSTITUTE(SUBSTITUTE(IFERROR(INDEX('DADOS_FORMAS'!$AS$2:$AS$21,MATCH(SUBSTITUTE(SUBSTITUTE(SUBSTITUTE($MU67,"~","~~"),"*","~*"),"?","~?"),'DADOS_FORMAS'!$AH$2:$AH$21,0)),""),"~","~~"),"*","~*"),"?","~?"),'DADOS_RESTRICOES'!$M$2:$Q$54,2,FALSE),"")="Corpo a Corpo",OR($RO67="Cone",$RO67="Linha")),"Corpo a Corpo não entra em Cone/Linha","")))</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dela",IF(COUNTIF($RQ67:$RS67,"Atrasar")&gt;0,"Sua Ação Completa",IF(COUNTIF($RK67:$RN67,"Rápido")&gt;0,"Sua Bônus",IF(COUNTIF($RK67:$RN67,"Reação")&gt;0,"Sua Reação","Sua Padrão")))&amp;" + a básica dela"&amp;IF(COUNTIF($RK67:$RN67,"Reação")&gt;0," e a coletiva","")&amp;IF(COUNTIF($RQ67:$RS67,"Carregar")&gt;0," · em dois turnos","")))</f>
        <v/>
      </c>
      <c r="QC67" s="161">
        <f>IF($MW67&lt;&gt;"",$MW67,IF($NJ67=0,"",INDEX('DADOS_FORMAS'!$GE$2:$GE$21,$NJ67)))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IF($NJ67=0,0,CHOOSE(1+INDEX('DADOS_FORMAS'!$GG$2:$GG$21,$NJ67),0,$QF67,$QG67,$QF67+$QG67))</f>
        <v/>
      </c>
      <c r="QI67" s="161">
        <f>IF($NJ67=0,0,CHOOSE(1+INDEX('DADOS_FORMAS'!$GH$2:$GH$21,$NJ67),0,$QF67,$QG67,$QF67+$QG67))</f>
        <v/>
      </c>
      <c r="QJ67" s="161">
        <f>IF(OR($ND67=0,$NJ67=0),"",INDEX('DADOS_FORMAS'!$HU$2:$HZ$81,($NJ67-1)*4+IF($MS67=0,1,IF($MS67&lt;=5,2,IF($MS67=6,3,4))),1+MIN(5,$QH67))&amp;INDEX('DADOS_FORMAS'!$IA$2:$IF$81,($NJ67-1)*4+IF($MS67=0,1,IF($MS67&lt;=5,2,IF($MS67=6,3,4))),1+MIN(5,$QI67))&amp;IF(INDEX('DADOS_FORMAS'!$GI$2:$GI$21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c r="RO67">
        <f>IFERROR(INDEX('DADOS_FORMAS'!$BJ$2:$BJ$21,MATCH(SUBSTITUTE(SUBSTITUTE(SUBSTITUTE($MU67,"~","~~"),"*","~*"),"?","~?"),'DADOS_FORMAS'!$AH$2:$AH$21,0)),"")</f>
        <v/>
      </c>
      <c r="RP67">
        <f>IFERROR(VLOOKUP(SUBSTITUTE(SUBSTITUTE(SUBSTITUTE(IFERROR(INDEX('DADOS_FORMAS'!$AS$2:$AS$21,MATCH(SUBSTITUTE(SUBSTITUTE(SUBSTITUTE($MU67,"~","~~"),"*","~*"),"?","~?"),'DADOS_FORMAS'!$AH$2:$AH$21,0)),""),"~","~~"),"*","~*"),"?","~?"),'DADOS_RESTRICOES'!$M$2:$Q$54,2,FALSE),"")</f>
        <v/>
      </c>
      <c r="RQ67">
        <f>$OK67</f>
        <v/>
      </c>
      <c r="RR67">
        <f>$OL67</f>
        <v/>
      </c>
      <c r="RS67">
        <f>$RP67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IFERROR(MATCH(SUBSTITUTE(SUBSTITUTE(SUBSTITUTE($MU68,"~","~~"),"*","~*"),"?","~?"),'DADOS_FORMAS'!$FZ$2:$FZ$21,0),0)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IF($MS68=0,0,IF($NJ68=0,0,INDEX('DADOS_FORMAS'!$GB$2:$GB$21,$NJ68)))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IF($NJ68=0,0,IF(INDEX('DADOS_FORMAS'!$GA$2:$GA$21,$NJ68)="",0,IF((COUNTIF(INDEX($EL$2:$EP$13,$MO68,0),INDEX('DADOS_FORMAS'!$GA$2:$GA$21,$NJ68))+COUNTIF(INDEX($QV$2:$QY$13,$MO68,0),INDEX('DADOS_FORMAS'!$GA$2:$GA$21,$NJ68)))=0,1,0)))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IFERROR(N(AND(INDEX('DADOS_FORMAS'!$AO$2:$AO$21,MATCH(SUBSTITUTE(SUBSTITUTE(SUBSTITUTE($MU68,"~","~~"),"*","~*"),"?","~?"),'DADOS_FORMAS'!$AH$2:$AH$21,0))="Acerto",$OH68=1)),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IF($NJ68=0,0,INDEX('DADOS_FORMAS'!$GC$2:$GC$21,$NJ68))</f>
        <v/>
      </c>
      <c r="OG68" s="161">
        <f>IF($NJ68=0,0,INDEX('DADOS_FORMAS'!$GD$2:$GD$21,$NJ68))</f>
        <v/>
      </c>
      <c r="OH68" s="161">
        <f>IF($NJ68=0,0,INDEX('DADOS_FORMAS'!$GF$2:$GF$21,$NJ68))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IF(IFERROR(INDEX('DADOS_FORMAS'!$AS$2:$AS$21,MATCH(SUBSTITUTE(SUBSTITUTE(SUBSTITUTE($MU68,"~","~~"),"*","~*"),"?","~?"),'DADOS_FORMAS'!$AH$2:$AH$21,0)),"")="",0,IFERROR(N(VLOOKUP(SUBSTITUTE(SUBSTITUTE(SUBSTITUTE(IFERROR(INDEX('DADOS_FORMAS'!$AS$2:$AS$21,MATCH(SUBSTITUTE(SUBSTITUTE(SUBSTITUTE($MU68,"~","~~"),"*","~*"),"?","~?"),'DADOS_FORMAS'!$AH$2:$AH$21,0)),""),"~","~~"),"*","~*"),"?","~?"),'DADOS_RESTRICOES'!$M$2:$Q$54,3,FALSE)=1),0))</f>
        <v/>
      </c>
      <c r="OT68" s="161">
        <f>COUNTIF($OI68:$OJ68,2)+IF(IFERROR(INDEX('DADOS_FORMAS'!$AS$2:$AS$21,MATCH(SUBSTITUTE(SUBSTITUTE(SUBSTITUTE($MU68,"~","~~"),"*","~*"),"?","~?"),'DADOS_FORMAS'!$AH$2:$AH$21,0)),"")="",0,IFERROR(N(VLOOKUP(SUBSTITUTE(SUBSTITUTE(SUBSTITUTE(IFERROR(INDEX('DADOS_FORMAS'!$AS$2:$AS$21,MATCH(SUBSTITUTE(SUBSTITUTE(SUBSTITUTE($MU68,"~","~~"),"*","~*"),"?","~?"),'DADOS_FORMAS'!$AH$2:$AH$21,0)),""),"~","~~"),"*","~*"),"?","~?"),'DADOS_RESTRICOES'!$M$2:$Q$54,3,FALSE)=2),0))</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",TRUE,IF($ND68=0,"",TEXTJOIN(" · ",TRUE,IF($MQ68&gt;$NE68,"Este lugar abre no nível "&amp;$MQ68,""),IF($MS68&gt;$NF68,"Classe "&amp;$MS68&amp;": o nível "&amp;$NE68&amp;" libera até a "&amp;$NF68,""),IF($NX68=1,"A Forma "&amp;$MU68&amp;" pede "&amp;INDEX('DADOS_FORMAS'!$GA$2:$GA$21,$NJ68)&amp;" aberta",""),IF(AND($MS68=0,$NJ68&gt;0,IF($NJ68=0,0,INDEX('DADOS_FORMAS'!$GJ$2:$GJ$21,$NJ68))=0),$MU68&amp;"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Corpo")&gt;0,$OF68=0,OR($RO68="Cone",$RO68="Linha")),"Corpo a Corpo não entra em "&amp;$MU68,""),IF(AND(COUNTIF($OK68:$OL68,"Corpo a Corpo")&gt;0,$RP68="Corpo a Corpo"),"A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"&amp;$NC68,""))),IF(AND($MU68&lt;&gt;"",COUNTIF('DADOS_FORMAS'!$AH$2:$AH$21,SUBSTITUTE(SUBSTITUTE(SUBSTITUTE($MU68,"~","~~"),"*","~*"),"?","~?"))=0),"Forma não cadastrada ou com erro: "&amp;$MU68,""),IF(AND(IFERROR(INDEX('DADOS_FORMAS'!$AS$2:$AS$21,MATCH(SUBSTITUTE(SUBSTITUTE(SUBSTITUTE($MU68,"~","~~"),"*","~*"),"?","~?"),'DADOS_FORMAS'!$AH$2:$AH$21,0)),"")&lt;&gt;"",OR(IFERROR(VLOOKUP(SUBSTITUTE(SUBSTITUTE(SUBSTITUTE(IFERROR(INDEX('DADOS_FORMAS'!$AS$2:$AS$21,MATCH(SUBSTITUTE(SUBSTITUTE(SUBSTITUTE($MU68,"~","~~"),"*","~*"),"?","~?"),'DADOS_FORMAS'!$AH$2:$AH$21,0)),""),"~","~~"),"*","~*"),"?","~?"),'DADOS_RESTRICOES'!$M$2:$Q$54,2,FALSE),"")=$OK68,IFERROR(VLOOKUP(SUBSTITUTE(SUBSTITUTE(SUBSTITUTE(IFERROR(INDEX('DADOS_FORMAS'!$AS$2:$AS$21,MATCH(SUBSTITUTE(SUBSTITUTE(SUBSTITUTE($MU68,"~","~~"),"*","~*"),"?","~?"),'DADOS_FORMAS'!$AH$2:$AH$21,0)),""),"~","~~"),"*","~*"),"?","~?"),'DADOS_RESTRICOES'!$M$2:$Q$54,2,FALSE),"")=$OL68)),"Restrição repetida, contando a embutida",""),IF(IF(IFERROR(INDEX('DADOS_FORMAS'!$AS$2:$AS$21,MATCH(SUBSTITUTE(SUBSTITUTE(SUBSTITUTE($MU68,"~","~~"),"*","~*"),"?","~?"),'DADOS_FORMAS'!$AH$2:$AH$21,0)),"")="",0,IFERROR(N(VLOOKUP(SUBSTITUTE(SUBSTITUTE(SUBSTITUTE(IFERROR(INDEX('DADOS_FORMAS'!$AS$2:$AS$21,MATCH(SUBSTITUTE(SUBSTITUTE(SUBSTITUTE($MU68,"~","~~"),"*","~*"),"?","~?"),'DADOS_FORMAS'!$AH$2:$AH$21,0)),""),"~","~~"),"*","~*"),"?","~?"),'DADOS_RESTRICOES'!$M$2:$Q$54,4,FALSE)=1),0))+IF($NB68="",0,IFERROR(N(VLOOKUP(SUBSTITUTE(SUBSTITUTE(SUBSTITUTE($NB68,"~","~~"),"*","~*"),"?","~?"),'DADOS_RESTRICOES'!$M$2:$Q$54,4,FALSE)=1),0))+IF($NC68="",0,IFERROR(N(VLOOKUP(SUBSTITUTE(SUBSTITUTE(SUBSTITUTE($NC68,"~","~~"),"*","~*"),"?","~?"),'DADOS_RESTRICOES'!$M$2:$Q$54,4,FALSE)=1),0))&gt;1,"Duas Restrições de frequência, contando a embutida",""),IF(AND(IFERROR(VLOOKUP(SUBSTITUTE(SUBSTITUTE(SUBSTITUTE(IFERROR(INDEX('DADOS_FORMAS'!$AS$2:$AS$21,MATCH(SUBSTITUTE(SUBSTITUTE(SUBSTITUTE($MU68,"~","~~"),"*","~*"),"?","~?"),'DADOS_FORMAS'!$AH$2:$AH$21,0)),""),"~","~~"),"*","~*"),"?","~?"),'DADOS_RESTRICOES'!$M$2:$Q$54,2,FALSE),"")="Tudo ou Nada",$OH68=0),"Tudo ou Nada exige TR",""),IF(AND(IFERROR(VLOOKUP(SUBSTITUTE(SUBSTITUTE(SUBSTITUTE(IFERROR(INDEX('DADOS_FORMAS'!$AS$2:$AS$21,MATCH(SUBSTITUTE(SUBSTITUTE(SUBSTITUTE($MU68,"~","~~"),"*","~*"),"?","~?"),'DADOS_FORMAS'!$AH$2:$AH$21,0)),""),"~","~~"),"*","~*"),"?","~?"),'DADOS_RESTRICOES'!$M$2:$Q$54,2,FALSE),"")="Corpo a Corpo",OR($RO68="Cone",$RO68="Linha")),"Corpo a Corpo não entra em Cone/Linha","")))</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dela",IF(COUNTIF($RQ68:$RS68,"Atrasar")&gt;0,"Sua Ação Completa",IF(COUNTIF($RK68:$RN68,"Rápido")&gt;0,"Sua Bônus",IF(COUNTIF($RK68:$RN68,"Reação")&gt;0,"Sua Reação","Sua Padrão")))&amp;" + a básica dela"&amp;IF(COUNTIF($RK68:$RN68,"Reação")&gt;0," e a coletiva","")&amp;IF(COUNTIF($RQ68:$RS68,"Carregar")&gt;0," · em dois turnos","")))</f>
        <v/>
      </c>
      <c r="QC68" s="161">
        <f>IF($MW68&lt;&gt;"",$MW68,IF($NJ68=0,"",INDEX('DADOS_FORMAS'!$GE$2:$GE$21,$NJ68)))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IF($NJ68=0,0,CHOOSE(1+INDEX('DADOS_FORMAS'!$GG$2:$GG$21,$NJ68),0,$QF68,$QG68,$QF68+$QG68))</f>
        <v/>
      </c>
      <c r="QI68" s="161">
        <f>IF($NJ68=0,0,CHOOSE(1+INDEX('DADOS_FORMAS'!$GH$2:$GH$21,$NJ68),0,$QF68,$QG68,$QF68+$QG68))</f>
        <v/>
      </c>
      <c r="QJ68" s="161">
        <f>IF(OR($ND68=0,$NJ68=0),"",INDEX('DADOS_FORMAS'!$HU$2:$HZ$81,($NJ68-1)*4+IF($MS68=0,1,IF($MS68&lt;=5,2,IF($MS68=6,3,4))),1+MIN(5,$QH68))&amp;INDEX('DADOS_FORMAS'!$IA$2:$IF$81,($NJ68-1)*4+IF($MS68=0,1,IF($MS68&lt;=5,2,IF($MS68=6,3,4))),1+MIN(5,$QI68))&amp;IF(INDEX('DADOS_FORMAS'!$GI$2:$GI$21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c r="RO68">
        <f>IFERROR(INDEX('DADOS_FORMAS'!$BJ$2:$BJ$21,MATCH(SUBSTITUTE(SUBSTITUTE(SUBSTITUTE($MU68,"~","~~"),"*","~*"),"?","~?"),'DADOS_FORMAS'!$AH$2:$AH$21,0)),"")</f>
        <v/>
      </c>
      <c r="RP68">
        <f>IFERROR(VLOOKUP(SUBSTITUTE(SUBSTITUTE(SUBSTITUTE(IFERROR(INDEX('DADOS_FORMAS'!$AS$2:$AS$21,MATCH(SUBSTITUTE(SUBSTITUTE(SUBSTITUTE($MU68,"~","~~"),"*","~*"),"?","~?"),'DADOS_FORMAS'!$AH$2:$AH$21,0)),""),"~","~~"),"*","~*"),"?","~?"),'DADOS_RESTRICOES'!$M$2:$Q$54,2,FALSE),"")</f>
        <v/>
      </c>
      <c r="RQ68">
        <f>$OK68</f>
        <v/>
      </c>
      <c r="RR68">
        <f>$OL68</f>
        <v/>
      </c>
      <c r="RS68">
        <f>$RP68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IFERROR(MATCH(SUBSTITUTE(SUBSTITUTE(SUBSTITUTE($MU69,"~","~~"),"*","~*"),"?","~?"),'DADOS_FORMAS'!$FZ$2:$FZ$21,0),0)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IF($MS69=0,0,IF($NJ69=0,0,INDEX('DADOS_FORMAS'!$GB$2:$GB$21,$NJ69)))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IF($NJ69=0,0,IF(INDEX('DADOS_FORMAS'!$GA$2:$GA$21,$NJ69)="",0,IF((COUNTIF(INDEX($EL$2:$EP$13,$MO69,0),INDEX('DADOS_FORMAS'!$GA$2:$GA$21,$NJ69))+COUNTIF(INDEX($QV$2:$QY$13,$MO69,0),INDEX('DADOS_FORMAS'!$GA$2:$GA$21,$NJ69)))=0,1,0)))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IFERROR(N(AND(INDEX('DADOS_FORMAS'!$AO$2:$AO$21,MATCH(SUBSTITUTE(SUBSTITUTE(SUBSTITUTE($MU69,"~","~~"),"*","~*"),"?","~?"),'DADOS_FORMAS'!$AH$2:$AH$21,0))="Acerto",$OH69=1)),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IF($NJ69=0,0,INDEX('DADOS_FORMAS'!$GC$2:$GC$21,$NJ69))</f>
        <v/>
      </c>
      <c r="OG69" s="161">
        <f>IF($NJ69=0,0,INDEX('DADOS_FORMAS'!$GD$2:$GD$21,$NJ69))</f>
        <v/>
      </c>
      <c r="OH69" s="161">
        <f>IF($NJ69=0,0,INDEX('DADOS_FORMAS'!$GF$2:$GF$21,$NJ69))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IF(IFERROR(INDEX('DADOS_FORMAS'!$AS$2:$AS$21,MATCH(SUBSTITUTE(SUBSTITUTE(SUBSTITUTE($MU69,"~","~~"),"*","~*"),"?","~?"),'DADOS_FORMAS'!$AH$2:$AH$21,0)),"")="",0,IFERROR(N(VLOOKUP(SUBSTITUTE(SUBSTITUTE(SUBSTITUTE(IFERROR(INDEX('DADOS_FORMAS'!$AS$2:$AS$21,MATCH(SUBSTITUTE(SUBSTITUTE(SUBSTITUTE($MU69,"~","~~"),"*","~*"),"?","~?"),'DADOS_FORMAS'!$AH$2:$AH$21,0)),""),"~","~~"),"*","~*"),"?","~?"),'DADOS_RESTRICOES'!$M$2:$Q$54,3,FALSE)=1),0))</f>
        <v/>
      </c>
      <c r="OT69" s="161">
        <f>COUNTIF($OI69:$OJ69,2)+IF(IFERROR(INDEX('DADOS_FORMAS'!$AS$2:$AS$21,MATCH(SUBSTITUTE(SUBSTITUTE(SUBSTITUTE($MU69,"~","~~"),"*","~*"),"?","~?"),'DADOS_FORMAS'!$AH$2:$AH$21,0)),"")="",0,IFERROR(N(VLOOKUP(SUBSTITUTE(SUBSTITUTE(SUBSTITUTE(IFERROR(INDEX('DADOS_FORMAS'!$AS$2:$AS$21,MATCH(SUBSTITUTE(SUBSTITUTE(SUBSTITUTE($MU69,"~","~~"),"*","~*"),"?","~?"),'DADOS_FORMAS'!$AH$2:$AH$21,0)),""),"~","~~"),"*","~*"),"?","~?"),'DADOS_RESTRICOES'!$M$2:$Q$54,3,FALSE)=2),0))</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",TRUE,IF($ND69=0,"",TEXTJOIN(" · ",TRUE,IF($MQ69&gt;$NE69,"Este lugar abre no nível "&amp;$MQ69,""),IF($MS69&gt;$NF69,"Classe "&amp;$MS69&amp;": o nível "&amp;$NE69&amp;" libera até a "&amp;$NF69,""),IF($NX69=1,"A Forma "&amp;$MU69&amp;" pede "&amp;INDEX('DADOS_FORMAS'!$GA$2:$GA$21,$NJ69)&amp;" aberta",""),IF(AND($MS69=0,$NJ69&gt;0,IF($NJ69=0,0,INDEX('DADOS_FORMAS'!$GJ$2:$GJ$21,$NJ69))=0),$MU69&amp;"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Corpo")&gt;0,$OF69=0,OR($RO69="Cone",$RO69="Linha")),"Corpo a Corpo não entra em "&amp;$MU69,""),IF(AND(COUNTIF($OK69:$OL69,"Corpo a Corpo")&gt;0,$RP69="Corpo a Corpo"),"A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"&amp;$NC69,""))),IF(AND($MU69&lt;&gt;"",COUNTIF('DADOS_FORMAS'!$AH$2:$AH$21,SUBSTITUTE(SUBSTITUTE(SUBSTITUTE($MU69,"~","~~"),"*","~*"),"?","~?"))=0),"Forma não cadastrada ou com erro: "&amp;$MU69,""),IF(AND(IFERROR(INDEX('DADOS_FORMAS'!$AS$2:$AS$21,MATCH(SUBSTITUTE(SUBSTITUTE(SUBSTITUTE($MU69,"~","~~"),"*","~*"),"?","~?"),'DADOS_FORMAS'!$AH$2:$AH$21,0)),"")&lt;&gt;"",OR(IFERROR(VLOOKUP(SUBSTITUTE(SUBSTITUTE(SUBSTITUTE(IFERROR(INDEX('DADOS_FORMAS'!$AS$2:$AS$21,MATCH(SUBSTITUTE(SUBSTITUTE(SUBSTITUTE($MU69,"~","~~"),"*","~*"),"?","~?"),'DADOS_FORMAS'!$AH$2:$AH$21,0)),""),"~","~~"),"*","~*"),"?","~?"),'DADOS_RESTRICOES'!$M$2:$Q$54,2,FALSE),"")=$OK69,IFERROR(VLOOKUP(SUBSTITUTE(SUBSTITUTE(SUBSTITUTE(IFERROR(INDEX('DADOS_FORMAS'!$AS$2:$AS$21,MATCH(SUBSTITUTE(SUBSTITUTE(SUBSTITUTE($MU69,"~","~~"),"*","~*"),"?","~?"),'DADOS_FORMAS'!$AH$2:$AH$21,0)),""),"~","~~"),"*","~*"),"?","~?"),'DADOS_RESTRICOES'!$M$2:$Q$54,2,FALSE),"")=$OL69)),"Restrição repetida, contando a embutida",""),IF(IF(IFERROR(INDEX('DADOS_FORMAS'!$AS$2:$AS$21,MATCH(SUBSTITUTE(SUBSTITUTE(SUBSTITUTE($MU69,"~","~~"),"*","~*"),"?","~?"),'DADOS_FORMAS'!$AH$2:$AH$21,0)),"")="",0,IFERROR(N(VLOOKUP(SUBSTITUTE(SUBSTITUTE(SUBSTITUTE(IFERROR(INDEX('DADOS_FORMAS'!$AS$2:$AS$21,MATCH(SUBSTITUTE(SUBSTITUTE(SUBSTITUTE($MU69,"~","~~"),"*","~*"),"?","~?"),'DADOS_FORMAS'!$AH$2:$AH$21,0)),""),"~","~~"),"*","~*"),"?","~?"),'DADOS_RESTRICOES'!$M$2:$Q$54,4,FALSE)=1),0))+IF($NB69="",0,IFERROR(N(VLOOKUP(SUBSTITUTE(SUBSTITUTE(SUBSTITUTE($NB69,"~","~~"),"*","~*"),"?","~?"),'DADOS_RESTRICOES'!$M$2:$Q$54,4,FALSE)=1),0))+IF($NC69="",0,IFERROR(N(VLOOKUP(SUBSTITUTE(SUBSTITUTE(SUBSTITUTE($NC69,"~","~~"),"*","~*"),"?","~?"),'DADOS_RESTRICOES'!$M$2:$Q$54,4,FALSE)=1),0))&gt;1,"Duas Restrições de frequência, contando a embutida",""),IF(AND(IFERROR(VLOOKUP(SUBSTITUTE(SUBSTITUTE(SUBSTITUTE(IFERROR(INDEX('DADOS_FORMAS'!$AS$2:$AS$21,MATCH(SUBSTITUTE(SUBSTITUTE(SUBSTITUTE($MU69,"~","~~"),"*","~*"),"?","~?"),'DADOS_FORMAS'!$AH$2:$AH$21,0)),""),"~","~~"),"*","~*"),"?","~?"),'DADOS_RESTRICOES'!$M$2:$Q$54,2,FALSE),"")="Tudo ou Nada",$OH69=0),"Tudo ou Nada exige TR",""),IF(AND(IFERROR(VLOOKUP(SUBSTITUTE(SUBSTITUTE(SUBSTITUTE(IFERROR(INDEX('DADOS_FORMAS'!$AS$2:$AS$21,MATCH(SUBSTITUTE(SUBSTITUTE(SUBSTITUTE($MU69,"~","~~"),"*","~*"),"?","~?"),'DADOS_FORMAS'!$AH$2:$AH$21,0)),""),"~","~~"),"*","~*"),"?","~?"),'DADOS_RESTRICOES'!$M$2:$Q$54,2,FALSE),"")="Corpo a Corpo",OR($RO69="Cone",$RO69="Linha")),"Corpo a Corpo não entra em Cone/Linha","")))</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dela",IF(COUNTIF($RQ69:$RS69,"Atrasar")&gt;0,"Sua Ação Completa",IF(COUNTIF($RK69:$RN69,"Rápido")&gt;0,"Sua Bônus",IF(COUNTIF($RK69:$RN69,"Reação")&gt;0,"Sua Reação","Sua Padrão")))&amp;" + a básica dela"&amp;IF(COUNTIF($RK69:$RN69,"Reação")&gt;0," e a coletiva","")&amp;IF(COUNTIF($RQ69:$RS69,"Carregar")&gt;0," · em dois turnos","")))</f>
        <v/>
      </c>
      <c r="QC69" s="161">
        <f>IF($MW69&lt;&gt;"",$MW69,IF($NJ69=0,"",INDEX('DADOS_FORMAS'!$GE$2:$GE$21,$NJ69)))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IF($NJ69=0,0,CHOOSE(1+INDEX('DADOS_FORMAS'!$GG$2:$GG$21,$NJ69),0,$QF69,$QG69,$QF69+$QG69))</f>
        <v/>
      </c>
      <c r="QI69" s="161">
        <f>IF($NJ69=0,0,CHOOSE(1+INDEX('DADOS_FORMAS'!$GH$2:$GH$21,$NJ69),0,$QF69,$QG69,$QF69+$QG69))</f>
        <v/>
      </c>
      <c r="QJ69" s="161">
        <f>IF(OR($ND69=0,$NJ69=0),"",INDEX('DADOS_FORMAS'!$HU$2:$HZ$81,($NJ69-1)*4+IF($MS69=0,1,IF($MS69&lt;=5,2,IF($MS69=6,3,4))),1+MIN(5,$QH69))&amp;INDEX('DADOS_FORMAS'!$IA$2:$IF$81,($NJ69-1)*4+IF($MS69=0,1,IF($MS69&lt;=5,2,IF($MS69=6,3,4))),1+MIN(5,$QI69))&amp;IF(INDEX('DADOS_FORMAS'!$GI$2:$GI$21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c r="RO69">
        <f>IFERROR(INDEX('DADOS_FORMAS'!$BJ$2:$BJ$21,MATCH(SUBSTITUTE(SUBSTITUTE(SUBSTITUTE($MU69,"~","~~"),"*","~*"),"?","~?"),'DADOS_FORMAS'!$AH$2:$AH$21,0)),"")</f>
        <v/>
      </c>
      <c r="RP69">
        <f>IFERROR(VLOOKUP(SUBSTITUTE(SUBSTITUTE(SUBSTITUTE(IFERROR(INDEX('DADOS_FORMAS'!$AS$2:$AS$21,MATCH(SUBSTITUTE(SUBSTITUTE(SUBSTITUTE($MU69,"~","~~"),"*","~*"),"?","~?"),'DADOS_FORMAS'!$AH$2:$AH$21,0)),""),"~","~~"),"*","~*"),"?","~?"),'DADOS_RESTRICOES'!$M$2:$Q$54,2,FALSE),"")</f>
        <v/>
      </c>
      <c r="RQ69">
        <f>$OK69</f>
        <v/>
      </c>
      <c r="RR69">
        <f>$OL69</f>
        <v/>
      </c>
      <c r="RS69">
        <f>$RP69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IFERROR(MATCH(SUBSTITUTE(SUBSTITUTE(SUBSTITUTE($MU70,"~","~~"),"*","~*"),"?","~?"),'DADOS_FORMAS'!$FZ$2:$FZ$21,0),0)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IF($MS70=0,0,IF($NJ70=0,0,INDEX('DADOS_FORMAS'!$GB$2:$GB$21,$NJ70)))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IF($NJ70=0,0,IF(INDEX('DADOS_FORMAS'!$GA$2:$GA$21,$NJ70)="",0,IF((COUNTIF(INDEX($EL$2:$EP$13,$MO70,0),INDEX('DADOS_FORMAS'!$GA$2:$GA$21,$NJ70))+COUNTIF(INDEX($QV$2:$QY$13,$MO70,0),INDEX('DADOS_FORMAS'!$GA$2:$GA$21,$NJ70)))=0,1,0)))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IFERROR(N(AND(INDEX('DADOS_FORMAS'!$AO$2:$AO$21,MATCH(SUBSTITUTE(SUBSTITUTE(SUBSTITUTE($MU70,"~","~~"),"*","~*"),"?","~?"),'DADOS_FORMAS'!$AH$2:$AH$21,0))="Acerto",$OH70=1)),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IF($NJ70=0,0,INDEX('DADOS_FORMAS'!$GC$2:$GC$21,$NJ70))</f>
        <v/>
      </c>
      <c r="OG70" s="161">
        <f>IF($NJ70=0,0,INDEX('DADOS_FORMAS'!$GD$2:$GD$21,$NJ70))</f>
        <v/>
      </c>
      <c r="OH70" s="161">
        <f>IF($NJ70=0,0,INDEX('DADOS_FORMAS'!$GF$2:$GF$21,$NJ70))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IF(IFERROR(INDEX('DADOS_FORMAS'!$AS$2:$AS$21,MATCH(SUBSTITUTE(SUBSTITUTE(SUBSTITUTE($MU70,"~","~~"),"*","~*"),"?","~?"),'DADOS_FORMAS'!$AH$2:$AH$21,0)),"")="",0,IFERROR(N(VLOOKUP(SUBSTITUTE(SUBSTITUTE(SUBSTITUTE(IFERROR(INDEX('DADOS_FORMAS'!$AS$2:$AS$21,MATCH(SUBSTITUTE(SUBSTITUTE(SUBSTITUTE($MU70,"~","~~"),"*","~*"),"?","~?"),'DADOS_FORMAS'!$AH$2:$AH$21,0)),""),"~","~~"),"*","~*"),"?","~?"),'DADOS_RESTRICOES'!$M$2:$Q$54,3,FALSE)=1),0))</f>
        <v/>
      </c>
      <c r="OT70" s="161">
        <f>COUNTIF($OI70:$OJ70,2)+IF(IFERROR(INDEX('DADOS_FORMAS'!$AS$2:$AS$21,MATCH(SUBSTITUTE(SUBSTITUTE(SUBSTITUTE($MU70,"~","~~"),"*","~*"),"?","~?"),'DADOS_FORMAS'!$AH$2:$AH$21,0)),"")="",0,IFERROR(N(VLOOKUP(SUBSTITUTE(SUBSTITUTE(SUBSTITUTE(IFERROR(INDEX('DADOS_FORMAS'!$AS$2:$AS$21,MATCH(SUBSTITUTE(SUBSTITUTE(SUBSTITUTE($MU70,"~","~~"),"*","~*"),"?","~?"),'DADOS_FORMAS'!$AH$2:$AH$21,0)),""),"~","~~"),"*","~*"),"?","~?"),'DADOS_RESTRICOES'!$M$2:$Q$54,3,FALSE)=2),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",TRUE,IF($ND70=0,"",TEXTJOIN(" · ",TRUE,IF($MQ70&gt;$NE70,"Este lugar abre no nível "&amp;$MQ70,""),IF($MS70&gt;$NF70,"Classe "&amp;$MS70&amp;": o nível "&amp;$NE70&amp;" libera até a "&amp;$NF70,""),IF($NX70=1,"A Forma "&amp;$MU70&amp;" pede "&amp;INDEX('DADOS_FORMAS'!$GA$2:$GA$21,$NJ70)&amp;" aberta",""),IF(AND($MS70=0,$NJ70&gt;0,IF($NJ70=0,0,INDEX('DADOS_FORMAS'!$GJ$2:$GJ$21,$NJ70))=0),$MU70&amp;"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Corpo")&gt;0,$OF70=0,OR($RO70="Cone",$RO70="Linha")),"Corpo a Corpo não entra em "&amp;$MU70,""),IF(AND(COUNTIF($OK70:$OL70,"Corpo a Corpo")&gt;0,$RP70="Corpo a Corpo"),"A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"&amp;$NC70,""))),IF(AND($MU70&lt;&gt;"",COUNTIF('DADOS_FORMAS'!$AH$2:$AH$21,SUBSTITUTE(SUBSTITUTE(SUBSTITUTE($MU70,"~","~~"),"*","~*"),"?","~?"))=0),"Forma não cadastrada ou com erro: "&amp;$MU70,""),IF(AND(IFERROR(INDEX('DADOS_FORMAS'!$AS$2:$AS$21,MATCH(SUBSTITUTE(SUBSTITUTE(SUBSTITUTE($MU70,"~","~~"),"*","~*"),"?","~?"),'DADOS_FORMAS'!$AH$2:$AH$21,0)),"")&lt;&gt;"",OR(IFERROR(VLOOKUP(SUBSTITUTE(SUBSTITUTE(SUBSTITUTE(IFERROR(INDEX('DADOS_FORMAS'!$AS$2:$AS$21,MATCH(SUBSTITUTE(SUBSTITUTE(SUBSTITUTE($MU70,"~","~~"),"*","~*"),"?","~?"),'DADOS_FORMAS'!$AH$2:$AH$21,0)),""),"~","~~"),"*","~*"),"?","~?"),'DADOS_RESTRICOES'!$M$2:$Q$54,2,FALSE),"")=$OK70,IFERROR(VLOOKUP(SUBSTITUTE(SUBSTITUTE(SUBSTITUTE(IFERROR(INDEX('DADOS_FORMAS'!$AS$2:$AS$21,MATCH(SUBSTITUTE(SUBSTITUTE(SUBSTITUTE($MU70,"~","~~"),"*","~*"),"?","~?"),'DADOS_FORMAS'!$AH$2:$AH$21,0)),""),"~","~~"),"*","~*"),"?","~?"),'DADOS_RESTRICOES'!$M$2:$Q$54,2,FALSE),"")=$OL70)),"Restrição repetida, contando a embutida",""),IF(IF(IFERROR(INDEX('DADOS_FORMAS'!$AS$2:$AS$21,MATCH(SUBSTITUTE(SUBSTITUTE(SUBSTITUTE($MU70,"~","~~"),"*","~*"),"?","~?"),'DADOS_FORMAS'!$AH$2:$AH$21,0)),"")="",0,IFERROR(N(VLOOKUP(SUBSTITUTE(SUBSTITUTE(SUBSTITUTE(IFERROR(INDEX('DADOS_FORMAS'!$AS$2:$AS$21,MATCH(SUBSTITUTE(SUBSTITUTE(SUBSTITUTE($MU70,"~","~~"),"*","~*"),"?","~?"),'DADOS_FORMAS'!$AH$2:$AH$21,0)),""),"~","~~"),"*","~*"),"?","~?"),'DADOS_RESTRICOES'!$M$2:$Q$54,4,FALSE)=1),0))+IF($NB70="",0,IFERROR(N(VLOOKUP(SUBSTITUTE(SUBSTITUTE(SUBSTITUTE($NB70,"~","~~"),"*","~*"),"?","~?"),'DADOS_RESTRICOES'!$M$2:$Q$54,4,FALSE)=1),0))+IF($NC70="",0,IFERROR(N(VLOOKUP(SUBSTITUTE(SUBSTITUTE(SUBSTITUTE($NC70,"~","~~"),"*","~*"),"?","~?"),'DADOS_RESTRICOES'!$M$2:$Q$54,4,FALSE)=1),0))&gt;1,"Duas Restrições de frequência, contando a embutida",""),IF(AND(IFERROR(VLOOKUP(SUBSTITUTE(SUBSTITUTE(SUBSTITUTE(IFERROR(INDEX('DADOS_FORMAS'!$AS$2:$AS$21,MATCH(SUBSTITUTE(SUBSTITUTE(SUBSTITUTE($MU70,"~","~~"),"*","~*"),"?","~?"),'DADOS_FORMAS'!$AH$2:$AH$21,0)),""),"~","~~"),"*","~*"),"?","~?"),'DADOS_RESTRICOES'!$M$2:$Q$54,2,FALSE),"")="Tudo ou Nada",$OH70=0),"Tudo ou Nada exige TR",""),IF(AND(IFERROR(VLOOKUP(SUBSTITUTE(SUBSTITUTE(SUBSTITUTE(IFERROR(INDEX('DADOS_FORMAS'!$AS$2:$AS$21,MATCH(SUBSTITUTE(SUBSTITUTE(SUBSTITUTE($MU70,"~","~~"),"*","~*"),"?","~?"),'DADOS_FORMAS'!$AH$2:$AH$21,0)),""),"~","~~"),"*","~*"),"?","~?"),'DADOS_RESTRICOES'!$M$2:$Q$54,2,FALSE),"")="Corpo a Corpo",OR($RO70="Cone",$RO70="Linha")),"Corpo a Corpo não entra em Cone/Linha","")))</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dela",IF(COUNTIF($RQ70:$RS70,"Atrasar")&gt;0,"Sua Ação Completa",IF(COUNTIF($RK70:$RN70,"Rápido")&gt;0,"Sua Bônus",IF(COUNTIF($RK70:$RN70,"Reação")&gt;0,"Sua Reação","Sua Padrão")))&amp;" + a básica dela"&amp;IF(COUNTIF($RK70:$RN70,"Reação")&gt;0," e a coletiva","")&amp;IF(COUNTIF($RQ70:$RS70,"Carregar")&gt;0," · em dois turnos","")))</f>
        <v/>
      </c>
      <c r="QC70" s="161">
        <f>IF($MW70&lt;&gt;"",$MW70,IF($NJ70=0,"",INDEX('DADOS_FORMAS'!$GE$2:$GE$21,$NJ70)))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IF($NJ70=0,0,CHOOSE(1+INDEX('DADOS_FORMAS'!$GG$2:$GG$21,$NJ70),0,$QF70,$QG70,$QF70+$QG70))</f>
        <v/>
      </c>
      <c r="QI70" s="161">
        <f>IF($NJ70=0,0,CHOOSE(1+INDEX('DADOS_FORMAS'!$GH$2:$GH$21,$NJ70),0,$QF70,$QG70,$QF70+$QG70))</f>
        <v/>
      </c>
      <c r="QJ70" s="161">
        <f>IF(OR($ND70=0,$NJ70=0),"",INDEX('DADOS_FORMAS'!$HU$2:$HZ$81,($NJ70-1)*4+IF($MS70=0,1,IF($MS70&lt;=5,2,IF($MS70=6,3,4))),1+MIN(5,$QH70))&amp;INDEX('DADOS_FORMAS'!$IA$2:$IF$81,($NJ70-1)*4+IF($MS70=0,1,IF($MS70&lt;=5,2,IF($MS70=6,3,4))),1+MIN(5,$QI70))&amp;IF(INDEX('DADOS_FORMAS'!$GI$2:$GI$21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c r="RO70">
        <f>IFERROR(INDEX('DADOS_FORMAS'!$BJ$2:$BJ$21,MATCH(SUBSTITUTE(SUBSTITUTE(SUBSTITUTE($MU70,"~","~~"),"*","~*"),"?","~?"),'DADOS_FORMAS'!$AH$2:$AH$21,0)),"")</f>
        <v/>
      </c>
      <c r="RP70">
        <f>IFERROR(VLOOKUP(SUBSTITUTE(SUBSTITUTE(SUBSTITUTE(IFERROR(INDEX('DADOS_FORMAS'!$AS$2:$AS$21,MATCH(SUBSTITUTE(SUBSTITUTE(SUBSTITUTE($MU70,"~","~~"),"*","~*"),"?","~?"),'DADOS_FORMAS'!$AH$2:$AH$21,0)),""),"~","~~"),"*","~*"),"?","~?"),'DADOS_RESTRICOES'!$M$2:$Q$54,2,FALSE),"")</f>
        <v/>
      </c>
      <c r="RQ70">
        <f>$OK70</f>
        <v/>
      </c>
      <c r="RR70">
        <f>$OL70</f>
        <v/>
      </c>
      <c r="RS70">
        <f>$RP70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IFERROR(MATCH(SUBSTITUTE(SUBSTITUTE(SUBSTITUTE($MU71,"~","~~"),"*","~*"),"?","~?"),'DADOS_FORMAS'!$FZ$2:$FZ$21,0),0)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IF($MS71=0,0,IF($NJ71=0,0,INDEX('DADOS_FORMAS'!$GB$2:$GB$21,$NJ71)))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IF($NJ71=0,0,IF(INDEX('DADOS_FORMAS'!$GA$2:$GA$21,$NJ71)="",0,IF((COUNTIF(INDEX($EL$2:$EP$13,$MO71,0),INDEX('DADOS_FORMAS'!$GA$2:$GA$21,$NJ71))+COUNTIF(INDEX($QV$2:$QY$13,$MO71,0),INDEX('DADOS_FORMAS'!$GA$2:$GA$21,$NJ71)))=0,1,0)))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IFERROR(N(AND(INDEX('DADOS_FORMAS'!$AO$2:$AO$21,MATCH(SUBSTITUTE(SUBSTITUTE(SUBSTITUTE($MU71,"~","~~"),"*","~*"),"?","~?"),'DADOS_FORMAS'!$AH$2:$AH$21,0))="Acerto",$OH71=1)),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IF($NJ71=0,0,INDEX('DADOS_FORMAS'!$GC$2:$GC$21,$NJ71))</f>
        <v/>
      </c>
      <c r="OG71" s="161">
        <f>IF($NJ71=0,0,INDEX('DADOS_FORMAS'!$GD$2:$GD$21,$NJ71))</f>
        <v/>
      </c>
      <c r="OH71" s="161">
        <f>IF($NJ71=0,0,INDEX('DADOS_FORMAS'!$GF$2:$GF$21,$NJ71))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IF(IFERROR(INDEX('DADOS_FORMAS'!$AS$2:$AS$21,MATCH(SUBSTITUTE(SUBSTITUTE(SUBSTITUTE($MU71,"~","~~"),"*","~*"),"?","~?"),'DADOS_FORMAS'!$AH$2:$AH$21,0)),"")="",0,IFERROR(N(VLOOKUP(SUBSTITUTE(SUBSTITUTE(SUBSTITUTE(IFERROR(INDEX('DADOS_FORMAS'!$AS$2:$AS$21,MATCH(SUBSTITUTE(SUBSTITUTE(SUBSTITUTE($MU71,"~","~~"),"*","~*"),"?","~?"),'DADOS_FORMAS'!$AH$2:$AH$21,0)),""),"~","~~"),"*","~*"),"?","~?"),'DADOS_RESTRICOES'!$M$2:$Q$54,3,FALSE)=1),0))</f>
        <v/>
      </c>
      <c r="OT71" s="161">
        <f>COUNTIF($OI71:$OJ71,2)+IF(IFERROR(INDEX('DADOS_FORMAS'!$AS$2:$AS$21,MATCH(SUBSTITUTE(SUBSTITUTE(SUBSTITUTE($MU71,"~","~~"),"*","~*"),"?","~?"),'DADOS_FORMAS'!$AH$2:$AH$21,0)),"")="",0,IFERROR(N(VLOOKUP(SUBSTITUTE(SUBSTITUTE(SUBSTITUTE(IFERROR(INDEX('DADOS_FORMAS'!$AS$2:$AS$21,MATCH(SUBSTITUTE(SUBSTITUTE(SUBSTITUTE($MU71,"~","~~"),"*","~*"),"?","~?"),'DADOS_FORMAS'!$AH$2:$AH$21,0)),""),"~","~~"),"*","~*"),"?","~?"),'DADOS_RESTRICOES'!$M$2:$Q$54,3,FALSE)=2),0))</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",TRUE,IF($ND71=0,"",TEXTJOIN(" · ",TRUE,IF($MQ71&gt;$NE71,"Este lugar abre no nível "&amp;$MQ71,""),IF($MS71&gt;$NF71,"Classe "&amp;$MS71&amp;": o nível "&amp;$NE71&amp;" libera até a "&amp;$NF71,""),IF($NX71=1,"A Forma "&amp;$MU71&amp;" pede "&amp;INDEX('DADOS_FORMAS'!$GA$2:$GA$21,$NJ71)&amp;" aberta",""),IF(AND($MS71=0,$NJ71&gt;0,IF($NJ71=0,0,INDEX('DADOS_FORMAS'!$GJ$2:$GJ$21,$NJ71))=0),$MU71&amp;"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Corpo")&gt;0,$OF71=0,OR($RO71="Cone",$RO71="Linha")),"Corpo a Corpo não entra em "&amp;$MU71,""),IF(AND(COUNTIF($OK71:$OL71,"Corpo a Corpo")&gt;0,$RP71="Corpo a Corpo"),"A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"&amp;$NC71,""))),IF(AND($MU71&lt;&gt;"",COUNTIF('DADOS_FORMAS'!$AH$2:$AH$21,SUBSTITUTE(SUBSTITUTE(SUBSTITUTE($MU71,"~","~~"),"*","~*"),"?","~?"))=0),"Forma não cadastrada ou com erro: "&amp;$MU71,""),IF(AND(IFERROR(INDEX('DADOS_FORMAS'!$AS$2:$AS$21,MATCH(SUBSTITUTE(SUBSTITUTE(SUBSTITUTE($MU71,"~","~~"),"*","~*"),"?","~?"),'DADOS_FORMAS'!$AH$2:$AH$21,0)),"")&lt;&gt;"",OR(IFERROR(VLOOKUP(SUBSTITUTE(SUBSTITUTE(SUBSTITUTE(IFERROR(INDEX('DADOS_FORMAS'!$AS$2:$AS$21,MATCH(SUBSTITUTE(SUBSTITUTE(SUBSTITUTE($MU71,"~","~~"),"*","~*"),"?","~?"),'DADOS_FORMAS'!$AH$2:$AH$21,0)),""),"~","~~"),"*","~*"),"?","~?"),'DADOS_RESTRICOES'!$M$2:$Q$54,2,FALSE),"")=$OK71,IFERROR(VLOOKUP(SUBSTITUTE(SUBSTITUTE(SUBSTITUTE(IFERROR(INDEX('DADOS_FORMAS'!$AS$2:$AS$21,MATCH(SUBSTITUTE(SUBSTITUTE(SUBSTITUTE($MU71,"~","~~"),"*","~*"),"?","~?"),'DADOS_FORMAS'!$AH$2:$AH$21,0)),""),"~","~~"),"*","~*"),"?","~?"),'DADOS_RESTRICOES'!$M$2:$Q$54,2,FALSE),"")=$OL71)),"Restrição repetida, contando a embutida",""),IF(IF(IFERROR(INDEX('DADOS_FORMAS'!$AS$2:$AS$21,MATCH(SUBSTITUTE(SUBSTITUTE(SUBSTITUTE($MU71,"~","~~"),"*","~*"),"?","~?"),'DADOS_FORMAS'!$AH$2:$AH$21,0)),"")="",0,IFERROR(N(VLOOKUP(SUBSTITUTE(SUBSTITUTE(SUBSTITUTE(IFERROR(INDEX('DADOS_FORMAS'!$AS$2:$AS$21,MATCH(SUBSTITUTE(SUBSTITUTE(SUBSTITUTE($MU71,"~","~~"),"*","~*"),"?","~?"),'DADOS_FORMAS'!$AH$2:$AH$21,0)),""),"~","~~"),"*","~*"),"?","~?"),'DADOS_RESTRICOES'!$M$2:$Q$54,4,FALSE)=1),0))+IF($NB71="",0,IFERROR(N(VLOOKUP(SUBSTITUTE(SUBSTITUTE(SUBSTITUTE($NB71,"~","~~"),"*","~*"),"?","~?"),'DADOS_RESTRICOES'!$M$2:$Q$54,4,FALSE)=1),0))+IF($NC71="",0,IFERROR(N(VLOOKUP(SUBSTITUTE(SUBSTITUTE(SUBSTITUTE($NC71,"~","~~"),"*","~*"),"?","~?"),'DADOS_RESTRICOES'!$M$2:$Q$54,4,FALSE)=1),0))&gt;1,"Duas Restrições de frequência, contando a embutida",""),IF(AND(IFERROR(VLOOKUP(SUBSTITUTE(SUBSTITUTE(SUBSTITUTE(IFERROR(INDEX('DADOS_FORMAS'!$AS$2:$AS$21,MATCH(SUBSTITUTE(SUBSTITUTE(SUBSTITUTE($MU71,"~","~~"),"*","~*"),"?","~?"),'DADOS_FORMAS'!$AH$2:$AH$21,0)),""),"~","~~"),"*","~*"),"?","~?"),'DADOS_RESTRICOES'!$M$2:$Q$54,2,FALSE),"")="Tudo ou Nada",$OH71=0),"Tudo ou Nada exige TR",""),IF(AND(IFERROR(VLOOKUP(SUBSTITUTE(SUBSTITUTE(SUBSTITUTE(IFERROR(INDEX('DADOS_FORMAS'!$AS$2:$AS$21,MATCH(SUBSTITUTE(SUBSTITUTE(SUBSTITUTE($MU71,"~","~~"),"*","~*"),"?","~?"),'DADOS_FORMAS'!$AH$2:$AH$21,0)),""),"~","~~"),"*","~*"),"?","~?"),'DADOS_RESTRICOES'!$M$2:$Q$54,2,FALSE),"")="Corpo a Corpo",OR($RO71="Cone",$RO71="Linha")),"Corpo a Corpo não entra em Cone/Linha","")))</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dela",IF(COUNTIF($RQ71:$RS71,"Atrasar")&gt;0,"Sua Ação Completa",IF(COUNTIF($RK71:$RN71,"Rápido")&gt;0,"Sua Bônus",IF(COUNTIF($RK71:$RN71,"Reação")&gt;0,"Sua Reação","Sua Padrão")))&amp;" + a básica dela"&amp;IF(COUNTIF($RK71:$RN71,"Reação")&gt;0," e a coletiva","")&amp;IF(COUNTIF($RQ71:$RS71,"Carregar")&gt;0," · em dois turnos","")))</f>
        <v/>
      </c>
      <c r="QC71" s="161">
        <f>IF($MW71&lt;&gt;"",$MW71,IF($NJ71=0,"",INDEX('DADOS_FORMAS'!$GE$2:$GE$21,$NJ71)))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IF($NJ71=0,0,CHOOSE(1+INDEX('DADOS_FORMAS'!$GG$2:$GG$21,$NJ71),0,$QF71,$QG71,$QF71+$QG71))</f>
        <v/>
      </c>
      <c r="QI71" s="161">
        <f>IF($NJ71=0,0,CHOOSE(1+INDEX('DADOS_FORMAS'!$GH$2:$GH$21,$NJ71),0,$QF71,$QG71,$QF71+$QG71))</f>
        <v/>
      </c>
      <c r="QJ71" s="161">
        <f>IF(OR($ND71=0,$NJ71=0),"",INDEX('DADOS_FORMAS'!$HU$2:$HZ$81,($NJ71-1)*4+IF($MS71=0,1,IF($MS71&lt;=5,2,IF($MS71=6,3,4))),1+MIN(5,$QH71))&amp;INDEX('DADOS_FORMAS'!$IA$2:$IF$81,($NJ71-1)*4+IF($MS71=0,1,IF($MS71&lt;=5,2,IF($MS71=6,3,4))),1+MIN(5,$QI71))&amp;IF(INDEX('DADOS_FORMAS'!$GI$2:$GI$21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c r="RO71">
        <f>IFERROR(INDEX('DADOS_FORMAS'!$BJ$2:$BJ$21,MATCH(SUBSTITUTE(SUBSTITUTE(SUBSTITUTE($MU71,"~","~~"),"*","~*"),"?","~?"),'DADOS_FORMAS'!$AH$2:$AH$21,0)),"")</f>
        <v/>
      </c>
      <c r="RP71">
        <f>IFERROR(VLOOKUP(SUBSTITUTE(SUBSTITUTE(SUBSTITUTE(IFERROR(INDEX('DADOS_FORMAS'!$AS$2:$AS$21,MATCH(SUBSTITUTE(SUBSTITUTE(SUBSTITUTE($MU71,"~","~~"),"*","~*"),"?","~?"),'DADOS_FORMAS'!$AH$2:$AH$21,0)),""),"~","~~"),"*","~*"),"?","~?"),'DADOS_RESTRICOES'!$M$2:$Q$54,2,FALSE),"")</f>
        <v/>
      </c>
      <c r="RQ71">
        <f>$OK71</f>
        <v/>
      </c>
      <c r="RR71">
        <f>$OL71</f>
        <v/>
      </c>
      <c r="RS71">
        <f>$RP71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IFERROR(MATCH(SUBSTITUTE(SUBSTITUTE(SUBSTITUTE($MU72,"~","~~"),"*","~*"),"?","~?"),'DADOS_FORMAS'!$FZ$2:$FZ$21,0),0)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IF($MS72=0,0,IF($NJ72=0,0,INDEX('DADOS_FORMAS'!$GB$2:$GB$21,$NJ72)))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IF($NJ72=0,0,IF(INDEX('DADOS_FORMAS'!$GA$2:$GA$21,$NJ72)="",0,IF((COUNTIF(INDEX($EL$2:$EP$13,$MO72,0),INDEX('DADOS_FORMAS'!$GA$2:$GA$21,$NJ72))+COUNTIF(INDEX($QV$2:$QY$13,$MO72,0),INDEX('DADOS_FORMAS'!$GA$2:$GA$21,$NJ72)))=0,1,0)))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IFERROR(N(AND(INDEX('DADOS_FORMAS'!$AO$2:$AO$21,MATCH(SUBSTITUTE(SUBSTITUTE(SUBSTITUTE($MU72,"~","~~"),"*","~*"),"?","~?"),'DADOS_FORMAS'!$AH$2:$AH$21,0))="Acerto",$OH72=1)),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IF($NJ72=0,0,INDEX('DADOS_FORMAS'!$GC$2:$GC$21,$NJ72))</f>
        <v/>
      </c>
      <c r="OG72" s="161">
        <f>IF($NJ72=0,0,INDEX('DADOS_FORMAS'!$GD$2:$GD$21,$NJ72))</f>
        <v/>
      </c>
      <c r="OH72" s="161">
        <f>IF($NJ72=0,0,INDEX('DADOS_FORMAS'!$GF$2:$GF$21,$NJ72))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IF(IFERROR(INDEX('DADOS_FORMAS'!$AS$2:$AS$21,MATCH(SUBSTITUTE(SUBSTITUTE(SUBSTITUTE($MU72,"~","~~"),"*","~*"),"?","~?"),'DADOS_FORMAS'!$AH$2:$AH$21,0)),"")="",0,IFERROR(N(VLOOKUP(SUBSTITUTE(SUBSTITUTE(SUBSTITUTE(IFERROR(INDEX('DADOS_FORMAS'!$AS$2:$AS$21,MATCH(SUBSTITUTE(SUBSTITUTE(SUBSTITUTE($MU72,"~","~~"),"*","~*"),"?","~?"),'DADOS_FORMAS'!$AH$2:$AH$21,0)),""),"~","~~"),"*","~*"),"?","~?"),'DADOS_RESTRICOES'!$M$2:$Q$54,3,FALSE)=1),0))</f>
        <v/>
      </c>
      <c r="OT72" s="161">
        <f>COUNTIF($OI72:$OJ72,2)+IF(IFERROR(INDEX('DADOS_FORMAS'!$AS$2:$AS$21,MATCH(SUBSTITUTE(SUBSTITUTE(SUBSTITUTE($MU72,"~","~~"),"*","~*"),"?","~?"),'DADOS_FORMAS'!$AH$2:$AH$21,0)),"")="",0,IFERROR(N(VLOOKUP(SUBSTITUTE(SUBSTITUTE(SUBSTITUTE(IFERROR(INDEX('DADOS_FORMAS'!$AS$2:$AS$21,MATCH(SUBSTITUTE(SUBSTITUTE(SUBSTITUTE($MU72,"~","~~"),"*","~*"),"?","~?"),'DADOS_FORMAS'!$AH$2:$AH$21,0)),""),"~","~~"),"*","~*"),"?","~?"),'DADOS_RESTRICOES'!$M$2:$Q$54,3,FALSE)=2),0))</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",TRUE,IF($ND72=0,"",TEXTJOIN(" · ",TRUE,IF($MQ72&gt;$NE72,"Este lugar abre no nível "&amp;$MQ72,""),IF($MS72&gt;$NF72,"Classe "&amp;$MS72&amp;": o nível "&amp;$NE72&amp;" libera até a "&amp;$NF72,""),IF($NX72=1,"A Forma "&amp;$MU72&amp;" pede "&amp;INDEX('DADOS_FORMAS'!$GA$2:$GA$21,$NJ72)&amp;" aberta",""),IF(AND($MS72=0,$NJ72&gt;0,IF($NJ72=0,0,INDEX('DADOS_FORMAS'!$GJ$2:$GJ$21,$NJ72))=0),$MU72&amp;"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Corpo")&gt;0,$OF72=0,OR($RO72="Cone",$RO72="Linha")),"Corpo a Corpo não entra em "&amp;$MU72,""),IF(AND(COUNTIF($OK72:$OL72,"Corpo a Corpo")&gt;0,$RP72="Corpo a Corpo"),"A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"&amp;$NC72,""))),IF(AND($MU72&lt;&gt;"",COUNTIF('DADOS_FORMAS'!$AH$2:$AH$21,SUBSTITUTE(SUBSTITUTE(SUBSTITUTE($MU72,"~","~~"),"*","~*"),"?","~?"))=0),"Forma não cadastrada ou com erro: "&amp;$MU72,""),IF(AND(IFERROR(INDEX('DADOS_FORMAS'!$AS$2:$AS$21,MATCH(SUBSTITUTE(SUBSTITUTE(SUBSTITUTE($MU72,"~","~~"),"*","~*"),"?","~?"),'DADOS_FORMAS'!$AH$2:$AH$21,0)),"")&lt;&gt;"",OR(IFERROR(VLOOKUP(SUBSTITUTE(SUBSTITUTE(SUBSTITUTE(IFERROR(INDEX('DADOS_FORMAS'!$AS$2:$AS$21,MATCH(SUBSTITUTE(SUBSTITUTE(SUBSTITUTE($MU72,"~","~~"),"*","~*"),"?","~?"),'DADOS_FORMAS'!$AH$2:$AH$21,0)),""),"~","~~"),"*","~*"),"?","~?"),'DADOS_RESTRICOES'!$M$2:$Q$54,2,FALSE),"")=$OK72,IFERROR(VLOOKUP(SUBSTITUTE(SUBSTITUTE(SUBSTITUTE(IFERROR(INDEX('DADOS_FORMAS'!$AS$2:$AS$21,MATCH(SUBSTITUTE(SUBSTITUTE(SUBSTITUTE($MU72,"~","~~"),"*","~*"),"?","~?"),'DADOS_FORMAS'!$AH$2:$AH$21,0)),""),"~","~~"),"*","~*"),"?","~?"),'DADOS_RESTRICOES'!$M$2:$Q$54,2,FALSE),"")=$OL72)),"Restrição repetida, contando a embutida",""),IF(IF(IFERROR(INDEX('DADOS_FORMAS'!$AS$2:$AS$21,MATCH(SUBSTITUTE(SUBSTITUTE(SUBSTITUTE($MU72,"~","~~"),"*","~*"),"?","~?"),'DADOS_FORMAS'!$AH$2:$AH$21,0)),"")="",0,IFERROR(N(VLOOKUP(SUBSTITUTE(SUBSTITUTE(SUBSTITUTE(IFERROR(INDEX('DADOS_FORMAS'!$AS$2:$AS$21,MATCH(SUBSTITUTE(SUBSTITUTE(SUBSTITUTE($MU72,"~","~~"),"*","~*"),"?","~?"),'DADOS_FORMAS'!$AH$2:$AH$21,0)),""),"~","~~"),"*","~*"),"?","~?"),'DADOS_RESTRICOES'!$M$2:$Q$54,4,FALSE)=1),0))+IF($NB72="",0,IFERROR(N(VLOOKUP(SUBSTITUTE(SUBSTITUTE(SUBSTITUTE($NB72,"~","~~"),"*","~*"),"?","~?"),'DADOS_RESTRICOES'!$M$2:$Q$54,4,FALSE)=1),0))+IF($NC72="",0,IFERROR(N(VLOOKUP(SUBSTITUTE(SUBSTITUTE(SUBSTITUTE($NC72,"~","~~"),"*","~*"),"?","~?"),'DADOS_RESTRICOES'!$M$2:$Q$54,4,FALSE)=1),0))&gt;1,"Duas Restrições de frequência, contando a embutida",""),IF(AND(IFERROR(VLOOKUP(SUBSTITUTE(SUBSTITUTE(SUBSTITUTE(IFERROR(INDEX('DADOS_FORMAS'!$AS$2:$AS$21,MATCH(SUBSTITUTE(SUBSTITUTE(SUBSTITUTE($MU72,"~","~~"),"*","~*"),"?","~?"),'DADOS_FORMAS'!$AH$2:$AH$21,0)),""),"~","~~"),"*","~*"),"?","~?"),'DADOS_RESTRICOES'!$M$2:$Q$54,2,FALSE),"")="Tudo ou Nada",$OH72=0),"Tudo ou Nada exige TR",""),IF(AND(IFERROR(VLOOKUP(SUBSTITUTE(SUBSTITUTE(SUBSTITUTE(IFERROR(INDEX('DADOS_FORMAS'!$AS$2:$AS$21,MATCH(SUBSTITUTE(SUBSTITUTE(SUBSTITUTE($MU72,"~","~~"),"*","~*"),"?","~?"),'DADOS_FORMAS'!$AH$2:$AH$21,0)),""),"~","~~"),"*","~*"),"?","~?"),'DADOS_RESTRICOES'!$M$2:$Q$54,2,FALSE),"")="Corpo a Corpo",OR($RO72="Cone",$RO72="Linha")),"Corpo a Corpo não entra em Cone/Linha","")))</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dela",IF(COUNTIF($RQ72:$RS72,"Atrasar")&gt;0,"Sua Ação Completa",IF(COUNTIF($RK72:$RN72,"Rápido")&gt;0,"Sua Bônus",IF(COUNTIF($RK72:$RN72,"Reação")&gt;0,"Sua Reação","Sua Padrão")))&amp;" + a básica dela"&amp;IF(COUNTIF($RK72:$RN72,"Reação")&gt;0," e a coletiva","")&amp;IF(COUNTIF($RQ72:$RS72,"Carregar")&gt;0," · em dois turnos","")))</f>
        <v/>
      </c>
      <c r="QC72" s="161">
        <f>IF($MW72&lt;&gt;"",$MW72,IF($NJ72=0,"",INDEX('DADOS_FORMAS'!$GE$2:$GE$21,$NJ72)))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IF($NJ72=0,0,CHOOSE(1+INDEX('DADOS_FORMAS'!$GG$2:$GG$21,$NJ72),0,$QF72,$QG72,$QF72+$QG72))</f>
        <v/>
      </c>
      <c r="QI72" s="161">
        <f>IF($NJ72=0,0,CHOOSE(1+INDEX('DADOS_FORMAS'!$GH$2:$GH$21,$NJ72),0,$QF72,$QG72,$QF72+$QG72))</f>
        <v/>
      </c>
      <c r="QJ72" s="161">
        <f>IF(OR($ND72=0,$NJ72=0),"",INDEX('DADOS_FORMAS'!$HU$2:$HZ$81,($NJ72-1)*4+IF($MS72=0,1,IF($MS72&lt;=5,2,IF($MS72=6,3,4))),1+MIN(5,$QH72))&amp;INDEX('DADOS_FORMAS'!$IA$2:$IF$81,($NJ72-1)*4+IF($MS72=0,1,IF($MS72&lt;=5,2,IF($MS72=6,3,4))),1+MIN(5,$QI72))&amp;IF(INDEX('DADOS_FORMAS'!$GI$2:$GI$21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c r="RO72">
        <f>IFERROR(INDEX('DADOS_FORMAS'!$BJ$2:$BJ$21,MATCH(SUBSTITUTE(SUBSTITUTE(SUBSTITUTE($MU72,"~","~~"),"*","~*"),"?","~?"),'DADOS_FORMAS'!$AH$2:$AH$21,0)),"")</f>
        <v/>
      </c>
      <c r="RP72">
        <f>IFERROR(VLOOKUP(SUBSTITUTE(SUBSTITUTE(SUBSTITUTE(IFERROR(INDEX('DADOS_FORMAS'!$AS$2:$AS$21,MATCH(SUBSTITUTE(SUBSTITUTE(SUBSTITUTE($MU72,"~","~~"),"*","~*"),"?","~?"),'DADOS_FORMAS'!$AH$2:$AH$21,0)),""),"~","~~"),"*","~*"),"?","~?"),'DADOS_RESTRICOES'!$M$2:$Q$54,2,FALSE),"")</f>
        <v/>
      </c>
      <c r="RQ72">
        <f>$OK72</f>
        <v/>
      </c>
      <c r="RR72">
        <f>$OL72</f>
        <v/>
      </c>
      <c r="RS72">
        <f>$RP72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IFERROR(MATCH(SUBSTITUTE(SUBSTITUTE(SUBSTITUTE($MU73,"~","~~"),"*","~*"),"?","~?"),'DADOS_FORMAS'!$FZ$2:$FZ$21,0),0)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IF($MS73=0,0,IF($NJ73=0,0,INDEX('DADOS_FORMAS'!$GB$2:$GB$21,$NJ73)))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IF($NJ73=0,0,IF(INDEX('DADOS_FORMAS'!$GA$2:$GA$21,$NJ73)="",0,IF((COUNTIF(INDEX($EL$2:$EP$13,$MO73,0),INDEX('DADOS_FORMAS'!$GA$2:$GA$21,$NJ73))+COUNTIF(INDEX($QV$2:$QY$13,$MO73,0),INDEX('DADOS_FORMAS'!$GA$2:$GA$21,$NJ73)))=0,1,0)))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IFERROR(N(AND(INDEX('DADOS_FORMAS'!$AO$2:$AO$21,MATCH(SUBSTITUTE(SUBSTITUTE(SUBSTITUTE($MU73,"~","~~"),"*","~*"),"?","~?"),'DADOS_FORMAS'!$AH$2:$AH$21,0))="Acerto",$OH73=1)),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IF($NJ73=0,0,INDEX('DADOS_FORMAS'!$GC$2:$GC$21,$NJ73))</f>
        <v/>
      </c>
      <c r="OG73" s="161">
        <f>IF($NJ73=0,0,INDEX('DADOS_FORMAS'!$GD$2:$GD$21,$NJ73))</f>
        <v/>
      </c>
      <c r="OH73" s="161">
        <f>IF($NJ73=0,0,INDEX('DADOS_FORMAS'!$GF$2:$GF$21,$NJ73))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IF(IFERROR(INDEX('DADOS_FORMAS'!$AS$2:$AS$21,MATCH(SUBSTITUTE(SUBSTITUTE(SUBSTITUTE($MU73,"~","~~"),"*","~*"),"?","~?"),'DADOS_FORMAS'!$AH$2:$AH$21,0)),"")="",0,IFERROR(N(VLOOKUP(SUBSTITUTE(SUBSTITUTE(SUBSTITUTE(IFERROR(INDEX('DADOS_FORMAS'!$AS$2:$AS$21,MATCH(SUBSTITUTE(SUBSTITUTE(SUBSTITUTE($MU73,"~","~~"),"*","~*"),"?","~?"),'DADOS_FORMAS'!$AH$2:$AH$21,0)),""),"~","~~"),"*","~*"),"?","~?"),'DADOS_RESTRICOES'!$M$2:$Q$54,3,FALSE)=1),0))</f>
        <v/>
      </c>
      <c r="OT73" s="161">
        <f>COUNTIF($OI73:$OJ73,2)+IF(IFERROR(INDEX('DADOS_FORMAS'!$AS$2:$AS$21,MATCH(SUBSTITUTE(SUBSTITUTE(SUBSTITUTE($MU73,"~","~~"),"*","~*"),"?","~?"),'DADOS_FORMAS'!$AH$2:$AH$21,0)),"")="",0,IFERROR(N(VLOOKUP(SUBSTITUTE(SUBSTITUTE(SUBSTITUTE(IFERROR(INDEX('DADOS_FORMAS'!$AS$2:$AS$21,MATCH(SUBSTITUTE(SUBSTITUTE(SUBSTITUTE($MU73,"~","~~"),"*","~*"),"?","~?"),'DADOS_FORMAS'!$AH$2:$AH$21,0)),""),"~","~~"),"*","~*"),"?","~?"),'DADOS_RESTRICOES'!$M$2:$Q$54,3,FALSE)=2),0))</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",TRUE,IF($ND73=0,"",TEXTJOIN(" · ",TRUE,IF($MQ73&gt;$NE73,"Este lugar abre no nível "&amp;$MQ73,""),IF($MS73&gt;$NF73,"Classe "&amp;$MS73&amp;": o nível "&amp;$NE73&amp;" libera até a "&amp;$NF73,""),IF($NX73=1,"A Forma "&amp;$MU73&amp;" pede "&amp;INDEX('DADOS_FORMAS'!$GA$2:$GA$21,$NJ73)&amp;" aberta",""),IF(AND($MS73=0,$NJ73&gt;0,IF($NJ73=0,0,INDEX('DADOS_FORMAS'!$GJ$2:$GJ$21,$NJ73))=0),$MU73&amp;"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Corpo")&gt;0,$OF73=0,OR($RO73="Cone",$RO73="Linha")),"Corpo a Corpo não entra em "&amp;$MU73,""),IF(AND(COUNTIF($OK73:$OL73,"Corpo a Corpo")&gt;0,$RP73="Corpo a Corpo"),"A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"&amp;$NC73,""))),IF(AND($MU73&lt;&gt;"",COUNTIF('DADOS_FORMAS'!$AH$2:$AH$21,SUBSTITUTE(SUBSTITUTE(SUBSTITUTE($MU73,"~","~~"),"*","~*"),"?","~?"))=0),"Forma não cadastrada ou com erro: "&amp;$MU73,""),IF(AND(IFERROR(INDEX('DADOS_FORMAS'!$AS$2:$AS$21,MATCH(SUBSTITUTE(SUBSTITUTE(SUBSTITUTE($MU73,"~","~~"),"*","~*"),"?","~?"),'DADOS_FORMAS'!$AH$2:$AH$21,0)),"")&lt;&gt;"",OR(IFERROR(VLOOKUP(SUBSTITUTE(SUBSTITUTE(SUBSTITUTE(IFERROR(INDEX('DADOS_FORMAS'!$AS$2:$AS$21,MATCH(SUBSTITUTE(SUBSTITUTE(SUBSTITUTE($MU73,"~","~~"),"*","~*"),"?","~?"),'DADOS_FORMAS'!$AH$2:$AH$21,0)),""),"~","~~"),"*","~*"),"?","~?"),'DADOS_RESTRICOES'!$M$2:$Q$54,2,FALSE),"")=$OK73,IFERROR(VLOOKUP(SUBSTITUTE(SUBSTITUTE(SUBSTITUTE(IFERROR(INDEX('DADOS_FORMAS'!$AS$2:$AS$21,MATCH(SUBSTITUTE(SUBSTITUTE(SUBSTITUTE($MU73,"~","~~"),"*","~*"),"?","~?"),'DADOS_FORMAS'!$AH$2:$AH$21,0)),""),"~","~~"),"*","~*"),"?","~?"),'DADOS_RESTRICOES'!$M$2:$Q$54,2,FALSE),"")=$OL73)),"Restrição repetida, contando a embutida",""),IF(IF(IFERROR(INDEX('DADOS_FORMAS'!$AS$2:$AS$21,MATCH(SUBSTITUTE(SUBSTITUTE(SUBSTITUTE($MU73,"~","~~"),"*","~*"),"?","~?"),'DADOS_FORMAS'!$AH$2:$AH$21,0)),"")="",0,IFERROR(N(VLOOKUP(SUBSTITUTE(SUBSTITUTE(SUBSTITUTE(IFERROR(INDEX('DADOS_FORMAS'!$AS$2:$AS$21,MATCH(SUBSTITUTE(SUBSTITUTE(SUBSTITUTE($MU73,"~","~~"),"*","~*"),"?","~?"),'DADOS_FORMAS'!$AH$2:$AH$21,0)),""),"~","~~"),"*","~*"),"?","~?"),'DADOS_RESTRICOES'!$M$2:$Q$54,4,FALSE)=1),0))+IF($NB73="",0,IFERROR(N(VLOOKUP(SUBSTITUTE(SUBSTITUTE(SUBSTITUTE($NB73,"~","~~"),"*","~*"),"?","~?"),'DADOS_RESTRICOES'!$M$2:$Q$54,4,FALSE)=1),0))+IF($NC73="",0,IFERROR(N(VLOOKUP(SUBSTITUTE(SUBSTITUTE(SUBSTITUTE($NC73,"~","~~"),"*","~*"),"?","~?"),'DADOS_RESTRICOES'!$M$2:$Q$54,4,FALSE)=1),0))&gt;1,"Duas Restrições de frequência, contando a embutida",""),IF(AND(IFERROR(VLOOKUP(SUBSTITUTE(SUBSTITUTE(SUBSTITUTE(IFERROR(INDEX('DADOS_FORMAS'!$AS$2:$AS$21,MATCH(SUBSTITUTE(SUBSTITUTE(SUBSTITUTE($MU73,"~","~~"),"*","~*"),"?","~?"),'DADOS_FORMAS'!$AH$2:$AH$21,0)),""),"~","~~"),"*","~*"),"?","~?"),'DADOS_RESTRICOES'!$M$2:$Q$54,2,FALSE),"")="Tudo ou Nada",$OH73=0),"Tudo ou Nada exige TR",""),IF(AND(IFERROR(VLOOKUP(SUBSTITUTE(SUBSTITUTE(SUBSTITUTE(IFERROR(INDEX('DADOS_FORMAS'!$AS$2:$AS$21,MATCH(SUBSTITUTE(SUBSTITUTE(SUBSTITUTE($MU73,"~","~~"),"*","~*"),"?","~?"),'DADOS_FORMAS'!$AH$2:$AH$21,0)),""),"~","~~"),"*","~*"),"?","~?"),'DADOS_RESTRICOES'!$M$2:$Q$54,2,FALSE),"")="Corpo a Corpo",OR($RO73="Cone",$RO73="Linha")),"Corpo a Corpo não entra em Cone/Linha","")))</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dela",IF(COUNTIF($RQ73:$RS73,"Atrasar")&gt;0,"Sua Ação Completa",IF(COUNTIF($RK73:$RN73,"Rápido")&gt;0,"Sua Bônus",IF(COUNTIF($RK73:$RN73,"Reação")&gt;0,"Sua Reação","Sua Padrão")))&amp;" + a básica dela"&amp;IF(COUNTIF($RK73:$RN73,"Reação")&gt;0," e a coletiva","")&amp;IF(COUNTIF($RQ73:$RS73,"Carregar")&gt;0," · em dois turnos","")))</f>
        <v/>
      </c>
      <c r="QC73" s="161">
        <f>IF($MW73&lt;&gt;"",$MW73,IF($NJ73=0,"",INDEX('DADOS_FORMAS'!$GE$2:$GE$21,$NJ73)))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IF($NJ73=0,0,CHOOSE(1+INDEX('DADOS_FORMAS'!$GG$2:$GG$21,$NJ73),0,$QF73,$QG73,$QF73+$QG73))</f>
        <v/>
      </c>
      <c r="QI73" s="161">
        <f>IF($NJ73=0,0,CHOOSE(1+INDEX('DADOS_FORMAS'!$GH$2:$GH$21,$NJ73),0,$QF73,$QG73,$QF73+$QG73))</f>
        <v/>
      </c>
      <c r="QJ73" s="161">
        <f>IF(OR($ND73=0,$NJ73=0),"",INDEX('DADOS_FORMAS'!$HU$2:$HZ$81,($NJ73-1)*4+IF($MS73=0,1,IF($MS73&lt;=5,2,IF($MS73=6,3,4))),1+MIN(5,$QH73))&amp;INDEX('DADOS_FORMAS'!$IA$2:$IF$81,($NJ73-1)*4+IF($MS73=0,1,IF($MS73&lt;=5,2,IF($MS73=6,3,4))),1+MIN(5,$QI73))&amp;IF(INDEX('DADOS_FORMAS'!$GI$2:$GI$21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c r="RO73">
        <f>IFERROR(INDEX('DADOS_FORMAS'!$BJ$2:$BJ$21,MATCH(SUBSTITUTE(SUBSTITUTE(SUBSTITUTE($MU73,"~","~~"),"*","~*"),"?","~?"),'DADOS_FORMAS'!$AH$2:$AH$21,0)),"")</f>
        <v/>
      </c>
      <c r="RP73">
        <f>IFERROR(VLOOKUP(SUBSTITUTE(SUBSTITUTE(SUBSTITUTE(IFERROR(INDEX('DADOS_FORMAS'!$AS$2:$AS$21,MATCH(SUBSTITUTE(SUBSTITUTE(SUBSTITUTE($MU73,"~","~~"),"*","~*"),"?","~?"),'DADOS_FORMAS'!$AH$2:$AH$21,0)),""),"~","~~"),"*","~*"),"?","~?"),'DADOS_RESTRICOES'!$M$2:$Q$54,2,FALSE),"")</f>
        <v/>
      </c>
      <c r="RQ73">
        <f>$OK73</f>
        <v/>
      </c>
      <c r="RR73">
        <f>$OL73</f>
        <v/>
      </c>
      <c r="RS73">
        <f>$RP73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IFERROR(MATCH(SUBSTITUTE(SUBSTITUTE(SUBSTITUTE($MU74,"~","~~"),"*","~*"),"?","~?"),'DADOS_FORMAS'!$FZ$2:$FZ$21,0),0)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IF($MS74=0,0,IF($NJ74=0,0,INDEX('DADOS_FORMAS'!$GB$2:$GB$21,$NJ74)))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IF($NJ74=0,0,IF(INDEX('DADOS_FORMAS'!$GA$2:$GA$21,$NJ74)="",0,IF((COUNTIF(INDEX($EL$2:$EP$13,$MO74,0),INDEX('DADOS_FORMAS'!$GA$2:$GA$21,$NJ74))+COUNTIF(INDEX($QV$2:$QY$13,$MO74,0),INDEX('DADOS_FORMAS'!$GA$2:$GA$21,$NJ74)))=0,1,0)))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IFERROR(N(AND(INDEX('DADOS_FORMAS'!$AO$2:$AO$21,MATCH(SUBSTITUTE(SUBSTITUTE(SUBSTITUTE($MU74,"~","~~"),"*","~*"),"?","~?"),'DADOS_FORMAS'!$AH$2:$AH$21,0))="Acerto",$OH74=1)),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IF($NJ74=0,0,INDEX('DADOS_FORMAS'!$GC$2:$GC$21,$NJ74))</f>
        <v/>
      </c>
      <c r="OG74" s="161">
        <f>IF($NJ74=0,0,INDEX('DADOS_FORMAS'!$GD$2:$GD$21,$NJ74))</f>
        <v/>
      </c>
      <c r="OH74" s="161">
        <f>IF($NJ74=0,0,INDEX('DADOS_FORMAS'!$GF$2:$GF$21,$NJ74))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IF(IFERROR(INDEX('DADOS_FORMAS'!$AS$2:$AS$21,MATCH(SUBSTITUTE(SUBSTITUTE(SUBSTITUTE($MU74,"~","~~"),"*","~*"),"?","~?"),'DADOS_FORMAS'!$AH$2:$AH$21,0)),"")="",0,IFERROR(N(VLOOKUP(SUBSTITUTE(SUBSTITUTE(SUBSTITUTE(IFERROR(INDEX('DADOS_FORMAS'!$AS$2:$AS$21,MATCH(SUBSTITUTE(SUBSTITUTE(SUBSTITUTE($MU74,"~","~~"),"*","~*"),"?","~?"),'DADOS_FORMAS'!$AH$2:$AH$21,0)),""),"~","~~"),"*","~*"),"?","~?"),'DADOS_RESTRICOES'!$M$2:$Q$54,3,FALSE)=1),0))</f>
        <v/>
      </c>
      <c r="OT74" s="161">
        <f>COUNTIF($OI74:$OJ74,2)+IF(IFERROR(INDEX('DADOS_FORMAS'!$AS$2:$AS$21,MATCH(SUBSTITUTE(SUBSTITUTE(SUBSTITUTE($MU74,"~","~~"),"*","~*"),"?","~?"),'DADOS_FORMAS'!$AH$2:$AH$21,0)),"")="",0,IFERROR(N(VLOOKUP(SUBSTITUTE(SUBSTITUTE(SUBSTITUTE(IFERROR(INDEX('DADOS_FORMAS'!$AS$2:$AS$21,MATCH(SUBSTITUTE(SUBSTITUTE(SUBSTITUTE($MU74,"~","~~"),"*","~*"),"?","~?"),'DADOS_FORMAS'!$AH$2:$AH$21,0)),""),"~","~~"),"*","~*"),"?","~?"),'DADOS_RESTRICOES'!$M$2:$Q$54,3,FALSE)=2),0))</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",TRUE,IF($ND74=0,"",TEXTJOIN(" · ",TRUE,IF($MQ74&gt;$NE74,"Este lugar abre no nível "&amp;$MQ74,""),IF($MS74&gt;$NF74,"Classe "&amp;$MS74&amp;": o nível "&amp;$NE74&amp;" libera até a "&amp;$NF74,""),IF($NX74=1,"A Forma "&amp;$MU74&amp;" pede "&amp;INDEX('DADOS_FORMAS'!$GA$2:$GA$21,$NJ74)&amp;" aberta",""),IF(AND($MS74=0,$NJ74&gt;0,IF($NJ74=0,0,INDEX('DADOS_FORMAS'!$GJ$2:$GJ$21,$NJ74))=0),$MU74&amp;"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Corpo")&gt;0,$OF74=0,OR($RO74="Cone",$RO74="Linha")),"Corpo a Corpo não entra em "&amp;$MU74,""),IF(AND(COUNTIF($OK74:$OL74,"Corpo a Corpo")&gt;0,$RP74="Corpo a Corpo"),"A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"&amp;$NC74,""))),IF(AND($MU74&lt;&gt;"",COUNTIF('DADOS_FORMAS'!$AH$2:$AH$21,SUBSTITUTE(SUBSTITUTE(SUBSTITUTE($MU74,"~","~~"),"*","~*"),"?","~?"))=0),"Forma não cadastrada ou com erro: "&amp;$MU74,""),IF(AND(IFERROR(INDEX('DADOS_FORMAS'!$AS$2:$AS$21,MATCH(SUBSTITUTE(SUBSTITUTE(SUBSTITUTE($MU74,"~","~~"),"*","~*"),"?","~?"),'DADOS_FORMAS'!$AH$2:$AH$21,0)),"")&lt;&gt;"",OR(IFERROR(VLOOKUP(SUBSTITUTE(SUBSTITUTE(SUBSTITUTE(IFERROR(INDEX('DADOS_FORMAS'!$AS$2:$AS$21,MATCH(SUBSTITUTE(SUBSTITUTE(SUBSTITUTE($MU74,"~","~~"),"*","~*"),"?","~?"),'DADOS_FORMAS'!$AH$2:$AH$21,0)),""),"~","~~"),"*","~*"),"?","~?"),'DADOS_RESTRICOES'!$M$2:$Q$54,2,FALSE),"")=$OK74,IFERROR(VLOOKUP(SUBSTITUTE(SUBSTITUTE(SUBSTITUTE(IFERROR(INDEX('DADOS_FORMAS'!$AS$2:$AS$21,MATCH(SUBSTITUTE(SUBSTITUTE(SUBSTITUTE($MU74,"~","~~"),"*","~*"),"?","~?"),'DADOS_FORMAS'!$AH$2:$AH$21,0)),""),"~","~~"),"*","~*"),"?","~?"),'DADOS_RESTRICOES'!$M$2:$Q$54,2,FALSE),"")=$OL74)),"Restrição repetida, contando a embutida",""),IF(IF(IFERROR(INDEX('DADOS_FORMAS'!$AS$2:$AS$21,MATCH(SUBSTITUTE(SUBSTITUTE(SUBSTITUTE($MU74,"~","~~"),"*","~*"),"?","~?"),'DADOS_FORMAS'!$AH$2:$AH$21,0)),"")="",0,IFERROR(N(VLOOKUP(SUBSTITUTE(SUBSTITUTE(SUBSTITUTE(IFERROR(INDEX('DADOS_FORMAS'!$AS$2:$AS$21,MATCH(SUBSTITUTE(SUBSTITUTE(SUBSTITUTE($MU74,"~","~~"),"*","~*"),"?","~?"),'DADOS_FORMAS'!$AH$2:$AH$21,0)),""),"~","~~"),"*","~*"),"?","~?"),'DADOS_RESTRICOES'!$M$2:$Q$54,4,FALSE)=1),0))+IF($NB74="",0,IFERROR(N(VLOOKUP(SUBSTITUTE(SUBSTITUTE(SUBSTITUTE($NB74,"~","~~"),"*","~*"),"?","~?"),'DADOS_RESTRICOES'!$M$2:$Q$54,4,FALSE)=1),0))+IF($NC74="",0,IFERROR(N(VLOOKUP(SUBSTITUTE(SUBSTITUTE(SUBSTITUTE($NC74,"~","~~"),"*","~*"),"?","~?"),'DADOS_RESTRICOES'!$M$2:$Q$54,4,FALSE)=1),0))&gt;1,"Duas Restrições de frequência, contando a embutida",""),IF(AND(IFERROR(VLOOKUP(SUBSTITUTE(SUBSTITUTE(SUBSTITUTE(IFERROR(INDEX('DADOS_FORMAS'!$AS$2:$AS$21,MATCH(SUBSTITUTE(SUBSTITUTE(SUBSTITUTE($MU74,"~","~~"),"*","~*"),"?","~?"),'DADOS_FORMAS'!$AH$2:$AH$21,0)),""),"~","~~"),"*","~*"),"?","~?"),'DADOS_RESTRICOES'!$M$2:$Q$54,2,FALSE),"")="Tudo ou Nada",$OH74=0),"Tudo ou Nada exige TR",""),IF(AND(IFERROR(VLOOKUP(SUBSTITUTE(SUBSTITUTE(SUBSTITUTE(IFERROR(INDEX('DADOS_FORMAS'!$AS$2:$AS$21,MATCH(SUBSTITUTE(SUBSTITUTE(SUBSTITUTE($MU74,"~","~~"),"*","~*"),"?","~?"),'DADOS_FORMAS'!$AH$2:$AH$21,0)),""),"~","~~"),"*","~*"),"?","~?"),'DADOS_RESTRICOES'!$M$2:$Q$54,2,FALSE),"")="Corpo a Corpo",OR($RO74="Cone",$RO74="Linha")),"Corpo a Corpo não entra em Cone/Linha","")))</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dela",IF(COUNTIF($RQ74:$RS74,"Atrasar")&gt;0,"Sua Ação Completa",IF(COUNTIF($RK74:$RN74,"Rápido")&gt;0,"Sua Bônus",IF(COUNTIF($RK74:$RN74,"Reação")&gt;0,"Sua Reação","Sua Padrão")))&amp;" + a básica dela"&amp;IF(COUNTIF($RK74:$RN74,"Reação")&gt;0," e a coletiva","")&amp;IF(COUNTIF($RQ74:$RS74,"Carregar")&gt;0," · em dois turnos","")))</f>
        <v/>
      </c>
      <c r="QC74" s="161">
        <f>IF($MW74&lt;&gt;"",$MW74,IF($NJ74=0,"",INDEX('DADOS_FORMAS'!$GE$2:$GE$21,$NJ74)))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IF($NJ74=0,0,CHOOSE(1+INDEX('DADOS_FORMAS'!$GG$2:$GG$21,$NJ74),0,$QF74,$QG74,$QF74+$QG74))</f>
        <v/>
      </c>
      <c r="QI74" s="161">
        <f>IF($NJ74=0,0,CHOOSE(1+INDEX('DADOS_FORMAS'!$GH$2:$GH$21,$NJ74),0,$QF74,$QG74,$QF74+$QG74))</f>
        <v/>
      </c>
      <c r="QJ74" s="161">
        <f>IF(OR($ND74=0,$NJ74=0),"",INDEX('DADOS_FORMAS'!$HU$2:$HZ$81,($NJ74-1)*4+IF($MS74=0,1,IF($MS74&lt;=5,2,IF($MS74=6,3,4))),1+MIN(5,$QH74))&amp;INDEX('DADOS_FORMAS'!$IA$2:$IF$81,($NJ74-1)*4+IF($MS74=0,1,IF($MS74&lt;=5,2,IF($MS74=6,3,4))),1+MIN(5,$QI74))&amp;IF(INDEX('DADOS_FORMAS'!$GI$2:$GI$21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c r="RO74">
        <f>IFERROR(INDEX('DADOS_FORMAS'!$BJ$2:$BJ$21,MATCH(SUBSTITUTE(SUBSTITUTE(SUBSTITUTE($MU74,"~","~~"),"*","~*"),"?","~?"),'DADOS_FORMAS'!$AH$2:$AH$21,0)),"")</f>
        <v/>
      </c>
      <c r="RP74">
        <f>IFERROR(VLOOKUP(SUBSTITUTE(SUBSTITUTE(SUBSTITUTE(IFERROR(INDEX('DADOS_FORMAS'!$AS$2:$AS$21,MATCH(SUBSTITUTE(SUBSTITUTE(SUBSTITUTE($MU74,"~","~~"),"*","~*"),"?","~?"),'DADOS_FORMAS'!$AH$2:$AH$21,0)),""),"~","~~"),"*","~*"),"?","~?"),'DADOS_RESTRICOES'!$M$2:$Q$54,2,FALSE),"")</f>
        <v/>
      </c>
      <c r="RQ74">
        <f>$OK74</f>
        <v/>
      </c>
      <c r="RR74">
        <f>$OL74</f>
        <v/>
      </c>
      <c r="RS74">
        <f>$RP74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IFERROR(MATCH(SUBSTITUTE(SUBSTITUTE(SUBSTITUTE($MU75,"~","~~"),"*","~*"),"?","~?"),'DADOS_FORMAS'!$FZ$2:$FZ$21,0),0)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IF($MS75=0,0,IF($NJ75=0,0,INDEX('DADOS_FORMAS'!$GB$2:$GB$21,$NJ75)))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IF($NJ75=0,0,IF(INDEX('DADOS_FORMAS'!$GA$2:$GA$21,$NJ75)="",0,IF((COUNTIF(INDEX($EL$2:$EP$13,$MO75,0),INDEX('DADOS_FORMAS'!$GA$2:$GA$21,$NJ75))+COUNTIF(INDEX($QV$2:$QY$13,$MO75,0),INDEX('DADOS_FORMAS'!$GA$2:$GA$21,$NJ75)))=0,1,0)))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IFERROR(N(AND(INDEX('DADOS_FORMAS'!$AO$2:$AO$21,MATCH(SUBSTITUTE(SUBSTITUTE(SUBSTITUTE($MU75,"~","~~"),"*","~*"),"?","~?"),'DADOS_FORMAS'!$AH$2:$AH$21,0))="Acerto",$OH75=1)),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IF($NJ75=0,0,INDEX('DADOS_FORMAS'!$GC$2:$GC$21,$NJ75))</f>
        <v/>
      </c>
      <c r="OG75" s="161">
        <f>IF($NJ75=0,0,INDEX('DADOS_FORMAS'!$GD$2:$GD$21,$NJ75))</f>
        <v/>
      </c>
      <c r="OH75" s="161">
        <f>IF($NJ75=0,0,INDEX('DADOS_FORMAS'!$GF$2:$GF$21,$NJ75))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IF(IFERROR(INDEX('DADOS_FORMAS'!$AS$2:$AS$21,MATCH(SUBSTITUTE(SUBSTITUTE(SUBSTITUTE($MU75,"~","~~"),"*","~*"),"?","~?"),'DADOS_FORMAS'!$AH$2:$AH$21,0)),"")="",0,IFERROR(N(VLOOKUP(SUBSTITUTE(SUBSTITUTE(SUBSTITUTE(IFERROR(INDEX('DADOS_FORMAS'!$AS$2:$AS$21,MATCH(SUBSTITUTE(SUBSTITUTE(SUBSTITUTE($MU75,"~","~~"),"*","~*"),"?","~?"),'DADOS_FORMAS'!$AH$2:$AH$21,0)),""),"~","~~"),"*","~*"),"?","~?"),'DADOS_RESTRICOES'!$M$2:$Q$54,3,FALSE)=1),0))</f>
        <v/>
      </c>
      <c r="OT75" s="161">
        <f>COUNTIF($OI75:$OJ75,2)+IF(IFERROR(INDEX('DADOS_FORMAS'!$AS$2:$AS$21,MATCH(SUBSTITUTE(SUBSTITUTE(SUBSTITUTE($MU75,"~","~~"),"*","~*"),"?","~?"),'DADOS_FORMAS'!$AH$2:$AH$21,0)),"")="",0,IFERROR(N(VLOOKUP(SUBSTITUTE(SUBSTITUTE(SUBSTITUTE(IFERROR(INDEX('DADOS_FORMAS'!$AS$2:$AS$21,MATCH(SUBSTITUTE(SUBSTITUTE(SUBSTITUTE($MU75,"~","~~"),"*","~*"),"?","~?"),'DADOS_FORMAS'!$AH$2:$AH$21,0)),""),"~","~~"),"*","~*"),"?","~?"),'DADOS_RESTRICOES'!$M$2:$Q$54,3,FALSE)=2),0))</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",TRUE,IF($ND75=0,"",TEXTJOIN(" · ",TRUE,IF($MQ75&gt;$NE75,"Este lugar abre no nível "&amp;$MQ75,""),IF($MS75&gt;$NF75,"Classe "&amp;$MS75&amp;": o nível "&amp;$NE75&amp;" libera até a "&amp;$NF75,""),IF($NX75=1,"A Forma "&amp;$MU75&amp;" pede "&amp;INDEX('DADOS_FORMAS'!$GA$2:$GA$21,$NJ75)&amp;" aberta",""),IF(AND($MS75=0,$NJ75&gt;0,IF($NJ75=0,0,INDEX('DADOS_FORMAS'!$GJ$2:$GJ$21,$NJ75))=0),$MU75&amp;"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Corpo")&gt;0,$OF75=0,OR($RO75="Cone",$RO75="Linha")),"Corpo a Corpo não entra em "&amp;$MU75,""),IF(AND(COUNTIF($OK75:$OL75,"Corpo a Corpo")&gt;0,$RP75="Corpo a Corpo"),"A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"&amp;$NC75,""))),IF(AND($MU75&lt;&gt;"",COUNTIF('DADOS_FORMAS'!$AH$2:$AH$21,SUBSTITUTE(SUBSTITUTE(SUBSTITUTE($MU75,"~","~~"),"*","~*"),"?","~?"))=0),"Forma não cadastrada ou com erro: "&amp;$MU75,""),IF(AND(IFERROR(INDEX('DADOS_FORMAS'!$AS$2:$AS$21,MATCH(SUBSTITUTE(SUBSTITUTE(SUBSTITUTE($MU75,"~","~~"),"*","~*"),"?","~?"),'DADOS_FORMAS'!$AH$2:$AH$21,0)),"")&lt;&gt;"",OR(IFERROR(VLOOKUP(SUBSTITUTE(SUBSTITUTE(SUBSTITUTE(IFERROR(INDEX('DADOS_FORMAS'!$AS$2:$AS$21,MATCH(SUBSTITUTE(SUBSTITUTE(SUBSTITUTE($MU75,"~","~~"),"*","~*"),"?","~?"),'DADOS_FORMAS'!$AH$2:$AH$21,0)),""),"~","~~"),"*","~*"),"?","~?"),'DADOS_RESTRICOES'!$M$2:$Q$54,2,FALSE),"")=$OK75,IFERROR(VLOOKUP(SUBSTITUTE(SUBSTITUTE(SUBSTITUTE(IFERROR(INDEX('DADOS_FORMAS'!$AS$2:$AS$21,MATCH(SUBSTITUTE(SUBSTITUTE(SUBSTITUTE($MU75,"~","~~"),"*","~*"),"?","~?"),'DADOS_FORMAS'!$AH$2:$AH$21,0)),""),"~","~~"),"*","~*"),"?","~?"),'DADOS_RESTRICOES'!$M$2:$Q$54,2,FALSE),"")=$OL75)),"Restrição repetida, contando a embutida",""),IF(IF(IFERROR(INDEX('DADOS_FORMAS'!$AS$2:$AS$21,MATCH(SUBSTITUTE(SUBSTITUTE(SUBSTITUTE($MU75,"~","~~"),"*","~*"),"?","~?"),'DADOS_FORMAS'!$AH$2:$AH$21,0)),"")="",0,IFERROR(N(VLOOKUP(SUBSTITUTE(SUBSTITUTE(SUBSTITUTE(IFERROR(INDEX('DADOS_FORMAS'!$AS$2:$AS$21,MATCH(SUBSTITUTE(SUBSTITUTE(SUBSTITUTE($MU75,"~","~~"),"*","~*"),"?","~?"),'DADOS_FORMAS'!$AH$2:$AH$21,0)),""),"~","~~"),"*","~*"),"?","~?"),'DADOS_RESTRICOES'!$M$2:$Q$54,4,FALSE)=1),0))+IF($NB75="",0,IFERROR(N(VLOOKUP(SUBSTITUTE(SUBSTITUTE(SUBSTITUTE($NB75,"~","~~"),"*","~*"),"?","~?"),'DADOS_RESTRICOES'!$M$2:$Q$54,4,FALSE)=1),0))+IF($NC75="",0,IFERROR(N(VLOOKUP(SUBSTITUTE(SUBSTITUTE(SUBSTITUTE($NC75,"~","~~"),"*","~*"),"?","~?"),'DADOS_RESTRICOES'!$M$2:$Q$54,4,FALSE)=1),0))&gt;1,"Duas Restrições de frequência, contando a embutida",""),IF(AND(IFERROR(VLOOKUP(SUBSTITUTE(SUBSTITUTE(SUBSTITUTE(IFERROR(INDEX('DADOS_FORMAS'!$AS$2:$AS$21,MATCH(SUBSTITUTE(SUBSTITUTE(SUBSTITUTE($MU75,"~","~~"),"*","~*"),"?","~?"),'DADOS_FORMAS'!$AH$2:$AH$21,0)),""),"~","~~"),"*","~*"),"?","~?"),'DADOS_RESTRICOES'!$M$2:$Q$54,2,FALSE),"")="Tudo ou Nada",$OH75=0),"Tudo ou Nada exige TR",""),IF(AND(IFERROR(VLOOKUP(SUBSTITUTE(SUBSTITUTE(SUBSTITUTE(IFERROR(INDEX('DADOS_FORMAS'!$AS$2:$AS$21,MATCH(SUBSTITUTE(SUBSTITUTE(SUBSTITUTE($MU75,"~","~~"),"*","~*"),"?","~?"),'DADOS_FORMAS'!$AH$2:$AH$21,0)),""),"~","~~"),"*","~*"),"?","~?"),'DADOS_RESTRICOES'!$M$2:$Q$54,2,FALSE),"")="Corpo a Corpo",OR($RO75="Cone",$RO75="Linha")),"Corpo a Corpo não entra em Cone/Linha","")))</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dela",IF(COUNTIF($RQ75:$RS75,"Atrasar")&gt;0,"Sua Ação Completa",IF(COUNTIF($RK75:$RN75,"Rápido")&gt;0,"Sua Bônus",IF(COUNTIF($RK75:$RN75,"Reação")&gt;0,"Sua Reação","Sua Padrão")))&amp;" + a básica dela"&amp;IF(COUNTIF($RK75:$RN75,"Reação")&gt;0," e a coletiva","")&amp;IF(COUNTIF($RQ75:$RS75,"Carregar")&gt;0," · em dois turnos","")))</f>
        <v/>
      </c>
      <c r="QC75" s="161">
        <f>IF($MW75&lt;&gt;"",$MW75,IF($NJ75=0,"",INDEX('DADOS_FORMAS'!$GE$2:$GE$21,$NJ75)))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IF($NJ75=0,0,CHOOSE(1+INDEX('DADOS_FORMAS'!$GG$2:$GG$21,$NJ75),0,$QF75,$QG75,$QF75+$QG75))</f>
        <v/>
      </c>
      <c r="QI75" s="161">
        <f>IF($NJ75=0,0,CHOOSE(1+INDEX('DADOS_FORMAS'!$GH$2:$GH$21,$NJ75),0,$QF75,$QG75,$QF75+$QG75))</f>
        <v/>
      </c>
      <c r="QJ75" s="161">
        <f>IF(OR($ND75=0,$NJ75=0),"",INDEX('DADOS_FORMAS'!$HU$2:$HZ$81,($NJ75-1)*4+IF($MS75=0,1,IF($MS75&lt;=5,2,IF($MS75=6,3,4))),1+MIN(5,$QH75))&amp;INDEX('DADOS_FORMAS'!$IA$2:$IF$81,($NJ75-1)*4+IF($MS75=0,1,IF($MS75&lt;=5,2,IF($MS75=6,3,4))),1+MIN(5,$QI75))&amp;IF(INDEX('DADOS_FORMAS'!$GI$2:$GI$21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c r="RO75">
        <f>IFERROR(INDEX('DADOS_FORMAS'!$BJ$2:$BJ$21,MATCH(SUBSTITUTE(SUBSTITUTE(SUBSTITUTE($MU75,"~","~~"),"*","~*"),"?","~?"),'DADOS_FORMAS'!$AH$2:$AH$21,0)),"")</f>
        <v/>
      </c>
      <c r="RP75">
        <f>IFERROR(VLOOKUP(SUBSTITUTE(SUBSTITUTE(SUBSTITUTE(IFERROR(INDEX('DADOS_FORMAS'!$AS$2:$AS$21,MATCH(SUBSTITUTE(SUBSTITUTE(SUBSTITUTE($MU75,"~","~~"),"*","~*"),"?","~?"),'DADOS_FORMAS'!$AH$2:$AH$21,0)),""),"~","~~"),"*","~*"),"?","~?"),'DADOS_RESTRICOES'!$M$2:$Q$54,2,FALSE),"")</f>
        <v/>
      </c>
      <c r="RQ75">
        <f>$OK75</f>
        <v/>
      </c>
      <c r="RR75">
        <f>$OL75</f>
        <v/>
      </c>
      <c r="RS75">
        <f>$RP75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IFERROR(MATCH(SUBSTITUTE(SUBSTITUTE(SUBSTITUTE($MU76,"~","~~"),"*","~*"),"?","~?"),'DADOS_FORMAS'!$FZ$2:$FZ$21,0),0)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IF($MS76=0,0,IF($NJ76=0,0,INDEX('DADOS_FORMAS'!$GB$2:$GB$21,$NJ76)))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IF($NJ76=0,0,IF(INDEX('DADOS_FORMAS'!$GA$2:$GA$21,$NJ76)="",0,IF((COUNTIF(INDEX($EL$2:$EP$13,$MO76,0),INDEX('DADOS_FORMAS'!$GA$2:$GA$21,$NJ76))+COUNTIF(INDEX($QV$2:$QY$13,$MO76,0),INDEX('DADOS_FORMAS'!$GA$2:$GA$21,$NJ76)))=0,1,0)))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IFERROR(N(AND(INDEX('DADOS_FORMAS'!$AO$2:$AO$21,MATCH(SUBSTITUTE(SUBSTITUTE(SUBSTITUTE($MU76,"~","~~"),"*","~*"),"?","~?"),'DADOS_FORMAS'!$AH$2:$AH$21,0))="Acerto",$OH76=1)),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IF($NJ76=0,0,INDEX('DADOS_FORMAS'!$GC$2:$GC$21,$NJ76))</f>
        <v/>
      </c>
      <c r="OG76" s="161">
        <f>IF($NJ76=0,0,INDEX('DADOS_FORMAS'!$GD$2:$GD$21,$NJ76))</f>
        <v/>
      </c>
      <c r="OH76" s="161">
        <f>IF($NJ76=0,0,INDEX('DADOS_FORMAS'!$GF$2:$GF$21,$NJ76))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IF(IFERROR(INDEX('DADOS_FORMAS'!$AS$2:$AS$21,MATCH(SUBSTITUTE(SUBSTITUTE(SUBSTITUTE($MU76,"~","~~"),"*","~*"),"?","~?"),'DADOS_FORMAS'!$AH$2:$AH$21,0)),"")="",0,IFERROR(N(VLOOKUP(SUBSTITUTE(SUBSTITUTE(SUBSTITUTE(IFERROR(INDEX('DADOS_FORMAS'!$AS$2:$AS$21,MATCH(SUBSTITUTE(SUBSTITUTE(SUBSTITUTE($MU76,"~","~~"),"*","~*"),"?","~?"),'DADOS_FORMAS'!$AH$2:$AH$21,0)),""),"~","~~"),"*","~*"),"?","~?"),'DADOS_RESTRICOES'!$M$2:$Q$54,3,FALSE)=1),0))</f>
        <v/>
      </c>
      <c r="OT76" s="161">
        <f>COUNTIF($OI76:$OJ76,2)+IF(IFERROR(INDEX('DADOS_FORMAS'!$AS$2:$AS$21,MATCH(SUBSTITUTE(SUBSTITUTE(SUBSTITUTE($MU76,"~","~~"),"*","~*"),"?","~?"),'DADOS_FORMAS'!$AH$2:$AH$21,0)),"")="",0,IFERROR(N(VLOOKUP(SUBSTITUTE(SUBSTITUTE(SUBSTITUTE(IFERROR(INDEX('DADOS_FORMAS'!$AS$2:$AS$21,MATCH(SUBSTITUTE(SUBSTITUTE(SUBSTITUTE($MU76,"~","~~"),"*","~*"),"?","~?"),'DADOS_FORMAS'!$AH$2:$AH$21,0)),""),"~","~~"),"*","~*"),"?","~?"),'DADOS_RESTRICOES'!$M$2:$Q$54,3,FALSE)=2),0))</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",TRUE,IF($ND76=0,"",TEXTJOIN(" · ",TRUE,IF($MQ76&gt;$NE76,"Este lugar abre no nível "&amp;$MQ76,""),IF($MS76&gt;$NF76,"Classe "&amp;$MS76&amp;": o nível "&amp;$NE76&amp;" libera até a "&amp;$NF76,""),IF($NX76=1,"A Forma "&amp;$MU76&amp;" pede "&amp;INDEX('DADOS_FORMAS'!$GA$2:$GA$21,$NJ76)&amp;" aberta",""),IF(AND($MS76=0,$NJ76&gt;0,IF($NJ76=0,0,INDEX('DADOS_FORMAS'!$GJ$2:$GJ$21,$NJ76))=0),$MU76&amp;"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Corpo")&gt;0,$OF76=0,OR($RO76="Cone",$RO76="Linha")),"Corpo a Corpo não entra em "&amp;$MU76,""),IF(AND(COUNTIF($OK76:$OL76,"Corpo a Corpo")&gt;0,$RP76="Corpo a Corpo"),"A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"&amp;$NC76,""))),IF(AND($MU76&lt;&gt;"",COUNTIF('DADOS_FORMAS'!$AH$2:$AH$21,SUBSTITUTE(SUBSTITUTE(SUBSTITUTE($MU76,"~","~~"),"*","~*"),"?","~?"))=0),"Forma não cadastrada ou com erro: "&amp;$MU76,""),IF(AND(IFERROR(INDEX('DADOS_FORMAS'!$AS$2:$AS$21,MATCH(SUBSTITUTE(SUBSTITUTE(SUBSTITUTE($MU76,"~","~~"),"*","~*"),"?","~?"),'DADOS_FORMAS'!$AH$2:$AH$21,0)),"")&lt;&gt;"",OR(IFERROR(VLOOKUP(SUBSTITUTE(SUBSTITUTE(SUBSTITUTE(IFERROR(INDEX('DADOS_FORMAS'!$AS$2:$AS$21,MATCH(SUBSTITUTE(SUBSTITUTE(SUBSTITUTE($MU76,"~","~~"),"*","~*"),"?","~?"),'DADOS_FORMAS'!$AH$2:$AH$21,0)),""),"~","~~"),"*","~*"),"?","~?"),'DADOS_RESTRICOES'!$M$2:$Q$54,2,FALSE),"")=$OK76,IFERROR(VLOOKUP(SUBSTITUTE(SUBSTITUTE(SUBSTITUTE(IFERROR(INDEX('DADOS_FORMAS'!$AS$2:$AS$21,MATCH(SUBSTITUTE(SUBSTITUTE(SUBSTITUTE($MU76,"~","~~"),"*","~*"),"?","~?"),'DADOS_FORMAS'!$AH$2:$AH$21,0)),""),"~","~~"),"*","~*"),"?","~?"),'DADOS_RESTRICOES'!$M$2:$Q$54,2,FALSE),"")=$OL76)),"Restrição repetida, contando a embutida",""),IF(IF(IFERROR(INDEX('DADOS_FORMAS'!$AS$2:$AS$21,MATCH(SUBSTITUTE(SUBSTITUTE(SUBSTITUTE($MU76,"~","~~"),"*","~*"),"?","~?"),'DADOS_FORMAS'!$AH$2:$AH$21,0)),"")="",0,IFERROR(N(VLOOKUP(SUBSTITUTE(SUBSTITUTE(SUBSTITUTE(IFERROR(INDEX('DADOS_FORMAS'!$AS$2:$AS$21,MATCH(SUBSTITUTE(SUBSTITUTE(SUBSTITUTE($MU76,"~","~~"),"*","~*"),"?","~?"),'DADOS_FORMAS'!$AH$2:$AH$21,0)),""),"~","~~"),"*","~*"),"?","~?"),'DADOS_RESTRICOES'!$M$2:$Q$54,4,FALSE)=1),0))+IF($NB76="",0,IFERROR(N(VLOOKUP(SUBSTITUTE(SUBSTITUTE(SUBSTITUTE($NB76,"~","~~"),"*","~*"),"?","~?"),'DADOS_RESTRICOES'!$M$2:$Q$54,4,FALSE)=1),0))+IF($NC76="",0,IFERROR(N(VLOOKUP(SUBSTITUTE(SUBSTITUTE(SUBSTITUTE($NC76,"~","~~"),"*","~*"),"?","~?"),'DADOS_RESTRICOES'!$M$2:$Q$54,4,FALSE)=1),0))&gt;1,"Duas Restrições de frequência, contando a embutida",""),IF(AND(IFERROR(VLOOKUP(SUBSTITUTE(SUBSTITUTE(SUBSTITUTE(IFERROR(INDEX('DADOS_FORMAS'!$AS$2:$AS$21,MATCH(SUBSTITUTE(SUBSTITUTE(SUBSTITUTE($MU76,"~","~~"),"*","~*"),"?","~?"),'DADOS_FORMAS'!$AH$2:$AH$21,0)),""),"~","~~"),"*","~*"),"?","~?"),'DADOS_RESTRICOES'!$M$2:$Q$54,2,FALSE),"")="Tudo ou Nada",$OH76=0),"Tudo ou Nada exige TR",""),IF(AND(IFERROR(VLOOKUP(SUBSTITUTE(SUBSTITUTE(SUBSTITUTE(IFERROR(INDEX('DADOS_FORMAS'!$AS$2:$AS$21,MATCH(SUBSTITUTE(SUBSTITUTE(SUBSTITUTE($MU76,"~","~~"),"*","~*"),"?","~?"),'DADOS_FORMAS'!$AH$2:$AH$21,0)),""),"~","~~"),"*","~*"),"?","~?"),'DADOS_RESTRICOES'!$M$2:$Q$54,2,FALSE),"")="Corpo a Corpo",OR($RO76="Cone",$RO76="Linha")),"Corpo a Corpo não entra em Cone/Linha","")))</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dela",IF(COUNTIF($RQ76:$RS76,"Atrasar")&gt;0,"Sua Ação Completa",IF(COUNTIF($RK76:$RN76,"Rápido")&gt;0,"Sua Bônus",IF(COUNTIF($RK76:$RN76,"Reação")&gt;0,"Sua Reação","Sua Padrão")))&amp;" + a básica dela"&amp;IF(COUNTIF($RK76:$RN76,"Reação")&gt;0," e a coletiva","")&amp;IF(COUNTIF($RQ76:$RS76,"Carregar")&gt;0," · em dois turnos","")))</f>
        <v/>
      </c>
      <c r="QC76" s="161">
        <f>IF($MW76&lt;&gt;"",$MW76,IF($NJ76=0,"",INDEX('DADOS_FORMAS'!$GE$2:$GE$21,$NJ76)))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IF($NJ76=0,0,CHOOSE(1+INDEX('DADOS_FORMAS'!$GG$2:$GG$21,$NJ76),0,$QF76,$QG76,$QF76+$QG76))</f>
        <v/>
      </c>
      <c r="QI76" s="161">
        <f>IF($NJ76=0,0,CHOOSE(1+INDEX('DADOS_FORMAS'!$GH$2:$GH$21,$NJ76),0,$QF76,$QG76,$QF76+$QG76))</f>
        <v/>
      </c>
      <c r="QJ76" s="161">
        <f>IF(OR($ND76=0,$NJ76=0),"",INDEX('DADOS_FORMAS'!$HU$2:$HZ$81,($NJ76-1)*4+IF($MS76=0,1,IF($MS76&lt;=5,2,IF($MS76=6,3,4))),1+MIN(5,$QH76))&amp;INDEX('DADOS_FORMAS'!$IA$2:$IF$81,($NJ76-1)*4+IF($MS76=0,1,IF($MS76&lt;=5,2,IF($MS76=6,3,4))),1+MIN(5,$QI76))&amp;IF(INDEX('DADOS_FORMAS'!$GI$2:$GI$21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c r="RO76">
        <f>IFERROR(INDEX('DADOS_FORMAS'!$BJ$2:$BJ$21,MATCH(SUBSTITUTE(SUBSTITUTE(SUBSTITUTE($MU76,"~","~~"),"*","~*"),"?","~?"),'DADOS_FORMAS'!$AH$2:$AH$21,0)),"")</f>
        <v/>
      </c>
      <c r="RP76">
        <f>IFERROR(VLOOKUP(SUBSTITUTE(SUBSTITUTE(SUBSTITUTE(IFERROR(INDEX('DADOS_FORMAS'!$AS$2:$AS$21,MATCH(SUBSTITUTE(SUBSTITUTE(SUBSTITUTE($MU76,"~","~~"),"*","~*"),"?","~?"),'DADOS_FORMAS'!$AH$2:$AH$21,0)),""),"~","~~"),"*","~*"),"?","~?"),'DADOS_RESTRICOES'!$M$2:$Q$54,2,FALSE),"")</f>
        <v/>
      </c>
      <c r="RQ76">
        <f>$OK76</f>
        <v/>
      </c>
      <c r="RR76">
        <f>$OL76</f>
        <v/>
      </c>
      <c r="RS76">
        <f>$RP76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IFERROR(MATCH(SUBSTITUTE(SUBSTITUTE(SUBSTITUTE($MU77,"~","~~"),"*","~*"),"?","~?"),'DADOS_FORMAS'!$FZ$2:$FZ$21,0),0)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IF($MS77=0,0,IF($NJ77=0,0,INDEX('DADOS_FORMAS'!$GB$2:$GB$21,$NJ77)))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IF($NJ77=0,0,IF(INDEX('DADOS_FORMAS'!$GA$2:$GA$21,$NJ77)="",0,IF((COUNTIF(INDEX($EL$2:$EP$13,$MO77,0),INDEX('DADOS_FORMAS'!$GA$2:$GA$21,$NJ77))+COUNTIF(INDEX($QV$2:$QY$13,$MO77,0),INDEX('DADOS_FORMAS'!$GA$2:$GA$21,$NJ77)))=0,1,0)))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IFERROR(N(AND(INDEX('DADOS_FORMAS'!$AO$2:$AO$21,MATCH(SUBSTITUTE(SUBSTITUTE(SUBSTITUTE($MU77,"~","~~"),"*","~*"),"?","~?"),'DADOS_FORMAS'!$AH$2:$AH$21,0))="Acerto",$OH77=1)),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IF($NJ77=0,0,INDEX('DADOS_FORMAS'!$GC$2:$GC$21,$NJ77))</f>
        <v/>
      </c>
      <c r="OG77" s="161">
        <f>IF($NJ77=0,0,INDEX('DADOS_FORMAS'!$GD$2:$GD$21,$NJ77))</f>
        <v/>
      </c>
      <c r="OH77" s="161">
        <f>IF($NJ77=0,0,INDEX('DADOS_FORMAS'!$GF$2:$GF$21,$NJ77))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IF(IFERROR(INDEX('DADOS_FORMAS'!$AS$2:$AS$21,MATCH(SUBSTITUTE(SUBSTITUTE(SUBSTITUTE($MU77,"~","~~"),"*","~*"),"?","~?"),'DADOS_FORMAS'!$AH$2:$AH$21,0)),"")="",0,IFERROR(N(VLOOKUP(SUBSTITUTE(SUBSTITUTE(SUBSTITUTE(IFERROR(INDEX('DADOS_FORMAS'!$AS$2:$AS$21,MATCH(SUBSTITUTE(SUBSTITUTE(SUBSTITUTE($MU77,"~","~~"),"*","~*"),"?","~?"),'DADOS_FORMAS'!$AH$2:$AH$21,0)),""),"~","~~"),"*","~*"),"?","~?"),'DADOS_RESTRICOES'!$M$2:$Q$54,3,FALSE)=1),0))</f>
        <v/>
      </c>
      <c r="OT77" s="161">
        <f>COUNTIF($OI77:$OJ77,2)+IF(IFERROR(INDEX('DADOS_FORMAS'!$AS$2:$AS$21,MATCH(SUBSTITUTE(SUBSTITUTE(SUBSTITUTE($MU77,"~","~~"),"*","~*"),"?","~?"),'DADOS_FORMAS'!$AH$2:$AH$21,0)),"")="",0,IFERROR(N(VLOOKUP(SUBSTITUTE(SUBSTITUTE(SUBSTITUTE(IFERROR(INDEX('DADOS_FORMAS'!$AS$2:$AS$21,MATCH(SUBSTITUTE(SUBSTITUTE(SUBSTITUTE($MU77,"~","~~"),"*","~*"),"?","~?"),'DADOS_FORMAS'!$AH$2:$AH$21,0)),""),"~","~~"),"*","~*"),"?","~?"),'DADOS_RESTRICOES'!$M$2:$Q$54,3,FALSE)=2),0))</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",TRUE,IF($ND77=0,"",TEXTJOIN(" · ",TRUE,IF($MQ77&gt;$NE77,"Este lugar abre no nível "&amp;$MQ77,""),IF($MS77&gt;$NF77,"Classe "&amp;$MS77&amp;": o nível "&amp;$NE77&amp;" libera até a "&amp;$NF77,""),IF($NX77=1,"A Forma "&amp;$MU77&amp;" pede "&amp;INDEX('DADOS_FORMAS'!$GA$2:$GA$21,$NJ77)&amp;" aberta",""),IF(AND($MS77=0,$NJ77&gt;0,IF($NJ77=0,0,INDEX('DADOS_FORMAS'!$GJ$2:$GJ$21,$NJ77))=0),$MU77&amp;"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Corpo")&gt;0,$OF77=0,OR($RO77="Cone",$RO77="Linha")),"Corpo a Corpo não entra em "&amp;$MU77,""),IF(AND(COUNTIF($OK77:$OL77,"Corpo a Corpo")&gt;0,$RP77="Corpo a Corpo"),"A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"&amp;$NC77,""))),IF(AND($MU77&lt;&gt;"",COUNTIF('DADOS_FORMAS'!$AH$2:$AH$21,SUBSTITUTE(SUBSTITUTE(SUBSTITUTE($MU77,"~","~~"),"*","~*"),"?","~?"))=0),"Forma não cadastrada ou com erro: "&amp;$MU77,""),IF(AND(IFERROR(INDEX('DADOS_FORMAS'!$AS$2:$AS$21,MATCH(SUBSTITUTE(SUBSTITUTE(SUBSTITUTE($MU77,"~","~~"),"*","~*"),"?","~?"),'DADOS_FORMAS'!$AH$2:$AH$21,0)),"")&lt;&gt;"",OR(IFERROR(VLOOKUP(SUBSTITUTE(SUBSTITUTE(SUBSTITUTE(IFERROR(INDEX('DADOS_FORMAS'!$AS$2:$AS$21,MATCH(SUBSTITUTE(SUBSTITUTE(SUBSTITUTE($MU77,"~","~~"),"*","~*"),"?","~?"),'DADOS_FORMAS'!$AH$2:$AH$21,0)),""),"~","~~"),"*","~*"),"?","~?"),'DADOS_RESTRICOES'!$M$2:$Q$54,2,FALSE),"")=$OK77,IFERROR(VLOOKUP(SUBSTITUTE(SUBSTITUTE(SUBSTITUTE(IFERROR(INDEX('DADOS_FORMAS'!$AS$2:$AS$21,MATCH(SUBSTITUTE(SUBSTITUTE(SUBSTITUTE($MU77,"~","~~"),"*","~*"),"?","~?"),'DADOS_FORMAS'!$AH$2:$AH$21,0)),""),"~","~~"),"*","~*"),"?","~?"),'DADOS_RESTRICOES'!$M$2:$Q$54,2,FALSE),"")=$OL77)),"Restrição repetida, contando a embutida",""),IF(IF(IFERROR(INDEX('DADOS_FORMAS'!$AS$2:$AS$21,MATCH(SUBSTITUTE(SUBSTITUTE(SUBSTITUTE($MU77,"~","~~"),"*","~*"),"?","~?"),'DADOS_FORMAS'!$AH$2:$AH$21,0)),"")="",0,IFERROR(N(VLOOKUP(SUBSTITUTE(SUBSTITUTE(SUBSTITUTE(IFERROR(INDEX('DADOS_FORMAS'!$AS$2:$AS$21,MATCH(SUBSTITUTE(SUBSTITUTE(SUBSTITUTE($MU77,"~","~~"),"*","~*"),"?","~?"),'DADOS_FORMAS'!$AH$2:$AH$21,0)),""),"~","~~"),"*","~*"),"?","~?"),'DADOS_RESTRICOES'!$M$2:$Q$54,4,FALSE)=1),0))+IF($NB77="",0,IFERROR(N(VLOOKUP(SUBSTITUTE(SUBSTITUTE(SUBSTITUTE($NB77,"~","~~"),"*","~*"),"?","~?"),'DADOS_RESTRICOES'!$M$2:$Q$54,4,FALSE)=1),0))+IF($NC77="",0,IFERROR(N(VLOOKUP(SUBSTITUTE(SUBSTITUTE(SUBSTITUTE($NC77,"~","~~"),"*","~*"),"?","~?"),'DADOS_RESTRICOES'!$M$2:$Q$54,4,FALSE)=1),0))&gt;1,"Duas Restrições de frequência, contando a embutida",""),IF(AND(IFERROR(VLOOKUP(SUBSTITUTE(SUBSTITUTE(SUBSTITUTE(IFERROR(INDEX('DADOS_FORMAS'!$AS$2:$AS$21,MATCH(SUBSTITUTE(SUBSTITUTE(SUBSTITUTE($MU77,"~","~~"),"*","~*"),"?","~?"),'DADOS_FORMAS'!$AH$2:$AH$21,0)),""),"~","~~"),"*","~*"),"?","~?"),'DADOS_RESTRICOES'!$M$2:$Q$54,2,FALSE),"")="Tudo ou Nada",$OH77=0),"Tudo ou Nada exige TR",""),IF(AND(IFERROR(VLOOKUP(SUBSTITUTE(SUBSTITUTE(SUBSTITUTE(IFERROR(INDEX('DADOS_FORMAS'!$AS$2:$AS$21,MATCH(SUBSTITUTE(SUBSTITUTE(SUBSTITUTE($MU77,"~","~~"),"*","~*"),"?","~?"),'DADOS_FORMAS'!$AH$2:$AH$21,0)),""),"~","~~"),"*","~*"),"?","~?"),'DADOS_RESTRICOES'!$M$2:$Q$54,2,FALSE),"")="Corpo a Corpo",OR($RO77="Cone",$RO77="Linha")),"Corpo a Corpo não entra em Cone/Linha","")))</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dela",IF(COUNTIF($RQ77:$RS77,"Atrasar")&gt;0,"Sua Ação Completa",IF(COUNTIF($RK77:$RN77,"Rápido")&gt;0,"Sua Bônus",IF(COUNTIF($RK77:$RN77,"Reação")&gt;0,"Sua Reação","Sua Padrão")))&amp;" + a básica dela"&amp;IF(COUNTIF($RK77:$RN77,"Reação")&gt;0," e a coletiva","")&amp;IF(COUNTIF($RQ77:$RS77,"Carregar")&gt;0," · em dois turnos","")))</f>
        <v/>
      </c>
      <c r="QC77" s="161">
        <f>IF($MW77&lt;&gt;"",$MW77,IF($NJ77=0,"",INDEX('DADOS_FORMAS'!$GE$2:$GE$21,$NJ77)))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IF($NJ77=0,0,CHOOSE(1+INDEX('DADOS_FORMAS'!$GG$2:$GG$21,$NJ77),0,$QF77,$QG77,$QF77+$QG77))</f>
        <v/>
      </c>
      <c r="QI77" s="161">
        <f>IF($NJ77=0,0,CHOOSE(1+INDEX('DADOS_FORMAS'!$GH$2:$GH$21,$NJ77),0,$QF77,$QG77,$QF77+$QG77))</f>
        <v/>
      </c>
      <c r="QJ77" s="161">
        <f>IF(OR($ND77=0,$NJ77=0),"",INDEX('DADOS_FORMAS'!$HU$2:$HZ$81,($NJ77-1)*4+IF($MS77=0,1,IF($MS77&lt;=5,2,IF($MS77=6,3,4))),1+MIN(5,$QH77))&amp;INDEX('DADOS_FORMAS'!$IA$2:$IF$81,($NJ77-1)*4+IF($MS77=0,1,IF($MS77&lt;=5,2,IF($MS77=6,3,4))),1+MIN(5,$QI77))&amp;IF(INDEX('DADOS_FORMAS'!$GI$2:$GI$21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c r="RO77">
        <f>IFERROR(INDEX('DADOS_FORMAS'!$BJ$2:$BJ$21,MATCH(SUBSTITUTE(SUBSTITUTE(SUBSTITUTE($MU77,"~","~~"),"*","~*"),"?","~?"),'DADOS_FORMAS'!$AH$2:$AH$21,0)),"")</f>
        <v/>
      </c>
      <c r="RP77">
        <f>IFERROR(VLOOKUP(SUBSTITUTE(SUBSTITUTE(SUBSTITUTE(IFERROR(INDEX('DADOS_FORMAS'!$AS$2:$AS$21,MATCH(SUBSTITUTE(SUBSTITUTE(SUBSTITUTE($MU77,"~","~~"),"*","~*"),"?","~?"),'DADOS_FORMAS'!$AH$2:$AH$21,0)),""),"~","~~"),"*","~*"),"?","~?"),'DADOS_RESTRICOES'!$M$2:$Q$54,2,FALSE),"")</f>
        <v/>
      </c>
      <c r="RQ77">
        <f>$OK77</f>
        <v/>
      </c>
      <c r="RR77">
        <f>$OL77</f>
        <v/>
      </c>
      <c r="RS77">
        <f>$RP77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IFERROR(MATCH(SUBSTITUTE(SUBSTITUTE(SUBSTITUTE($MU78,"~","~~"),"*","~*"),"?","~?"),'DADOS_FORMAS'!$FZ$2:$FZ$21,0),0)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IF($MS78=0,0,IF($NJ78=0,0,INDEX('DADOS_FORMAS'!$GB$2:$GB$21,$NJ78)))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IF($NJ78=0,0,IF(INDEX('DADOS_FORMAS'!$GA$2:$GA$21,$NJ78)="",0,IF((COUNTIF(INDEX($EL$2:$EP$13,$MO78,0),INDEX('DADOS_FORMAS'!$GA$2:$GA$21,$NJ78))+COUNTIF(INDEX($QV$2:$QY$13,$MO78,0),INDEX('DADOS_FORMAS'!$GA$2:$GA$21,$NJ78)))=0,1,0)))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IFERROR(N(AND(INDEX('DADOS_FORMAS'!$AO$2:$AO$21,MATCH(SUBSTITUTE(SUBSTITUTE(SUBSTITUTE($MU78,"~","~~"),"*","~*"),"?","~?"),'DADOS_FORMAS'!$AH$2:$AH$21,0))="Acerto",$OH78=1)),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IF($NJ78=0,0,INDEX('DADOS_FORMAS'!$GC$2:$GC$21,$NJ78))</f>
        <v/>
      </c>
      <c r="OG78" s="161">
        <f>IF($NJ78=0,0,INDEX('DADOS_FORMAS'!$GD$2:$GD$21,$NJ78))</f>
        <v/>
      </c>
      <c r="OH78" s="161">
        <f>IF($NJ78=0,0,INDEX('DADOS_FORMAS'!$GF$2:$GF$21,$NJ78))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IF(IFERROR(INDEX('DADOS_FORMAS'!$AS$2:$AS$21,MATCH(SUBSTITUTE(SUBSTITUTE(SUBSTITUTE($MU78,"~","~~"),"*","~*"),"?","~?"),'DADOS_FORMAS'!$AH$2:$AH$21,0)),"")="",0,IFERROR(N(VLOOKUP(SUBSTITUTE(SUBSTITUTE(SUBSTITUTE(IFERROR(INDEX('DADOS_FORMAS'!$AS$2:$AS$21,MATCH(SUBSTITUTE(SUBSTITUTE(SUBSTITUTE($MU78,"~","~~"),"*","~*"),"?","~?"),'DADOS_FORMAS'!$AH$2:$AH$21,0)),""),"~","~~"),"*","~*"),"?","~?"),'DADOS_RESTRICOES'!$M$2:$Q$54,3,FALSE)=1),0))</f>
        <v/>
      </c>
      <c r="OT78" s="161">
        <f>COUNTIF($OI78:$OJ78,2)+IF(IFERROR(INDEX('DADOS_FORMAS'!$AS$2:$AS$21,MATCH(SUBSTITUTE(SUBSTITUTE(SUBSTITUTE($MU78,"~","~~"),"*","~*"),"?","~?"),'DADOS_FORMAS'!$AH$2:$AH$21,0)),"")="",0,IFERROR(N(VLOOKUP(SUBSTITUTE(SUBSTITUTE(SUBSTITUTE(IFERROR(INDEX('DADOS_FORMAS'!$AS$2:$AS$21,MATCH(SUBSTITUTE(SUBSTITUTE(SUBSTITUTE($MU78,"~","~~"),"*","~*"),"?","~?"),'DADOS_FORMAS'!$AH$2:$AH$21,0)),""),"~","~~"),"*","~*"),"?","~?"),'DADOS_RESTRICOES'!$M$2:$Q$54,3,FALSE)=2),0))</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",TRUE,IF($ND78=0,"",TEXTJOIN(" · ",TRUE,IF($MQ78&gt;$NE78,"Este lugar abre no nível "&amp;$MQ78,""),IF($MS78&gt;$NF78,"Classe "&amp;$MS78&amp;": o nível "&amp;$NE78&amp;" libera até a "&amp;$NF78,""),IF($NX78=1,"A Forma "&amp;$MU78&amp;" pede "&amp;INDEX('DADOS_FORMAS'!$GA$2:$GA$21,$NJ78)&amp;" aberta",""),IF(AND($MS78=0,$NJ78&gt;0,IF($NJ78=0,0,INDEX('DADOS_FORMAS'!$GJ$2:$GJ$21,$NJ78))=0),$MU78&amp;"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Corpo")&gt;0,$OF78=0,OR($RO78="Cone",$RO78="Linha")),"Corpo a Corpo não entra em "&amp;$MU78,""),IF(AND(COUNTIF($OK78:$OL78,"Corpo a Corpo")&gt;0,$RP78="Corpo a Corpo"),"A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"&amp;$NC78,""))),IF(AND($MU78&lt;&gt;"",COUNTIF('DADOS_FORMAS'!$AH$2:$AH$21,SUBSTITUTE(SUBSTITUTE(SUBSTITUTE($MU78,"~","~~"),"*","~*"),"?","~?"))=0),"Forma não cadastrada ou com erro: "&amp;$MU78,""),IF(AND(IFERROR(INDEX('DADOS_FORMAS'!$AS$2:$AS$21,MATCH(SUBSTITUTE(SUBSTITUTE(SUBSTITUTE($MU78,"~","~~"),"*","~*"),"?","~?"),'DADOS_FORMAS'!$AH$2:$AH$21,0)),"")&lt;&gt;"",OR(IFERROR(VLOOKUP(SUBSTITUTE(SUBSTITUTE(SUBSTITUTE(IFERROR(INDEX('DADOS_FORMAS'!$AS$2:$AS$21,MATCH(SUBSTITUTE(SUBSTITUTE(SUBSTITUTE($MU78,"~","~~"),"*","~*"),"?","~?"),'DADOS_FORMAS'!$AH$2:$AH$21,0)),""),"~","~~"),"*","~*"),"?","~?"),'DADOS_RESTRICOES'!$M$2:$Q$54,2,FALSE),"")=$OK78,IFERROR(VLOOKUP(SUBSTITUTE(SUBSTITUTE(SUBSTITUTE(IFERROR(INDEX('DADOS_FORMAS'!$AS$2:$AS$21,MATCH(SUBSTITUTE(SUBSTITUTE(SUBSTITUTE($MU78,"~","~~"),"*","~*"),"?","~?"),'DADOS_FORMAS'!$AH$2:$AH$21,0)),""),"~","~~"),"*","~*"),"?","~?"),'DADOS_RESTRICOES'!$M$2:$Q$54,2,FALSE),"")=$OL78)),"Restrição repetida, contando a embutida",""),IF(IF(IFERROR(INDEX('DADOS_FORMAS'!$AS$2:$AS$21,MATCH(SUBSTITUTE(SUBSTITUTE(SUBSTITUTE($MU78,"~","~~"),"*","~*"),"?","~?"),'DADOS_FORMAS'!$AH$2:$AH$21,0)),"")="",0,IFERROR(N(VLOOKUP(SUBSTITUTE(SUBSTITUTE(SUBSTITUTE(IFERROR(INDEX('DADOS_FORMAS'!$AS$2:$AS$21,MATCH(SUBSTITUTE(SUBSTITUTE(SUBSTITUTE($MU78,"~","~~"),"*","~*"),"?","~?"),'DADOS_FORMAS'!$AH$2:$AH$21,0)),""),"~","~~"),"*","~*"),"?","~?"),'DADOS_RESTRICOES'!$M$2:$Q$54,4,FALSE)=1),0))+IF($NB78="",0,IFERROR(N(VLOOKUP(SUBSTITUTE(SUBSTITUTE(SUBSTITUTE($NB78,"~","~~"),"*","~*"),"?","~?"),'DADOS_RESTRICOES'!$M$2:$Q$54,4,FALSE)=1),0))+IF($NC78="",0,IFERROR(N(VLOOKUP(SUBSTITUTE(SUBSTITUTE(SUBSTITUTE($NC78,"~","~~"),"*","~*"),"?","~?"),'DADOS_RESTRICOES'!$M$2:$Q$54,4,FALSE)=1),0))&gt;1,"Duas Restrições de frequência, contando a embutida",""),IF(AND(IFERROR(VLOOKUP(SUBSTITUTE(SUBSTITUTE(SUBSTITUTE(IFERROR(INDEX('DADOS_FORMAS'!$AS$2:$AS$21,MATCH(SUBSTITUTE(SUBSTITUTE(SUBSTITUTE($MU78,"~","~~"),"*","~*"),"?","~?"),'DADOS_FORMAS'!$AH$2:$AH$21,0)),""),"~","~~"),"*","~*"),"?","~?"),'DADOS_RESTRICOES'!$M$2:$Q$54,2,FALSE),"")="Tudo ou Nada",$OH78=0),"Tudo ou Nada exige TR",""),IF(AND(IFERROR(VLOOKUP(SUBSTITUTE(SUBSTITUTE(SUBSTITUTE(IFERROR(INDEX('DADOS_FORMAS'!$AS$2:$AS$21,MATCH(SUBSTITUTE(SUBSTITUTE(SUBSTITUTE($MU78,"~","~~"),"*","~*"),"?","~?"),'DADOS_FORMAS'!$AH$2:$AH$21,0)),""),"~","~~"),"*","~*"),"?","~?"),'DADOS_RESTRICOES'!$M$2:$Q$54,2,FALSE),"")="Corpo a Corpo",OR($RO78="Cone",$RO78="Linha")),"Corpo a Corpo não entra em Cone/Linha","")))</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dela",IF(COUNTIF($RQ78:$RS78,"Atrasar")&gt;0,"Sua Ação Completa",IF(COUNTIF($RK78:$RN78,"Rápido")&gt;0,"Sua Bônus",IF(COUNTIF($RK78:$RN78,"Reação")&gt;0,"Sua Reação","Sua Padrão")))&amp;" + a básica dela"&amp;IF(COUNTIF($RK78:$RN78,"Reação")&gt;0," e a coletiva","")&amp;IF(COUNTIF($RQ78:$RS78,"Carregar")&gt;0," · em dois turnos","")))</f>
        <v/>
      </c>
      <c r="QC78" s="161">
        <f>IF($MW78&lt;&gt;"",$MW78,IF($NJ78=0,"",INDEX('DADOS_FORMAS'!$GE$2:$GE$21,$NJ78)))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IF($NJ78=0,0,CHOOSE(1+INDEX('DADOS_FORMAS'!$GG$2:$GG$21,$NJ78),0,$QF78,$QG78,$QF78+$QG78))</f>
        <v/>
      </c>
      <c r="QI78" s="161">
        <f>IF($NJ78=0,0,CHOOSE(1+INDEX('DADOS_FORMAS'!$GH$2:$GH$21,$NJ78),0,$QF78,$QG78,$QF78+$QG78))</f>
        <v/>
      </c>
      <c r="QJ78" s="161">
        <f>IF(OR($ND78=0,$NJ78=0),"",INDEX('DADOS_FORMAS'!$HU$2:$HZ$81,($NJ78-1)*4+IF($MS78=0,1,IF($MS78&lt;=5,2,IF($MS78=6,3,4))),1+MIN(5,$QH78))&amp;INDEX('DADOS_FORMAS'!$IA$2:$IF$81,($NJ78-1)*4+IF($MS78=0,1,IF($MS78&lt;=5,2,IF($MS78=6,3,4))),1+MIN(5,$QI78))&amp;IF(INDEX('DADOS_FORMAS'!$GI$2:$GI$21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c r="RO78">
        <f>IFERROR(INDEX('DADOS_FORMAS'!$BJ$2:$BJ$21,MATCH(SUBSTITUTE(SUBSTITUTE(SUBSTITUTE($MU78,"~","~~"),"*","~*"),"?","~?"),'DADOS_FORMAS'!$AH$2:$AH$21,0)),"")</f>
        <v/>
      </c>
      <c r="RP78">
        <f>IFERROR(VLOOKUP(SUBSTITUTE(SUBSTITUTE(SUBSTITUTE(IFERROR(INDEX('DADOS_FORMAS'!$AS$2:$AS$21,MATCH(SUBSTITUTE(SUBSTITUTE(SUBSTITUTE($MU78,"~","~~"),"*","~*"),"?","~?"),'DADOS_FORMAS'!$AH$2:$AH$21,0)),""),"~","~~"),"*","~*"),"?","~?"),'DADOS_RESTRICOES'!$M$2:$Q$54,2,FALSE),"")</f>
        <v/>
      </c>
      <c r="RQ78">
        <f>$OK78</f>
        <v/>
      </c>
      <c r="RR78">
        <f>$OL78</f>
        <v/>
      </c>
      <c r="RS78">
        <f>$RP78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IFERROR(MATCH(SUBSTITUTE(SUBSTITUTE(SUBSTITUTE($MU79,"~","~~"),"*","~*"),"?","~?"),'DADOS_FORMAS'!$FZ$2:$FZ$21,0),0)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IF($MS79=0,0,IF($NJ79=0,0,INDEX('DADOS_FORMAS'!$GB$2:$GB$21,$NJ79)))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IF($NJ79=0,0,IF(INDEX('DADOS_FORMAS'!$GA$2:$GA$21,$NJ79)="",0,IF((COUNTIF(INDEX($EL$2:$EP$13,$MO79,0),INDEX('DADOS_FORMAS'!$GA$2:$GA$21,$NJ79))+COUNTIF(INDEX($QV$2:$QY$13,$MO79,0),INDEX('DADOS_FORMAS'!$GA$2:$GA$21,$NJ79)))=0,1,0)))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IFERROR(N(AND(INDEX('DADOS_FORMAS'!$AO$2:$AO$21,MATCH(SUBSTITUTE(SUBSTITUTE(SUBSTITUTE($MU79,"~","~~"),"*","~*"),"?","~?"),'DADOS_FORMAS'!$AH$2:$AH$21,0))="Acerto",$OH79=1)),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IF($NJ79=0,0,INDEX('DADOS_FORMAS'!$GC$2:$GC$21,$NJ79))</f>
        <v/>
      </c>
      <c r="OG79" s="161">
        <f>IF($NJ79=0,0,INDEX('DADOS_FORMAS'!$GD$2:$GD$21,$NJ79))</f>
        <v/>
      </c>
      <c r="OH79" s="161">
        <f>IF($NJ79=0,0,INDEX('DADOS_FORMAS'!$GF$2:$GF$21,$NJ79))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IF(IFERROR(INDEX('DADOS_FORMAS'!$AS$2:$AS$21,MATCH(SUBSTITUTE(SUBSTITUTE(SUBSTITUTE($MU79,"~","~~"),"*","~*"),"?","~?"),'DADOS_FORMAS'!$AH$2:$AH$21,0)),"")="",0,IFERROR(N(VLOOKUP(SUBSTITUTE(SUBSTITUTE(SUBSTITUTE(IFERROR(INDEX('DADOS_FORMAS'!$AS$2:$AS$21,MATCH(SUBSTITUTE(SUBSTITUTE(SUBSTITUTE($MU79,"~","~~"),"*","~*"),"?","~?"),'DADOS_FORMAS'!$AH$2:$AH$21,0)),""),"~","~~"),"*","~*"),"?","~?"),'DADOS_RESTRICOES'!$M$2:$Q$54,3,FALSE)=1),0))</f>
        <v/>
      </c>
      <c r="OT79" s="161">
        <f>COUNTIF($OI79:$OJ79,2)+IF(IFERROR(INDEX('DADOS_FORMAS'!$AS$2:$AS$21,MATCH(SUBSTITUTE(SUBSTITUTE(SUBSTITUTE($MU79,"~","~~"),"*","~*"),"?","~?"),'DADOS_FORMAS'!$AH$2:$AH$21,0)),"")="",0,IFERROR(N(VLOOKUP(SUBSTITUTE(SUBSTITUTE(SUBSTITUTE(IFERROR(INDEX('DADOS_FORMAS'!$AS$2:$AS$21,MATCH(SUBSTITUTE(SUBSTITUTE(SUBSTITUTE($MU79,"~","~~"),"*","~*"),"?","~?"),'DADOS_FORMAS'!$AH$2:$AH$21,0)),""),"~","~~"),"*","~*"),"?","~?"),'DADOS_RESTRICOES'!$M$2:$Q$54,3,FALSE)=2),0))</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",TRUE,IF($ND79=0,"",TEXTJOIN(" · ",TRUE,IF($MQ79&gt;$NE79,"Este lugar abre no nível "&amp;$MQ79,""),IF($MS79&gt;$NF79,"Classe "&amp;$MS79&amp;": o nível "&amp;$NE79&amp;" libera até a "&amp;$NF79,""),IF($NX79=1,"A Forma "&amp;$MU79&amp;" pede "&amp;INDEX('DADOS_FORMAS'!$GA$2:$GA$21,$NJ79)&amp;" aberta",""),IF(AND($MS79=0,$NJ79&gt;0,IF($NJ79=0,0,INDEX('DADOS_FORMAS'!$GJ$2:$GJ$21,$NJ79))=0),$MU79&amp;"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Corpo")&gt;0,$OF79=0,OR($RO79="Cone",$RO79="Linha")),"Corpo a Corpo não entra em "&amp;$MU79,""),IF(AND(COUNTIF($OK79:$OL79,"Corpo a Corpo")&gt;0,$RP79="Corpo a Corpo"),"A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"&amp;$NC79,""))),IF(AND($MU79&lt;&gt;"",COUNTIF('DADOS_FORMAS'!$AH$2:$AH$21,SUBSTITUTE(SUBSTITUTE(SUBSTITUTE($MU79,"~","~~"),"*","~*"),"?","~?"))=0),"Forma não cadastrada ou com erro: "&amp;$MU79,""),IF(AND(IFERROR(INDEX('DADOS_FORMAS'!$AS$2:$AS$21,MATCH(SUBSTITUTE(SUBSTITUTE(SUBSTITUTE($MU79,"~","~~"),"*","~*"),"?","~?"),'DADOS_FORMAS'!$AH$2:$AH$21,0)),"")&lt;&gt;"",OR(IFERROR(VLOOKUP(SUBSTITUTE(SUBSTITUTE(SUBSTITUTE(IFERROR(INDEX('DADOS_FORMAS'!$AS$2:$AS$21,MATCH(SUBSTITUTE(SUBSTITUTE(SUBSTITUTE($MU79,"~","~~"),"*","~*"),"?","~?"),'DADOS_FORMAS'!$AH$2:$AH$21,0)),""),"~","~~"),"*","~*"),"?","~?"),'DADOS_RESTRICOES'!$M$2:$Q$54,2,FALSE),"")=$OK79,IFERROR(VLOOKUP(SUBSTITUTE(SUBSTITUTE(SUBSTITUTE(IFERROR(INDEX('DADOS_FORMAS'!$AS$2:$AS$21,MATCH(SUBSTITUTE(SUBSTITUTE(SUBSTITUTE($MU79,"~","~~"),"*","~*"),"?","~?"),'DADOS_FORMAS'!$AH$2:$AH$21,0)),""),"~","~~"),"*","~*"),"?","~?"),'DADOS_RESTRICOES'!$M$2:$Q$54,2,FALSE),"")=$OL79)),"Restrição repetida, contando a embutida",""),IF(IF(IFERROR(INDEX('DADOS_FORMAS'!$AS$2:$AS$21,MATCH(SUBSTITUTE(SUBSTITUTE(SUBSTITUTE($MU79,"~","~~"),"*","~*"),"?","~?"),'DADOS_FORMAS'!$AH$2:$AH$21,0)),"")="",0,IFERROR(N(VLOOKUP(SUBSTITUTE(SUBSTITUTE(SUBSTITUTE(IFERROR(INDEX('DADOS_FORMAS'!$AS$2:$AS$21,MATCH(SUBSTITUTE(SUBSTITUTE(SUBSTITUTE($MU79,"~","~~"),"*","~*"),"?","~?"),'DADOS_FORMAS'!$AH$2:$AH$21,0)),""),"~","~~"),"*","~*"),"?","~?"),'DADOS_RESTRICOES'!$M$2:$Q$54,4,FALSE)=1),0))+IF($NB79="",0,IFERROR(N(VLOOKUP(SUBSTITUTE(SUBSTITUTE(SUBSTITUTE($NB79,"~","~~"),"*","~*"),"?","~?"),'DADOS_RESTRICOES'!$M$2:$Q$54,4,FALSE)=1),0))+IF($NC79="",0,IFERROR(N(VLOOKUP(SUBSTITUTE(SUBSTITUTE(SUBSTITUTE($NC79,"~","~~"),"*","~*"),"?","~?"),'DADOS_RESTRICOES'!$M$2:$Q$54,4,FALSE)=1),0))&gt;1,"Duas Restrições de frequência, contando a embutida",""),IF(AND(IFERROR(VLOOKUP(SUBSTITUTE(SUBSTITUTE(SUBSTITUTE(IFERROR(INDEX('DADOS_FORMAS'!$AS$2:$AS$21,MATCH(SUBSTITUTE(SUBSTITUTE(SUBSTITUTE($MU79,"~","~~"),"*","~*"),"?","~?"),'DADOS_FORMAS'!$AH$2:$AH$21,0)),""),"~","~~"),"*","~*"),"?","~?"),'DADOS_RESTRICOES'!$M$2:$Q$54,2,FALSE),"")="Tudo ou Nada",$OH79=0),"Tudo ou Nada exige TR",""),IF(AND(IFERROR(VLOOKUP(SUBSTITUTE(SUBSTITUTE(SUBSTITUTE(IFERROR(INDEX('DADOS_FORMAS'!$AS$2:$AS$21,MATCH(SUBSTITUTE(SUBSTITUTE(SUBSTITUTE($MU79,"~","~~"),"*","~*"),"?","~?"),'DADOS_FORMAS'!$AH$2:$AH$21,0)),""),"~","~~"),"*","~*"),"?","~?"),'DADOS_RESTRICOES'!$M$2:$Q$54,2,FALSE),"")="Corpo a Corpo",OR($RO79="Cone",$RO79="Linha")),"Corpo a Corpo não entra em Cone/Linha","")))</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dela",IF(COUNTIF($RQ79:$RS79,"Atrasar")&gt;0,"Sua Ação Completa",IF(COUNTIF($RK79:$RN79,"Rápido")&gt;0,"Sua Bônus",IF(COUNTIF($RK79:$RN79,"Reação")&gt;0,"Sua Reação","Sua Padrão")))&amp;" + a básica dela"&amp;IF(COUNTIF($RK79:$RN79,"Reação")&gt;0," e a coletiva","")&amp;IF(COUNTIF($RQ79:$RS79,"Carregar")&gt;0," · em dois turnos","")))</f>
        <v/>
      </c>
      <c r="QC79" s="161">
        <f>IF($MW79&lt;&gt;"",$MW79,IF($NJ79=0,"",INDEX('DADOS_FORMAS'!$GE$2:$GE$21,$NJ79)))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IF($NJ79=0,0,CHOOSE(1+INDEX('DADOS_FORMAS'!$GG$2:$GG$21,$NJ79),0,$QF79,$QG79,$QF79+$QG79))</f>
        <v/>
      </c>
      <c r="QI79" s="161">
        <f>IF($NJ79=0,0,CHOOSE(1+INDEX('DADOS_FORMAS'!$GH$2:$GH$21,$NJ79),0,$QF79,$QG79,$QF79+$QG79))</f>
        <v/>
      </c>
      <c r="QJ79" s="161">
        <f>IF(OR($ND79=0,$NJ79=0),"",INDEX('DADOS_FORMAS'!$HU$2:$HZ$81,($NJ79-1)*4+IF($MS79=0,1,IF($MS79&lt;=5,2,IF($MS79=6,3,4))),1+MIN(5,$QH79))&amp;INDEX('DADOS_FORMAS'!$IA$2:$IF$81,($NJ79-1)*4+IF($MS79=0,1,IF($MS79&lt;=5,2,IF($MS79=6,3,4))),1+MIN(5,$QI79))&amp;IF(INDEX('DADOS_FORMAS'!$GI$2:$GI$21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c r="RO79">
        <f>IFERROR(INDEX('DADOS_FORMAS'!$BJ$2:$BJ$21,MATCH(SUBSTITUTE(SUBSTITUTE(SUBSTITUTE($MU79,"~","~~"),"*","~*"),"?","~?"),'DADOS_FORMAS'!$AH$2:$AH$21,0)),"")</f>
        <v/>
      </c>
      <c r="RP79">
        <f>IFERROR(VLOOKUP(SUBSTITUTE(SUBSTITUTE(SUBSTITUTE(IFERROR(INDEX('DADOS_FORMAS'!$AS$2:$AS$21,MATCH(SUBSTITUTE(SUBSTITUTE(SUBSTITUTE($MU79,"~","~~"),"*","~*"),"?","~?"),'DADOS_FORMAS'!$AH$2:$AH$21,0)),""),"~","~~"),"*","~*"),"?","~?"),'DADOS_RESTRICOES'!$M$2:$Q$54,2,FALSE),"")</f>
        <v/>
      </c>
      <c r="RQ79">
        <f>$OK79</f>
        <v/>
      </c>
      <c r="RR79">
        <f>$OL79</f>
        <v/>
      </c>
      <c r="RS79">
        <f>$RP79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IFERROR(MATCH(SUBSTITUTE(SUBSTITUTE(SUBSTITUTE($MU80,"~","~~"),"*","~*"),"?","~?"),'DADOS_FORMAS'!$FZ$2:$FZ$21,0),0)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IF($MS80=0,0,IF($NJ80=0,0,INDEX('DADOS_FORMAS'!$GB$2:$GB$21,$NJ80)))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IF($NJ80=0,0,IF(INDEX('DADOS_FORMAS'!$GA$2:$GA$21,$NJ80)="",0,IF((COUNTIF(INDEX($EL$2:$EP$13,$MO80,0),INDEX('DADOS_FORMAS'!$GA$2:$GA$21,$NJ80))+COUNTIF(INDEX($QV$2:$QY$13,$MO80,0),INDEX('DADOS_FORMAS'!$GA$2:$GA$21,$NJ80)))=0,1,0)))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IFERROR(N(AND(INDEX('DADOS_FORMAS'!$AO$2:$AO$21,MATCH(SUBSTITUTE(SUBSTITUTE(SUBSTITUTE($MU80,"~","~~"),"*","~*"),"?","~?"),'DADOS_FORMAS'!$AH$2:$AH$21,0))="Acerto",$OH80=1)),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IF($NJ80=0,0,INDEX('DADOS_FORMAS'!$GC$2:$GC$21,$NJ80))</f>
        <v/>
      </c>
      <c r="OG80" s="161">
        <f>IF($NJ80=0,0,INDEX('DADOS_FORMAS'!$GD$2:$GD$21,$NJ80))</f>
        <v/>
      </c>
      <c r="OH80" s="161">
        <f>IF($NJ80=0,0,INDEX('DADOS_FORMAS'!$GF$2:$GF$21,$NJ80))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IF(IFERROR(INDEX('DADOS_FORMAS'!$AS$2:$AS$21,MATCH(SUBSTITUTE(SUBSTITUTE(SUBSTITUTE($MU80,"~","~~"),"*","~*"),"?","~?"),'DADOS_FORMAS'!$AH$2:$AH$21,0)),"")="",0,IFERROR(N(VLOOKUP(SUBSTITUTE(SUBSTITUTE(SUBSTITUTE(IFERROR(INDEX('DADOS_FORMAS'!$AS$2:$AS$21,MATCH(SUBSTITUTE(SUBSTITUTE(SUBSTITUTE($MU80,"~","~~"),"*","~*"),"?","~?"),'DADOS_FORMAS'!$AH$2:$AH$21,0)),""),"~","~~"),"*","~*"),"?","~?"),'DADOS_RESTRICOES'!$M$2:$Q$54,3,FALSE)=1),0))</f>
        <v/>
      </c>
      <c r="OT80" s="161">
        <f>COUNTIF($OI80:$OJ80,2)+IF(IFERROR(INDEX('DADOS_FORMAS'!$AS$2:$AS$21,MATCH(SUBSTITUTE(SUBSTITUTE(SUBSTITUTE($MU80,"~","~~"),"*","~*"),"?","~?"),'DADOS_FORMAS'!$AH$2:$AH$21,0)),"")="",0,IFERROR(N(VLOOKUP(SUBSTITUTE(SUBSTITUTE(SUBSTITUTE(IFERROR(INDEX('DADOS_FORMAS'!$AS$2:$AS$21,MATCH(SUBSTITUTE(SUBSTITUTE(SUBSTITUTE($MU80,"~","~~"),"*","~*"),"?","~?"),'DADOS_FORMAS'!$AH$2:$AH$21,0)),""),"~","~~"),"*","~*"),"?","~?"),'DADOS_RESTRICOES'!$M$2:$Q$54,3,FALSE)=2),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",TRUE,IF($ND80=0,"",TEXTJOIN(" · ",TRUE,IF($MQ80&gt;$NE80,"Este lugar abre no nível "&amp;$MQ80,""),IF($MS80&gt;$NF80,"Classe "&amp;$MS80&amp;": o nível "&amp;$NE80&amp;" libera até a "&amp;$NF80,""),IF($NX80=1,"A Forma "&amp;$MU80&amp;" pede "&amp;INDEX('DADOS_FORMAS'!$GA$2:$GA$21,$NJ80)&amp;" aberta",""),IF(AND($MS80=0,$NJ80&gt;0,IF($NJ80=0,0,INDEX('DADOS_FORMAS'!$GJ$2:$GJ$21,$NJ80))=0),$MU80&amp;"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Corpo")&gt;0,$OF80=0,OR($RO80="Cone",$RO80="Linha")),"Corpo a Corpo não entra em "&amp;$MU80,""),IF(AND(COUNTIF($OK80:$OL80,"Corpo a Corpo")&gt;0,$RP80="Corpo a Corpo"),"A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"&amp;$NC80,""))),IF(AND($MU80&lt;&gt;"",COUNTIF('DADOS_FORMAS'!$AH$2:$AH$21,SUBSTITUTE(SUBSTITUTE(SUBSTITUTE($MU80,"~","~~"),"*","~*"),"?","~?"))=0),"Forma não cadastrada ou com erro: "&amp;$MU80,""),IF(AND(IFERROR(INDEX('DADOS_FORMAS'!$AS$2:$AS$21,MATCH(SUBSTITUTE(SUBSTITUTE(SUBSTITUTE($MU80,"~","~~"),"*","~*"),"?","~?"),'DADOS_FORMAS'!$AH$2:$AH$21,0)),"")&lt;&gt;"",OR(IFERROR(VLOOKUP(SUBSTITUTE(SUBSTITUTE(SUBSTITUTE(IFERROR(INDEX('DADOS_FORMAS'!$AS$2:$AS$21,MATCH(SUBSTITUTE(SUBSTITUTE(SUBSTITUTE($MU80,"~","~~"),"*","~*"),"?","~?"),'DADOS_FORMAS'!$AH$2:$AH$21,0)),""),"~","~~"),"*","~*"),"?","~?"),'DADOS_RESTRICOES'!$M$2:$Q$54,2,FALSE),"")=$OK80,IFERROR(VLOOKUP(SUBSTITUTE(SUBSTITUTE(SUBSTITUTE(IFERROR(INDEX('DADOS_FORMAS'!$AS$2:$AS$21,MATCH(SUBSTITUTE(SUBSTITUTE(SUBSTITUTE($MU80,"~","~~"),"*","~*"),"?","~?"),'DADOS_FORMAS'!$AH$2:$AH$21,0)),""),"~","~~"),"*","~*"),"?","~?"),'DADOS_RESTRICOES'!$M$2:$Q$54,2,FALSE),"")=$OL80)),"Restrição repetida, contando a embutida",""),IF(IF(IFERROR(INDEX('DADOS_FORMAS'!$AS$2:$AS$21,MATCH(SUBSTITUTE(SUBSTITUTE(SUBSTITUTE($MU80,"~","~~"),"*","~*"),"?","~?"),'DADOS_FORMAS'!$AH$2:$AH$21,0)),"")="",0,IFERROR(N(VLOOKUP(SUBSTITUTE(SUBSTITUTE(SUBSTITUTE(IFERROR(INDEX('DADOS_FORMAS'!$AS$2:$AS$21,MATCH(SUBSTITUTE(SUBSTITUTE(SUBSTITUTE($MU80,"~","~~"),"*","~*"),"?","~?"),'DADOS_FORMAS'!$AH$2:$AH$21,0)),""),"~","~~"),"*","~*"),"?","~?"),'DADOS_RESTRICOES'!$M$2:$Q$54,4,FALSE)=1),0))+IF($NB80="",0,IFERROR(N(VLOOKUP(SUBSTITUTE(SUBSTITUTE(SUBSTITUTE($NB80,"~","~~"),"*","~*"),"?","~?"),'DADOS_RESTRICOES'!$M$2:$Q$54,4,FALSE)=1),0))+IF($NC80="",0,IFERROR(N(VLOOKUP(SUBSTITUTE(SUBSTITUTE(SUBSTITUTE($NC80,"~","~~"),"*","~*"),"?","~?"),'DADOS_RESTRICOES'!$M$2:$Q$54,4,FALSE)=1),0))&gt;1,"Duas Restrições de frequência, contando a embutida",""),IF(AND(IFERROR(VLOOKUP(SUBSTITUTE(SUBSTITUTE(SUBSTITUTE(IFERROR(INDEX('DADOS_FORMAS'!$AS$2:$AS$21,MATCH(SUBSTITUTE(SUBSTITUTE(SUBSTITUTE($MU80,"~","~~"),"*","~*"),"?","~?"),'DADOS_FORMAS'!$AH$2:$AH$21,0)),""),"~","~~"),"*","~*"),"?","~?"),'DADOS_RESTRICOES'!$M$2:$Q$54,2,FALSE),"")="Tudo ou Nada",$OH80=0),"Tudo ou Nada exige TR",""),IF(AND(IFERROR(VLOOKUP(SUBSTITUTE(SUBSTITUTE(SUBSTITUTE(IFERROR(INDEX('DADOS_FORMAS'!$AS$2:$AS$21,MATCH(SUBSTITUTE(SUBSTITUTE(SUBSTITUTE($MU80,"~","~~"),"*","~*"),"?","~?"),'DADOS_FORMAS'!$AH$2:$AH$21,0)),""),"~","~~"),"*","~*"),"?","~?"),'DADOS_RESTRICOES'!$M$2:$Q$54,2,FALSE),"")="Corpo a Corpo",OR($RO80="Cone",$RO80="Linha")),"Corpo a Corpo não entra em Cone/Linha","")))</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dela",IF(COUNTIF($RQ80:$RS80,"Atrasar")&gt;0,"Sua Ação Completa",IF(COUNTIF($RK80:$RN80,"Rápido")&gt;0,"Sua Bônus",IF(COUNTIF($RK80:$RN80,"Reação")&gt;0,"Sua Reação","Sua Padrão")))&amp;" + a básica dela"&amp;IF(COUNTIF($RK80:$RN80,"Reação")&gt;0," e a coletiva","")&amp;IF(COUNTIF($RQ80:$RS80,"Carregar")&gt;0," · em dois turnos","")))</f>
        <v/>
      </c>
      <c r="QC80" s="161">
        <f>IF($MW80&lt;&gt;"",$MW80,IF($NJ80=0,"",INDEX('DADOS_FORMAS'!$GE$2:$GE$21,$NJ80)))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IF($NJ80=0,0,CHOOSE(1+INDEX('DADOS_FORMAS'!$GG$2:$GG$21,$NJ80),0,$QF80,$QG80,$QF80+$QG80))</f>
        <v/>
      </c>
      <c r="QI80" s="161">
        <f>IF($NJ80=0,0,CHOOSE(1+INDEX('DADOS_FORMAS'!$GH$2:$GH$21,$NJ80),0,$QF80,$QG80,$QF80+$QG80))</f>
        <v/>
      </c>
      <c r="QJ80" s="161">
        <f>IF(OR($ND80=0,$NJ80=0),"",INDEX('DADOS_FORMAS'!$HU$2:$HZ$81,($NJ80-1)*4+IF($MS80=0,1,IF($MS80&lt;=5,2,IF($MS80=6,3,4))),1+MIN(5,$QH80))&amp;INDEX('DADOS_FORMAS'!$IA$2:$IF$81,($NJ80-1)*4+IF($MS80=0,1,IF($MS80&lt;=5,2,IF($MS80=6,3,4))),1+MIN(5,$QI80))&amp;IF(INDEX('DADOS_FORMAS'!$GI$2:$GI$21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c r="RO80">
        <f>IFERROR(INDEX('DADOS_FORMAS'!$BJ$2:$BJ$21,MATCH(SUBSTITUTE(SUBSTITUTE(SUBSTITUTE($MU80,"~","~~"),"*","~*"),"?","~?"),'DADOS_FORMAS'!$AH$2:$AH$21,0)),"")</f>
        <v/>
      </c>
      <c r="RP80">
        <f>IFERROR(VLOOKUP(SUBSTITUTE(SUBSTITUTE(SUBSTITUTE(IFERROR(INDEX('DADOS_FORMAS'!$AS$2:$AS$21,MATCH(SUBSTITUTE(SUBSTITUTE(SUBSTITUTE($MU80,"~","~~"),"*","~*"),"?","~?"),'DADOS_FORMAS'!$AH$2:$AH$21,0)),""),"~","~~"),"*","~*"),"?","~?"),'DADOS_RESTRICOES'!$M$2:$Q$54,2,FALSE),"")</f>
        <v/>
      </c>
      <c r="RQ80">
        <f>$OK80</f>
        <v/>
      </c>
      <c r="RR80">
        <f>$OL80</f>
        <v/>
      </c>
      <c r="RS80">
        <f>$RP80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IFERROR(MATCH(SUBSTITUTE(SUBSTITUTE(SUBSTITUTE($MU81,"~","~~"),"*","~*"),"?","~?"),'DADOS_FORMAS'!$FZ$2:$FZ$21,0),0)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IF($MS81=0,0,IF($NJ81=0,0,INDEX('DADOS_FORMAS'!$GB$2:$GB$21,$NJ81)))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IF($NJ81=0,0,IF(INDEX('DADOS_FORMAS'!$GA$2:$GA$21,$NJ81)="",0,IF((COUNTIF(INDEX($EL$2:$EP$13,$MO81,0),INDEX('DADOS_FORMAS'!$GA$2:$GA$21,$NJ81))+COUNTIF(INDEX($QV$2:$QY$13,$MO81,0),INDEX('DADOS_FORMAS'!$GA$2:$GA$21,$NJ81)))=0,1,0)))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IFERROR(N(AND(INDEX('DADOS_FORMAS'!$AO$2:$AO$21,MATCH(SUBSTITUTE(SUBSTITUTE(SUBSTITUTE($MU81,"~","~~"),"*","~*"),"?","~?"),'DADOS_FORMAS'!$AH$2:$AH$21,0))="Acerto",$OH81=1)),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IF($NJ81=0,0,INDEX('DADOS_FORMAS'!$GC$2:$GC$21,$NJ81))</f>
        <v/>
      </c>
      <c r="OG81" s="161">
        <f>IF($NJ81=0,0,INDEX('DADOS_FORMAS'!$GD$2:$GD$21,$NJ81))</f>
        <v/>
      </c>
      <c r="OH81" s="161">
        <f>IF($NJ81=0,0,INDEX('DADOS_FORMAS'!$GF$2:$GF$21,$NJ81))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IF(IFERROR(INDEX('DADOS_FORMAS'!$AS$2:$AS$21,MATCH(SUBSTITUTE(SUBSTITUTE(SUBSTITUTE($MU81,"~","~~"),"*","~*"),"?","~?"),'DADOS_FORMAS'!$AH$2:$AH$21,0)),"")="",0,IFERROR(N(VLOOKUP(SUBSTITUTE(SUBSTITUTE(SUBSTITUTE(IFERROR(INDEX('DADOS_FORMAS'!$AS$2:$AS$21,MATCH(SUBSTITUTE(SUBSTITUTE(SUBSTITUTE($MU81,"~","~~"),"*","~*"),"?","~?"),'DADOS_FORMAS'!$AH$2:$AH$21,0)),""),"~","~~"),"*","~*"),"?","~?"),'DADOS_RESTRICOES'!$M$2:$Q$54,3,FALSE)=1),0))</f>
        <v/>
      </c>
      <c r="OT81" s="161">
        <f>COUNTIF($OI81:$OJ81,2)+IF(IFERROR(INDEX('DADOS_FORMAS'!$AS$2:$AS$21,MATCH(SUBSTITUTE(SUBSTITUTE(SUBSTITUTE($MU81,"~","~~"),"*","~*"),"?","~?"),'DADOS_FORMAS'!$AH$2:$AH$21,0)),"")="",0,IFERROR(N(VLOOKUP(SUBSTITUTE(SUBSTITUTE(SUBSTITUTE(IFERROR(INDEX('DADOS_FORMAS'!$AS$2:$AS$21,MATCH(SUBSTITUTE(SUBSTITUTE(SUBSTITUTE($MU81,"~","~~"),"*","~*"),"?","~?"),'DADOS_FORMAS'!$AH$2:$AH$21,0)),""),"~","~~"),"*","~*"),"?","~?"),'DADOS_RESTRICOES'!$M$2:$Q$54,3,FALSE)=2),0))</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",TRUE,IF($ND81=0,"",TEXTJOIN(" · ",TRUE,IF($MQ81&gt;$NE81,"Este lugar abre no nível "&amp;$MQ81,""),IF($MS81&gt;$NF81,"Classe "&amp;$MS81&amp;": o nível "&amp;$NE81&amp;" libera até a "&amp;$NF81,""),IF($NX81=1,"A Forma "&amp;$MU81&amp;" pede "&amp;INDEX('DADOS_FORMAS'!$GA$2:$GA$21,$NJ81)&amp;" aberta",""),IF(AND($MS81=0,$NJ81&gt;0,IF($NJ81=0,0,INDEX('DADOS_FORMAS'!$GJ$2:$GJ$21,$NJ81))=0),$MU81&amp;"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Corpo")&gt;0,$OF81=0,OR($RO81="Cone",$RO81="Linha")),"Corpo a Corpo não entra em "&amp;$MU81,""),IF(AND(COUNTIF($OK81:$OL81,"Corpo a Corpo")&gt;0,$RP81="Corpo a Corpo"),"A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"&amp;$NC81,""))),IF(AND($MU81&lt;&gt;"",COUNTIF('DADOS_FORMAS'!$AH$2:$AH$21,SUBSTITUTE(SUBSTITUTE(SUBSTITUTE($MU81,"~","~~"),"*","~*"),"?","~?"))=0),"Forma não cadastrada ou com erro: "&amp;$MU81,""),IF(AND(IFERROR(INDEX('DADOS_FORMAS'!$AS$2:$AS$21,MATCH(SUBSTITUTE(SUBSTITUTE(SUBSTITUTE($MU81,"~","~~"),"*","~*"),"?","~?"),'DADOS_FORMAS'!$AH$2:$AH$21,0)),"")&lt;&gt;"",OR(IFERROR(VLOOKUP(SUBSTITUTE(SUBSTITUTE(SUBSTITUTE(IFERROR(INDEX('DADOS_FORMAS'!$AS$2:$AS$21,MATCH(SUBSTITUTE(SUBSTITUTE(SUBSTITUTE($MU81,"~","~~"),"*","~*"),"?","~?"),'DADOS_FORMAS'!$AH$2:$AH$21,0)),""),"~","~~"),"*","~*"),"?","~?"),'DADOS_RESTRICOES'!$M$2:$Q$54,2,FALSE),"")=$OK81,IFERROR(VLOOKUP(SUBSTITUTE(SUBSTITUTE(SUBSTITUTE(IFERROR(INDEX('DADOS_FORMAS'!$AS$2:$AS$21,MATCH(SUBSTITUTE(SUBSTITUTE(SUBSTITUTE($MU81,"~","~~"),"*","~*"),"?","~?"),'DADOS_FORMAS'!$AH$2:$AH$21,0)),""),"~","~~"),"*","~*"),"?","~?"),'DADOS_RESTRICOES'!$M$2:$Q$54,2,FALSE),"")=$OL81)),"Restrição repetida, contando a embutida",""),IF(IF(IFERROR(INDEX('DADOS_FORMAS'!$AS$2:$AS$21,MATCH(SUBSTITUTE(SUBSTITUTE(SUBSTITUTE($MU81,"~","~~"),"*","~*"),"?","~?"),'DADOS_FORMAS'!$AH$2:$AH$21,0)),"")="",0,IFERROR(N(VLOOKUP(SUBSTITUTE(SUBSTITUTE(SUBSTITUTE(IFERROR(INDEX('DADOS_FORMAS'!$AS$2:$AS$21,MATCH(SUBSTITUTE(SUBSTITUTE(SUBSTITUTE($MU81,"~","~~"),"*","~*"),"?","~?"),'DADOS_FORMAS'!$AH$2:$AH$21,0)),""),"~","~~"),"*","~*"),"?","~?"),'DADOS_RESTRICOES'!$M$2:$Q$54,4,FALSE)=1),0))+IF($NB81="",0,IFERROR(N(VLOOKUP(SUBSTITUTE(SUBSTITUTE(SUBSTITUTE($NB81,"~","~~"),"*","~*"),"?","~?"),'DADOS_RESTRICOES'!$M$2:$Q$54,4,FALSE)=1),0))+IF($NC81="",0,IFERROR(N(VLOOKUP(SUBSTITUTE(SUBSTITUTE(SUBSTITUTE($NC81,"~","~~"),"*","~*"),"?","~?"),'DADOS_RESTRICOES'!$M$2:$Q$54,4,FALSE)=1),0))&gt;1,"Duas Restrições de frequência, contando a embutida",""),IF(AND(IFERROR(VLOOKUP(SUBSTITUTE(SUBSTITUTE(SUBSTITUTE(IFERROR(INDEX('DADOS_FORMAS'!$AS$2:$AS$21,MATCH(SUBSTITUTE(SUBSTITUTE(SUBSTITUTE($MU81,"~","~~"),"*","~*"),"?","~?"),'DADOS_FORMAS'!$AH$2:$AH$21,0)),""),"~","~~"),"*","~*"),"?","~?"),'DADOS_RESTRICOES'!$M$2:$Q$54,2,FALSE),"")="Tudo ou Nada",$OH81=0),"Tudo ou Nada exige TR",""),IF(AND(IFERROR(VLOOKUP(SUBSTITUTE(SUBSTITUTE(SUBSTITUTE(IFERROR(INDEX('DADOS_FORMAS'!$AS$2:$AS$21,MATCH(SUBSTITUTE(SUBSTITUTE(SUBSTITUTE($MU81,"~","~~"),"*","~*"),"?","~?"),'DADOS_FORMAS'!$AH$2:$AH$21,0)),""),"~","~~"),"*","~*"),"?","~?"),'DADOS_RESTRICOES'!$M$2:$Q$54,2,FALSE),"")="Corpo a Corpo",OR($RO81="Cone",$RO81="Linha")),"Corpo a Corpo não entra em Cone/Linha","")))</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dela",IF(COUNTIF($RQ81:$RS81,"Atrasar")&gt;0,"Sua Ação Completa",IF(COUNTIF($RK81:$RN81,"Rápido")&gt;0,"Sua Bônus",IF(COUNTIF($RK81:$RN81,"Reação")&gt;0,"Sua Reação","Sua Padrão")))&amp;" + a básica dela"&amp;IF(COUNTIF($RK81:$RN81,"Reação")&gt;0," e a coletiva","")&amp;IF(COUNTIF($RQ81:$RS81,"Carregar")&gt;0," · em dois turnos","")))</f>
        <v/>
      </c>
      <c r="QC81" s="161">
        <f>IF($MW81&lt;&gt;"",$MW81,IF($NJ81=0,"",INDEX('DADOS_FORMAS'!$GE$2:$GE$21,$NJ81)))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IF($NJ81=0,0,CHOOSE(1+INDEX('DADOS_FORMAS'!$GG$2:$GG$21,$NJ81),0,$QF81,$QG81,$QF81+$QG81))</f>
        <v/>
      </c>
      <c r="QI81" s="161">
        <f>IF($NJ81=0,0,CHOOSE(1+INDEX('DADOS_FORMAS'!$GH$2:$GH$21,$NJ81),0,$QF81,$QG81,$QF81+$QG81))</f>
        <v/>
      </c>
      <c r="QJ81" s="161">
        <f>IF(OR($ND81=0,$NJ81=0),"",INDEX('DADOS_FORMAS'!$HU$2:$HZ$81,($NJ81-1)*4+IF($MS81=0,1,IF($MS81&lt;=5,2,IF($MS81=6,3,4))),1+MIN(5,$QH81))&amp;INDEX('DADOS_FORMAS'!$IA$2:$IF$81,($NJ81-1)*4+IF($MS81=0,1,IF($MS81&lt;=5,2,IF($MS81=6,3,4))),1+MIN(5,$QI81))&amp;IF(INDEX('DADOS_FORMAS'!$GI$2:$GI$21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c r="RO81">
        <f>IFERROR(INDEX('DADOS_FORMAS'!$BJ$2:$BJ$21,MATCH(SUBSTITUTE(SUBSTITUTE(SUBSTITUTE($MU81,"~","~~"),"*","~*"),"?","~?"),'DADOS_FORMAS'!$AH$2:$AH$21,0)),"")</f>
        <v/>
      </c>
      <c r="RP81">
        <f>IFERROR(VLOOKUP(SUBSTITUTE(SUBSTITUTE(SUBSTITUTE(IFERROR(INDEX('DADOS_FORMAS'!$AS$2:$AS$21,MATCH(SUBSTITUTE(SUBSTITUTE(SUBSTITUTE($MU81,"~","~~"),"*","~*"),"?","~?"),'DADOS_FORMAS'!$AH$2:$AH$21,0)),""),"~","~~"),"*","~*"),"?","~?"),'DADOS_RESTRICOES'!$M$2:$Q$54,2,FALSE),"")</f>
        <v/>
      </c>
      <c r="RQ81">
        <f>$OK81</f>
        <v/>
      </c>
      <c r="RR81">
        <f>$OL81</f>
        <v/>
      </c>
      <c r="RS81">
        <f>$RP81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IFERROR(MATCH(SUBSTITUTE(SUBSTITUTE(SUBSTITUTE($MU82,"~","~~"),"*","~*"),"?","~?"),'DADOS_FORMAS'!$FZ$2:$FZ$21,0),0)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IF($MS82=0,0,IF($NJ82=0,0,INDEX('DADOS_FORMAS'!$GB$2:$GB$21,$NJ82)))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IF($NJ82=0,0,IF(INDEX('DADOS_FORMAS'!$GA$2:$GA$21,$NJ82)="",0,IF((COUNTIF(INDEX($EL$2:$EP$13,$MO82,0),INDEX('DADOS_FORMAS'!$GA$2:$GA$21,$NJ82))+COUNTIF(INDEX($QV$2:$QY$13,$MO82,0),INDEX('DADOS_FORMAS'!$GA$2:$GA$21,$NJ82)))=0,1,0)))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IFERROR(N(AND(INDEX('DADOS_FORMAS'!$AO$2:$AO$21,MATCH(SUBSTITUTE(SUBSTITUTE(SUBSTITUTE($MU82,"~","~~"),"*","~*"),"?","~?"),'DADOS_FORMAS'!$AH$2:$AH$21,0))="Acerto",$OH82=1)),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IF($NJ82=0,0,INDEX('DADOS_FORMAS'!$GC$2:$GC$21,$NJ82))</f>
        <v/>
      </c>
      <c r="OG82" s="161">
        <f>IF($NJ82=0,0,INDEX('DADOS_FORMAS'!$GD$2:$GD$21,$NJ82))</f>
        <v/>
      </c>
      <c r="OH82" s="161">
        <f>IF($NJ82=0,0,INDEX('DADOS_FORMAS'!$GF$2:$GF$21,$NJ82))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IF(IFERROR(INDEX('DADOS_FORMAS'!$AS$2:$AS$21,MATCH(SUBSTITUTE(SUBSTITUTE(SUBSTITUTE($MU82,"~","~~"),"*","~*"),"?","~?"),'DADOS_FORMAS'!$AH$2:$AH$21,0)),"")="",0,IFERROR(N(VLOOKUP(SUBSTITUTE(SUBSTITUTE(SUBSTITUTE(IFERROR(INDEX('DADOS_FORMAS'!$AS$2:$AS$21,MATCH(SUBSTITUTE(SUBSTITUTE(SUBSTITUTE($MU82,"~","~~"),"*","~*"),"?","~?"),'DADOS_FORMAS'!$AH$2:$AH$21,0)),""),"~","~~"),"*","~*"),"?","~?"),'DADOS_RESTRICOES'!$M$2:$Q$54,3,FALSE)=1),0))</f>
        <v/>
      </c>
      <c r="OT82" s="161">
        <f>COUNTIF($OI82:$OJ82,2)+IF(IFERROR(INDEX('DADOS_FORMAS'!$AS$2:$AS$21,MATCH(SUBSTITUTE(SUBSTITUTE(SUBSTITUTE($MU82,"~","~~"),"*","~*"),"?","~?"),'DADOS_FORMAS'!$AH$2:$AH$21,0)),"")="",0,IFERROR(N(VLOOKUP(SUBSTITUTE(SUBSTITUTE(SUBSTITUTE(IFERROR(INDEX('DADOS_FORMAS'!$AS$2:$AS$21,MATCH(SUBSTITUTE(SUBSTITUTE(SUBSTITUTE($MU82,"~","~~"),"*","~*"),"?","~?"),'DADOS_FORMAS'!$AH$2:$AH$21,0)),""),"~","~~"),"*","~*"),"?","~?"),'DADOS_RESTRICOES'!$M$2:$Q$54,3,FALSE)=2),0))</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",TRUE,IF($ND82=0,"",TEXTJOIN(" · ",TRUE,IF($MQ82&gt;$NE82,"Este lugar abre no nível "&amp;$MQ82,""),IF($MS82&gt;$NF82,"Classe "&amp;$MS82&amp;": o nível "&amp;$NE82&amp;" libera até a "&amp;$NF82,""),IF($NX82=1,"A Forma "&amp;$MU82&amp;" pede "&amp;INDEX('DADOS_FORMAS'!$GA$2:$GA$21,$NJ82)&amp;" aberta",""),IF(AND($MS82=0,$NJ82&gt;0,IF($NJ82=0,0,INDEX('DADOS_FORMAS'!$GJ$2:$GJ$21,$NJ82))=0),$MU82&amp;"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Corpo")&gt;0,$OF82=0,OR($RO82="Cone",$RO82="Linha")),"Corpo a Corpo não entra em "&amp;$MU82,""),IF(AND(COUNTIF($OK82:$OL82,"Corpo a Corpo")&gt;0,$RP82="Corpo a Corpo"),"A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"&amp;$NC82,""))),IF(AND($MU82&lt;&gt;"",COUNTIF('DADOS_FORMAS'!$AH$2:$AH$21,SUBSTITUTE(SUBSTITUTE(SUBSTITUTE($MU82,"~","~~"),"*","~*"),"?","~?"))=0),"Forma não cadastrada ou com erro: "&amp;$MU82,""),IF(AND(IFERROR(INDEX('DADOS_FORMAS'!$AS$2:$AS$21,MATCH(SUBSTITUTE(SUBSTITUTE(SUBSTITUTE($MU82,"~","~~"),"*","~*"),"?","~?"),'DADOS_FORMAS'!$AH$2:$AH$21,0)),"")&lt;&gt;"",OR(IFERROR(VLOOKUP(SUBSTITUTE(SUBSTITUTE(SUBSTITUTE(IFERROR(INDEX('DADOS_FORMAS'!$AS$2:$AS$21,MATCH(SUBSTITUTE(SUBSTITUTE(SUBSTITUTE($MU82,"~","~~"),"*","~*"),"?","~?"),'DADOS_FORMAS'!$AH$2:$AH$21,0)),""),"~","~~"),"*","~*"),"?","~?"),'DADOS_RESTRICOES'!$M$2:$Q$54,2,FALSE),"")=$OK82,IFERROR(VLOOKUP(SUBSTITUTE(SUBSTITUTE(SUBSTITUTE(IFERROR(INDEX('DADOS_FORMAS'!$AS$2:$AS$21,MATCH(SUBSTITUTE(SUBSTITUTE(SUBSTITUTE($MU82,"~","~~"),"*","~*"),"?","~?"),'DADOS_FORMAS'!$AH$2:$AH$21,0)),""),"~","~~"),"*","~*"),"?","~?"),'DADOS_RESTRICOES'!$M$2:$Q$54,2,FALSE),"")=$OL82)),"Restrição repetida, contando a embutida",""),IF(IF(IFERROR(INDEX('DADOS_FORMAS'!$AS$2:$AS$21,MATCH(SUBSTITUTE(SUBSTITUTE(SUBSTITUTE($MU82,"~","~~"),"*","~*"),"?","~?"),'DADOS_FORMAS'!$AH$2:$AH$21,0)),"")="",0,IFERROR(N(VLOOKUP(SUBSTITUTE(SUBSTITUTE(SUBSTITUTE(IFERROR(INDEX('DADOS_FORMAS'!$AS$2:$AS$21,MATCH(SUBSTITUTE(SUBSTITUTE(SUBSTITUTE($MU82,"~","~~"),"*","~*"),"?","~?"),'DADOS_FORMAS'!$AH$2:$AH$21,0)),""),"~","~~"),"*","~*"),"?","~?"),'DADOS_RESTRICOES'!$M$2:$Q$54,4,FALSE)=1),0))+IF($NB82="",0,IFERROR(N(VLOOKUP(SUBSTITUTE(SUBSTITUTE(SUBSTITUTE($NB82,"~","~~"),"*","~*"),"?","~?"),'DADOS_RESTRICOES'!$M$2:$Q$54,4,FALSE)=1),0))+IF($NC82="",0,IFERROR(N(VLOOKUP(SUBSTITUTE(SUBSTITUTE(SUBSTITUTE($NC82,"~","~~"),"*","~*"),"?","~?"),'DADOS_RESTRICOES'!$M$2:$Q$54,4,FALSE)=1),0))&gt;1,"Duas Restrições de frequência, contando a embutida",""),IF(AND(IFERROR(VLOOKUP(SUBSTITUTE(SUBSTITUTE(SUBSTITUTE(IFERROR(INDEX('DADOS_FORMAS'!$AS$2:$AS$21,MATCH(SUBSTITUTE(SUBSTITUTE(SUBSTITUTE($MU82,"~","~~"),"*","~*"),"?","~?"),'DADOS_FORMAS'!$AH$2:$AH$21,0)),""),"~","~~"),"*","~*"),"?","~?"),'DADOS_RESTRICOES'!$M$2:$Q$54,2,FALSE),"")="Tudo ou Nada",$OH82=0),"Tudo ou Nada exige TR",""),IF(AND(IFERROR(VLOOKUP(SUBSTITUTE(SUBSTITUTE(SUBSTITUTE(IFERROR(INDEX('DADOS_FORMAS'!$AS$2:$AS$21,MATCH(SUBSTITUTE(SUBSTITUTE(SUBSTITUTE($MU82,"~","~~"),"*","~*"),"?","~?"),'DADOS_FORMAS'!$AH$2:$AH$21,0)),""),"~","~~"),"*","~*"),"?","~?"),'DADOS_RESTRICOES'!$M$2:$Q$54,2,FALSE),"")="Corpo a Corpo",OR($RO82="Cone",$RO82="Linha")),"Corpo a Corpo não entra em Cone/Linha","")))</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dela",IF(COUNTIF($RQ82:$RS82,"Atrasar")&gt;0,"Sua Ação Completa",IF(COUNTIF($RK82:$RN82,"Rápido")&gt;0,"Sua Bônus",IF(COUNTIF($RK82:$RN82,"Reação")&gt;0,"Sua Reação","Sua Padrão")))&amp;" + a básica dela"&amp;IF(COUNTIF($RK82:$RN82,"Reação")&gt;0," e a coletiva","")&amp;IF(COUNTIF($RQ82:$RS82,"Carregar")&gt;0," · em dois turnos","")))</f>
        <v/>
      </c>
      <c r="QC82" s="161">
        <f>IF($MW82&lt;&gt;"",$MW82,IF($NJ82=0,"",INDEX('DADOS_FORMAS'!$GE$2:$GE$21,$NJ82)))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IF($NJ82=0,0,CHOOSE(1+INDEX('DADOS_FORMAS'!$GG$2:$GG$21,$NJ82),0,$QF82,$QG82,$QF82+$QG82))</f>
        <v/>
      </c>
      <c r="QI82" s="161">
        <f>IF($NJ82=0,0,CHOOSE(1+INDEX('DADOS_FORMAS'!$GH$2:$GH$21,$NJ82),0,$QF82,$QG82,$QF82+$QG82))</f>
        <v/>
      </c>
      <c r="QJ82" s="161">
        <f>IF(OR($ND82=0,$NJ82=0),"",INDEX('DADOS_FORMAS'!$HU$2:$HZ$81,($NJ82-1)*4+IF($MS82=0,1,IF($MS82&lt;=5,2,IF($MS82=6,3,4))),1+MIN(5,$QH82))&amp;INDEX('DADOS_FORMAS'!$IA$2:$IF$81,($NJ82-1)*4+IF($MS82=0,1,IF($MS82&lt;=5,2,IF($MS82=6,3,4))),1+MIN(5,$QI82))&amp;IF(INDEX('DADOS_FORMAS'!$GI$2:$GI$21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c r="RO82">
        <f>IFERROR(INDEX('DADOS_FORMAS'!$BJ$2:$BJ$21,MATCH(SUBSTITUTE(SUBSTITUTE(SUBSTITUTE($MU82,"~","~~"),"*","~*"),"?","~?"),'DADOS_FORMAS'!$AH$2:$AH$21,0)),"")</f>
        <v/>
      </c>
      <c r="RP82">
        <f>IFERROR(VLOOKUP(SUBSTITUTE(SUBSTITUTE(SUBSTITUTE(IFERROR(INDEX('DADOS_FORMAS'!$AS$2:$AS$21,MATCH(SUBSTITUTE(SUBSTITUTE(SUBSTITUTE($MU82,"~","~~"),"*","~*"),"?","~?"),'DADOS_FORMAS'!$AH$2:$AH$21,0)),""),"~","~~"),"*","~*"),"?","~?"),'DADOS_RESTRICOES'!$M$2:$Q$54,2,FALSE),"")</f>
        <v/>
      </c>
      <c r="RQ82">
        <f>$OK82</f>
        <v/>
      </c>
      <c r="RR82">
        <f>$OL82</f>
        <v/>
      </c>
      <c r="RS82">
        <f>$RP82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IFERROR(MATCH(SUBSTITUTE(SUBSTITUTE(SUBSTITUTE($MU83,"~","~~"),"*","~*"),"?","~?"),'DADOS_FORMAS'!$FZ$2:$FZ$21,0),0)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IF($MS83=0,0,IF($NJ83=0,0,INDEX('DADOS_FORMAS'!$GB$2:$GB$21,$NJ83)))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IF($NJ83=0,0,IF(INDEX('DADOS_FORMAS'!$GA$2:$GA$21,$NJ83)="",0,IF((COUNTIF(INDEX($EL$2:$EP$13,$MO83,0),INDEX('DADOS_FORMAS'!$GA$2:$GA$21,$NJ83))+COUNTIF(INDEX($QV$2:$QY$13,$MO83,0),INDEX('DADOS_FORMAS'!$GA$2:$GA$21,$NJ83)))=0,1,0)))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IFERROR(N(AND(INDEX('DADOS_FORMAS'!$AO$2:$AO$21,MATCH(SUBSTITUTE(SUBSTITUTE(SUBSTITUTE($MU83,"~","~~"),"*","~*"),"?","~?"),'DADOS_FORMAS'!$AH$2:$AH$21,0))="Acerto",$OH83=1)),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IF($NJ83=0,0,INDEX('DADOS_FORMAS'!$GC$2:$GC$21,$NJ83))</f>
        <v/>
      </c>
      <c r="OG83" s="161">
        <f>IF($NJ83=0,0,INDEX('DADOS_FORMAS'!$GD$2:$GD$21,$NJ83))</f>
        <v/>
      </c>
      <c r="OH83" s="161">
        <f>IF($NJ83=0,0,INDEX('DADOS_FORMAS'!$GF$2:$GF$21,$NJ83))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IF(IFERROR(INDEX('DADOS_FORMAS'!$AS$2:$AS$21,MATCH(SUBSTITUTE(SUBSTITUTE(SUBSTITUTE($MU83,"~","~~"),"*","~*"),"?","~?"),'DADOS_FORMAS'!$AH$2:$AH$21,0)),"")="",0,IFERROR(N(VLOOKUP(SUBSTITUTE(SUBSTITUTE(SUBSTITUTE(IFERROR(INDEX('DADOS_FORMAS'!$AS$2:$AS$21,MATCH(SUBSTITUTE(SUBSTITUTE(SUBSTITUTE($MU83,"~","~~"),"*","~*"),"?","~?"),'DADOS_FORMAS'!$AH$2:$AH$21,0)),""),"~","~~"),"*","~*"),"?","~?"),'DADOS_RESTRICOES'!$M$2:$Q$54,3,FALSE)=1),0))</f>
        <v/>
      </c>
      <c r="OT83" s="161">
        <f>COUNTIF($OI83:$OJ83,2)+IF(IFERROR(INDEX('DADOS_FORMAS'!$AS$2:$AS$21,MATCH(SUBSTITUTE(SUBSTITUTE(SUBSTITUTE($MU83,"~","~~"),"*","~*"),"?","~?"),'DADOS_FORMAS'!$AH$2:$AH$21,0)),"")="",0,IFERROR(N(VLOOKUP(SUBSTITUTE(SUBSTITUTE(SUBSTITUTE(IFERROR(INDEX('DADOS_FORMAS'!$AS$2:$AS$21,MATCH(SUBSTITUTE(SUBSTITUTE(SUBSTITUTE($MU83,"~","~~"),"*","~*"),"?","~?"),'DADOS_FORMAS'!$AH$2:$AH$21,0)),""),"~","~~"),"*","~*"),"?","~?"),'DADOS_RESTRICOES'!$M$2:$Q$54,3,FALSE)=2),0))</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",TRUE,IF($ND83=0,"",TEXTJOIN(" · ",TRUE,IF($MQ83&gt;$NE83,"Este lugar abre no nível "&amp;$MQ83,""),IF($MS83&gt;$NF83,"Classe "&amp;$MS83&amp;": o nível "&amp;$NE83&amp;" libera até a "&amp;$NF83,""),IF($NX83=1,"A Forma "&amp;$MU83&amp;" pede "&amp;INDEX('DADOS_FORMAS'!$GA$2:$GA$21,$NJ83)&amp;" aberta",""),IF(AND($MS83=0,$NJ83&gt;0,IF($NJ83=0,0,INDEX('DADOS_FORMAS'!$GJ$2:$GJ$21,$NJ83))=0),$MU83&amp;"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Corpo")&gt;0,$OF83=0,OR($RO83="Cone",$RO83="Linha")),"Corpo a Corpo não entra em "&amp;$MU83,""),IF(AND(COUNTIF($OK83:$OL83,"Corpo a Corpo")&gt;0,$RP83="Corpo a Corpo"),"A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"&amp;$NC83,""))),IF(AND($MU83&lt;&gt;"",COUNTIF('DADOS_FORMAS'!$AH$2:$AH$21,SUBSTITUTE(SUBSTITUTE(SUBSTITUTE($MU83,"~","~~"),"*","~*"),"?","~?"))=0),"Forma não cadastrada ou com erro: "&amp;$MU83,""),IF(AND(IFERROR(INDEX('DADOS_FORMAS'!$AS$2:$AS$21,MATCH(SUBSTITUTE(SUBSTITUTE(SUBSTITUTE($MU83,"~","~~"),"*","~*"),"?","~?"),'DADOS_FORMAS'!$AH$2:$AH$21,0)),"")&lt;&gt;"",OR(IFERROR(VLOOKUP(SUBSTITUTE(SUBSTITUTE(SUBSTITUTE(IFERROR(INDEX('DADOS_FORMAS'!$AS$2:$AS$21,MATCH(SUBSTITUTE(SUBSTITUTE(SUBSTITUTE($MU83,"~","~~"),"*","~*"),"?","~?"),'DADOS_FORMAS'!$AH$2:$AH$21,0)),""),"~","~~"),"*","~*"),"?","~?"),'DADOS_RESTRICOES'!$M$2:$Q$54,2,FALSE),"")=$OK83,IFERROR(VLOOKUP(SUBSTITUTE(SUBSTITUTE(SUBSTITUTE(IFERROR(INDEX('DADOS_FORMAS'!$AS$2:$AS$21,MATCH(SUBSTITUTE(SUBSTITUTE(SUBSTITUTE($MU83,"~","~~"),"*","~*"),"?","~?"),'DADOS_FORMAS'!$AH$2:$AH$21,0)),""),"~","~~"),"*","~*"),"?","~?"),'DADOS_RESTRICOES'!$M$2:$Q$54,2,FALSE),"")=$OL83)),"Restrição repetida, contando a embutida",""),IF(IF(IFERROR(INDEX('DADOS_FORMAS'!$AS$2:$AS$21,MATCH(SUBSTITUTE(SUBSTITUTE(SUBSTITUTE($MU83,"~","~~"),"*","~*"),"?","~?"),'DADOS_FORMAS'!$AH$2:$AH$21,0)),"")="",0,IFERROR(N(VLOOKUP(SUBSTITUTE(SUBSTITUTE(SUBSTITUTE(IFERROR(INDEX('DADOS_FORMAS'!$AS$2:$AS$21,MATCH(SUBSTITUTE(SUBSTITUTE(SUBSTITUTE($MU83,"~","~~"),"*","~*"),"?","~?"),'DADOS_FORMAS'!$AH$2:$AH$21,0)),""),"~","~~"),"*","~*"),"?","~?"),'DADOS_RESTRICOES'!$M$2:$Q$54,4,FALSE)=1),0))+IF($NB83="",0,IFERROR(N(VLOOKUP(SUBSTITUTE(SUBSTITUTE(SUBSTITUTE($NB83,"~","~~"),"*","~*"),"?","~?"),'DADOS_RESTRICOES'!$M$2:$Q$54,4,FALSE)=1),0))+IF($NC83="",0,IFERROR(N(VLOOKUP(SUBSTITUTE(SUBSTITUTE(SUBSTITUTE($NC83,"~","~~"),"*","~*"),"?","~?"),'DADOS_RESTRICOES'!$M$2:$Q$54,4,FALSE)=1),0))&gt;1,"Duas Restrições de frequência, contando a embutida",""),IF(AND(IFERROR(VLOOKUP(SUBSTITUTE(SUBSTITUTE(SUBSTITUTE(IFERROR(INDEX('DADOS_FORMAS'!$AS$2:$AS$21,MATCH(SUBSTITUTE(SUBSTITUTE(SUBSTITUTE($MU83,"~","~~"),"*","~*"),"?","~?"),'DADOS_FORMAS'!$AH$2:$AH$21,0)),""),"~","~~"),"*","~*"),"?","~?"),'DADOS_RESTRICOES'!$M$2:$Q$54,2,FALSE),"")="Tudo ou Nada",$OH83=0),"Tudo ou Nada exige TR",""),IF(AND(IFERROR(VLOOKUP(SUBSTITUTE(SUBSTITUTE(SUBSTITUTE(IFERROR(INDEX('DADOS_FORMAS'!$AS$2:$AS$21,MATCH(SUBSTITUTE(SUBSTITUTE(SUBSTITUTE($MU83,"~","~~"),"*","~*"),"?","~?"),'DADOS_FORMAS'!$AH$2:$AH$21,0)),""),"~","~~"),"*","~*"),"?","~?"),'DADOS_RESTRICOES'!$M$2:$Q$54,2,FALSE),"")="Corpo a Corpo",OR($RO83="Cone",$RO83="Linha")),"Corpo a Corpo não entra em Cone/Linha","")))</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dela",IF(COUNTIF($RQ83:$RS83,"Atrasar")&gt;0,"Sua Ação Completa",IF(COUNTIF($RK83:$RN83,"Rápido")&gt;0,"Sua Bônus",IF(COUNTIF($RK83:$RN83,"Reação")&gt;0,"Sua Reação","Sua Padrão")))&amp;" + a básica dela"&amp;IF(COUNTIF($RK83:$RN83,"Reação")&gt;0," e a coletiva","")&amp;IF(COUNTIF($RQ83:$RS83,"Carregar")&gt;0," · em dois turnos","")))</f>
        <v/>
      </c>
      <c r="QC83" s="161">
        <f>IF($MW83&lt;&gt;"",$MW83,IF($NJ83=0,"",INDEX('DADOS_FORMAS'!$GE$2:$GE$21,$NJ83)))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IF($NJ83=0,0,CHOOSE(1+INDEX('DADOS_FORMAS'!$GG$2:$GG$21,$NJ83),0,$QF83,$QG83,$QF83+$QG83))</f>
        <v/>
      </c>
      <c r="QI83" s="161">
        <f>IF($NJ83=0,0,CHOOSE(1+INDEX('DADOS_FORMAS'!$GH$2:$GH$21,$NJ83),0,$QF83,$QG83,$QF83+$QG83))</f>
        <v/>
      </c>
      <c r="QJ83" s="161">
        <f>IF(OR($ND83=0,$NJ83=0),"",INDEX('DADOS_FORMAS'!$HU$2:$HZ$81,($NJ83-1)*4+IF($MS83=0,1,IF($MS83&lt;=5,2,IF($MS83=6,3,4))),1+MIN(5,$QH83))&amp;INDEX('DADOS_FORMAS'!$IA$2:$IF$81,($NJ83-1)*4+IF($MS83=0,1,IF($MS83&lt;=5,2,IF($MS83=6,3,4))),1+MIN(5,$QI83))&amp;IF(INDEX('DADOS_FORMAS'!$GI$2:$GI$21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c r="RO83">
        <f>IFERROR(INDEX('DADOS_FORMAS'!$BJ$2:$BJ$21,MATCH(SUBSTITUTE(SUBSTITUTE(SUBSTITUTE($MU83,"~","~~"),"*","~*"),"?","~?"),'DADOS_FORMAS'!$AH$2:$AH$21,0)),"")</f>
        <v/>
      </c>
      <c r="RP83">
        <f>IFERROR(VLOOKUP(SUBSTITUTE(SUBSTITUTE(SUBSTITUTE(IFERROR(INDEX('DADOS_FORMAS'!$AS$2:$AS$21,MATCH(SUBSTITUTE(SUBSTITUTE(SUBSTITUTE($MU83,"~","~~"),"*","~*"),"?","~?"),'DADOS_FORMAS'!$AH$2:$AH$21,0)),""),"~","~~"),"*","~*"),"?","~?"),'DADOS_RESTRICOES'!$M$2:$Q$54,2,FALSE),"")</f>
        <v/>
      </c>
      <c r="RQ83">
        <f>$OK83</f>
        <v/>
      </c>
      <c r="RR83">
        <f>$OL83</f>
        <v/>
      </c>
      <c r="RS83">
        <f>$RP83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IFERROR(MATCH(SUBSTITUTE(SUBSTITUTE(SUBSTITUTE($MU84,"~","~~"),"*","~*"),"?","~?"),'DADOS_FORMAS'!$FZ$2:$FZ$21,0),0)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IF($MS84=0,0,IF($NJ84=0,0,INDEX('DADOS_FORMAS'!$GB$2:$GB$21,$NJ84)))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IF($NJ84=0,0,IF(INDEX('DADOS_FORMAS'!$GA$2:$GA$21,$NJ84)="",0,IF((COUNTIF(INDEX($EL$2:$EP$13,$MO84,0),INDEX('DADOS_FORMAS'!$GA$2:$GA$21,$NJ84))+COUNTIF(INDEX($QV$2:$QY$13,$MO84,0),INDEX('DADOS_FORMAS'!$GA$2:$GA$21,$NJ84)))=0,1,0)))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IFERROR(N(AND(INDEX('DADOS_FORMAS'!$AO$2:$AO$21,MATCH(SUBSTITUTE(SUBSTITUTE(SUBSTITUTE($MU84,"~","~~"),"*","~*"),"?","~?"),'DADOS_FORMAS'!$AH$2:$AH$21,0))="Acerto",$OH84=1)),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IF($NJ84=0,0,INDEX('DADOS_FORMAS'!$GC$2:$GC$21,$NJ84))</f>
        <v/>
      </c>
      <c r="OG84" s="161">
        <f>IF($NJ84=0,0,INDEX('DADOS_FORMAS'!$GD$2:$GD$21,$NJ84))</f>
        <v/>
      </c>
      <c r="OH84" s="161">
        <f>IF($NJ84=0,0,INDEX('DADOS_FORMAS'!$GF$2:$GF$21,$NJ84))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IF(IFERROR(INDEX('DADOS_FORMAS'!$AS$2:$AS$21,MATCH(SUBSTITUTE(SUBSTITUTE(SUBSTITUTE($MU84,"~","~~"),"*","~*"),"?","~?"),'DADOS_FORMAS'!$AH$2:$AH$21,0)),"")="",0,IFERROR(N(VLOOKUP(SUBSTITUTE(SUBSTITUTE(SUBSTITUTE(IFERROR(INDEX('DADOS_FORMAS'!$AS$2:$AS$21,MATCH(SUBSTITUTE(SUBSTITUTE(SUBSTITUTE($MU84,"~","~~"),"*","~*"),"?","~?"),'DADOS_FORMAS'!$AH$2:$AH$21,0)),""),"~","~~"),"*","~*"),"?","~?"),'DADOS_RESTRICOES'!$M$2:$Q$54,3,FALSE)=1),0))</f>
        <v/>
      </c>
      <c r="OT84" s="161">
        <f>COUNTIF($OI84:$OJ84,2)+IF(IFERROR(INDEX('DADOS_FORMAS'!$AS$2:$AS$21,MATCH(SUBSTITUTE(SUBSTITUTE(SUBSTITUTE($MU84,"~","~~"),"*","~*"),"?","~?"),'DADOS_FORMAS'!$AH$2:$AH$21,0)),"")="",0,IFERROR(N(VLOOKUP(SUBSTITUTE(SUBSTITUTE(SUBSTITUTE(IFERROR(INDEX('DADOS_FORMAS'!$AS$2:$AS$21,MATCH(SUBSTITUTE(SUBSTITUTE(SUBSTITUTE($MU84,"~","~~"),"*","~*"),"?","~?"),'DADOS_FORMAS'!$AH$2:$AH$21,0)),""),"~","~~"),"*","~*"),"?","~?"),'DADOS_RESTRICOES'!$M$2:$Q$54,3,FALSE)=2),0))</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",TRUE,IF($ND84=0,"",TEXTJOIN(" · ",TRUE,IF($MQ84&gt;$NE84,"Este lugar abre no nível "&amp;$MQ84,""),IF($MS84&gt;$NF84,"Classe "&amp;$MS84&amp;": o nível "&amp;$NE84&amp;" libera até a "&amp;$NF84,""),IF($NX84=1,"A Forma "&amp;$MU84&amp;" pede "&amp;INDEX('DADOS_FORMAS'!$GA$2:$GA$21,$NJ84)&amp;" aberta",""),IF(AND($MS84=0,$NJ84&gt;0,IF($NJ84=0,0,INDEX('DADOS_FORMAS'!$GJ$2:$GJ$21,$NJ84))=0),$MU84&amp;"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Corpo")&gt;0,$OF84=0,OR($RO84="Cone",$RO84="Linha")),"Corpo a Corpo não entra em "&amp;$MU84,""),IF(AND(COUNTIF($OK84:$OL84,"Corpo a Corpo")&gt;0,$RP84="Corpo a Corpo"),"A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"&amp;$NC84,""))),IF(AND($MU84&lt;&gt;"",COUNTIF('DADOS_FORMAS'!$AH$2:$AH$21,SUBSTITUTE(SUBSTITUTE(SUBSTITUTE($MU84,"~","~~"),"*","~*"),"?","~?"))=0),"Forma não cadastrada ou com erro: "&amp;$MU84,""),IF(AND(IFERROR(INDEX('DADOS_FORMAS'!$AS$2:$AS$21,MATCH(SUBSTITUTE(SUBSTITUTE(SUBSTITUTE($MU84,"~","~~"),"*","~*"),"?","~?"),'DADOS_FORMAS'!$AH$2:$AH$21,0)),"")&lt;&gt;"",OR(IFERROR(VLOOKUP(SUBSTITUTE(SUBSTITUTE(SUBSTITUTE(IFERROR(INDEX('DADOS_FORMAS'!$AS$2:$AS$21,MATCH(SUBSTITUTE(SUBSTITUTE(SUBSTITUTE($MU84,"~","~~"),"*","~*"),"?","~?"),'DADOS_FORMAS'!$AH$2:$AH$21,0)),""),"~","~~"),"*","~*"),"?","~?"),'DADOS_RESTRICOES'!$M$2:$Q$54,2,FALSE),"")=$OK84,IFERROR(VLOOKUP(SUBSTITUTE(SUBSTITUTE(SUBSTITUTE(IFERROR(INDEX('DADOS_FORMAS'!$AS$2:$AS$21,MATCH(SUBSTITUTE(SUBSTITUTE(SUBSTITUTE($MU84,"~","~~"),"*","~*"),"?","~?"),'DADOS_FORMAS'!$AH$2:$AH$21,0)),""),"~","~~"),"*","~*"),"?","~?"),'DADOS_RESTRICOES'!$M$2:$Q$54,2,FALSE),"")=$OL84)),"Restrição repetida, contando a embutida",""),IF(IF(IFERROR(INDEX('DADOS_FORMAS'!$AS$2:$AS$21,MATCH(SUBSTITUTE(SUBSTITUTE(SUBSTITUTE($MU84,"~","~~"),"*","~*"),"?","~?"),'DADOS_FORMAS'!$AH$2:$AH$21,0)),"")="",0,IFERROR(N(VLOOKUP(SUBSTITUTE(SUBSTITUTE(SUBSTITUTE(IFERROR(INDEX('DADOS_FORMAS'!$AS$2:$AS$21,MATCH(SUBSTITUTE(SUBSTITUTE(SUBSTITUTE($MU84,"~","~~"),"*","~*"),"?","~?"),'DADOS_FORMAS'!$AH$2:$AH$21,0)),""),"~","~~"),"*","~*"),"?","~?"),'DADOS_RESTRICOES'!$M$2:$Q$54,4,FALSE)=1),0))+IF($NB84="",0,IFERROR(N(VLOOKUP(SUBSTITUTE(SUBSTITUTE(SUBSTITUTE($NB84,"~","~~"),"*","~*"),"?","~?"),'DADOS_RESTRICOES'!$M$2:$Q$54,4,FALSE)=1),0))+IF($NC84="",0,IFERROR(N(VLOOKUP(SUBSTITUTE(SUBSTITUTE(SUBSTITUTE($NC84,"~","~~"),"*","~*"),"?","~?"),'DADOS_RESTRICOES'!$M$2:$Q$54,4,FALSE)=1),0))&gt;1,"Duas Restrições de frequência, contando a embutida",""),IF(AND(IFERROR(VLOOKUP(SUBSTITUTE(SUBSTITUTE(SUBSTITUTE(IFERROR(INDEX('DADOS_FORMAS'!$AS$2:$AS$21,MATCH(SUBSTITUTE(SUBSTITUTE(SUBSTITUTE($MU84,"~","~~"),"*","~*"),"?","~?"),'DADOS_FORMAS'!$AH$2:$AH$21,0)),""),"~","~~"),"*","~*"),"?","~?"),'DADOS_RESTRICOES'!$M$2:$Q$54,2,FALSE),"")="Tudo ou Nada",$OH84=0),"Tudo ou Nada exige TR",""),IF(AND(IFERROR(VLOOKUP(SUBSTITUTE(SUBSTITUTE(SUBSTITUTE(IFERROR(INDEX('DADOS_FORMAS'!$AS$2:$AS$21,MATCH(SUBSTITUTE(SUBSTITUTE(SUBSTITUTE($MU84,"~","~~"),"*","~*"),"?","~?"),'DADOS_FORMAS'!$AH$2:$AH$21,0)),""),"~","~~"),"*","~*"),"?","~?"),'DADOS_RESTRICOES'!$M$2:$Q$54,2,FALSE),"")="Corpo a Corpo",OR($RO84="Cone",$RO84="Linha")),"Corpo a Corpo não entra em Cone/Linha","")))</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dela",IF(COUNTIF($RQ84:$RS84,"Atrasar")&gt;0,"Sua Ação Completa",IF(COUNTIF($RK84:$RN84,"Rápido")&gt;0,"Sua Bônus",IF(COUNTIF($RK84:$RN84,"Reação")&gt;0,"Sua Reação","Sua Padrão")))&amp;" + a básica dela"&amp;IF(COUNTIF($RK84:$RN84,"Reação")&gt;0," e a coletiva","")&amp;IF(COUNTIF($RQ84:$RS84,"Carregar")&gt;0," · em dois turnos","")))</f>
        <v/>
      </c>
      <c r="QC84" s="161">
        <f>IF($MW84&lt;&gt;"",$MW84,IF($NJ84=0,"",INDEX('DADOS_FORMAS'!$GE$2:$GE$21,$NJ84)))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IF($NJ84=0,0,CHOOSE(1+INDEX('DADOS_FORMAS'!$GG$2:$GG$21,$NJ84),0,$QF84,$QG84,$QF84+$QG84))</f>
        <v/>
      </c>
      <c r="QI84" s="161">
        <f>IF($NJ84=0,0,CHOOSE(1+INDEX('DADOS_FORMAS'!$GH$2:$GH$21,$NJ84),0,$QF84,$QG84,$QF84+$QG84))</f>
        <v/>
      </c>
      <c r="QJ84" s="161">
        <f>IF(OR($ND84=0,$NJ84=0),"",INDEX('DADOS_FORMAS'!$HU$2:$HZ$81,($NJ84-1)*4+IF($MS84=0,1,IF($MS84&lt;=5,2,IF($MS84=6,3,4))),1+MIN(5,$QH84))&amp;INDEX('DADOS_FORMAS'!$IA$2:$IF$81,($NJ84-1)*4+IF($MS84=0,1,IF($MS84&lt;=5,2,IF($MS84=6,3,4))),1+MIN(5,$QI84))&amp;IF(INDEX('DADOS_FORMAS'!$GI$2:$GI$21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c r="RO84">
        <f>IFERROR(INDEX('DADOS_FORMAS'!$BJ$2:$BJ$21,MATCH(SUBSTITUTE(SUBSTITUTE(SUBSTITUTE($MU84,"~","~~"),"*","~*"),"?","~?"),'DADOS_FORMAS'!$AH$2:$AH$21,0)),"")</f>
        <v/>
      </c>
      <c r="RP84">
        <f>IFERROR(VLOOKUP(SUBSTITUTE(SUBSTITUTE(SUBSTITUTE(IFERROR(INDEX('DADOS_FORMAS'!$AS$2:$AS$21,MATCH(SUBSTITUTE(SUBSTITUTE(SUBSTITUTE($MU84,"~","~~"),"*","~*"),"?","~?"),'DADOS_FORMAS'!$AH$2:$AH$21,0)),""),"~","~~"),"*","~*"),"?","~?"),'DADOS_RESTRICOES'!$M$2:$Q$54,2,FALSE),"")</f>
        <v/>
      </c>
      <c r="RQ84">
        <f>$OK84</f>
        <v/>
      </c>
      <c r="RR84">
        <f>$OL84</f>
        <v/>
      </c>
      <c r="RS84">
        <f>$RP84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IFERROR(MATCH(SUBSTITUTE(SUBSTITUTE(SUBSTITUTE($MU85,"~","~~"),"*","~*"),"?","~?"),'DADOS_FORMAS'!$FZ$2:$FZ$21,0),0)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IF($MS85=0,0,IF($NJ85=0,0,INDEX('DADOS_FORMAS'!$GB$2:$GB$21,$NJ85)))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IF($NJ85=0,0,IF(INDEX('DADOS_FORMAS'!$GA$2:$GA$21,$NJ85)="",0,IF((COUNTIF(INDEX($EL$2:$EP$13,$MO85,0),INDEX('DADOS_FORMAS'!$GA$2:$GA$21,$NJ85))+COUNTIF(INDEX($QV$2:$QY$13,$MO85,0),INDEX('DADOS_FORMAS'!$GA$2:$GA$21,$NJ85)))=0,1,0)))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IFERROR(N(AND(INDEX('DADOS_FORMAS'!$AO$2:$AO$21,MATCH(SUBSTITUTE(SUBSTITUTE(SUBSTITUTE($MU85,"~","~~"),"*","~*"),"?","~?"),'DADOS_FORMAS'!$AH$2:$AH$21,0))="Acerto",$OH85=1)),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IF($NJ85=0,0,INDEX('DADOS_FORMAS'!$GC$2:$GC$21,$NJ85))</f>
        <v/>
      </c>
      <c r="OG85" s="161">
        <f>IF($NJ85=0,0,INDEX('DADOS_FORMAS'!$GD$2:$GD$21,$NJ85))</f>
        <v/>
      </c>
      <c r="OH85" s="161">
        <f>IF($NJ85=0,0,INDEX('DADOS_FORMAS'!$GF$2:$GF$21,$NJ85))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IF(IFERROR(INDEX('DADOS_FORMAS'!$AS$2:$AS$21,MATCH(SUBSTITUTE(SUBSTITUTE(SUBSTITUTE($MU85,"~","~~"),"*","~*"),"?","~?"),'DADOS_FORMAS'!$AH$2:$AH$21,0)),"")="",0,IFERROR(N(VLOOKUP(SUBSTITUTE(SUBSTITUTE(SUBSTITUTE(IFERROR(INDEX('DADOS_FORMAS'!$AS$2:$AS$21,MATCH(SUBSTITUTE(SUBSTITUTE(SUBSTITUTE($MU85,"~","~~"),"*","~*"),"?","~?"),'DADOS_FORMAS'!$AH$2:$AH$21,0)),""),"~","~~"),"*","~*"),"?","~?"),'DADOS_RESTRICOES'!$M$2:$Q$54,3,FALSE)=1),0))</f>
        <v/>
      </c>
      <c r="OT85" s="161">
        <f>COUNTIF($OI85:$OJ85,2)+IF(IFERROR(INDEX('DADOS_FORMAS'!$AS$2:$AS$21,MATCH(SUBSTITUTE(SUBSTITUTE(SUBSTITUTE($MU85,"~","~~"),"*","~*"),"?","~?"),'DADOS_FORMAS'!$AH$2:$AH$21,0)),"")="",0,IFERROR(N(VLOOKUP(SUBSTITUTE(SUBSTITUTE(SUBSTITUTE(IFERROR(INDEX('DADOS_FORMAS'!$AS$2:$AS$21,MATCH(SUBSTITUTE(SUBSTITUTE(SUBSTITUTE($MU85,"~","~~"),"*","~*"),"?","~?"),'DADOS_FORMAS'!$AH$2:$AH$21,0)),""),"~","~~"),"*","~*"),"?","~?"),'DADOS_RESTRICOES'!$M$2:$Q$54,3,FALSE)=2),0))</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",TRUE,IF($ND85=0,"",TEXTJOIN(" · ",TRUE,IF($MQ85&gt;$NE85,"Este lugar abre no nível "&amp;$MQ85,""),IF($MS85&gt;$NF85,"Classe "&amp;$MS85&amp;": o nível "&amp;$NE85&amp;" libera até a "&amp;$NF85,""),IF($NX85=1,"A Forma "&amp;$MU85&amp;" pede "&amp;INDEX('DADOS_FORMAS'!$GA$2:$GA$21,$NJ85)&amp;" aberta",""),IF(AND($MS85=0,$NJ85&gt;0,IF($NJ85=0,0,INDEX('DADOS_FORMAS'!$GJ$2:$GJ$21,$NJ85))=0),$MU85&amp;"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Corpo")&gt;0,$OF85=0,OR($RO85="Cone",$RO85="Linha")),"Corpo a Corpo não entra em "&amp;$MU85,""),IF(AND(COUNTIF($OK85:$OL85,"Corpo a Corpo")&gt;0,$RP85="Corpo a Corpo"),"A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"&amp;$NC85,""))),IF(AND($MU85&lt;&gt;"",COUNTIF('DADOS_FORMAS'!$AH$2:$AH$21,SUBSTITUTE(SUBSTITUTE(SUBSTITUTE($MU85,"~","~~"),"*","~*"),"?","~?"))=0),"Forma não cadastrada ou com erro: "&amp;$MU85,""),IF(AND(IFERROR(INDEX('DADOS_FORMAS'!$AS$2:$AS$21,MATCH(SUBSTITUTE(SUBSTITUTE(SUBSTITUTE($MU85,"~","~~"),"*","~*"),"?","~?"),'DADOS_FORMAS'!$AH$2:$AH$21,0)),"")&lt;&gt;"",OR(IFERROR(VLOOKUP(SUBSTITUTE(SUBSTITUTE(SUBSTITUTE(IFERROR(INDEX('DADOS_FORMAS'!$AS$2:$AS$21,MATCH(SUBSTITUTE(SUBSTITUTE(SUBSTITUTE($MU85,"~","~~"),"*","~*"),"?","~?"),'DADOS_FORMAS'!$AH$2:$AH$21,0)),""),"~","~~"),"*","~*"),"?","~?"),'DADOS_RESTRICOES'!$M$2:$Q$54,2,FALSE),"")=$OK85,IFERROR(VLOOKUP(SUBSTITUTE(SUBSTITUTE(SUBSTITUTE(IFERROR(INDEX('DADOS_FORMAS'!$AS$2:$AS$21,MATCH(SUBSTITUTE(SUBSTITUTE(SUBSTITUTE($MU85,"~","~~"),"*","~*"),"?","~?"),'DADOS_FORMAS'!$AH$2:$AH$21,0)),""),"~","~~"),"*","~*"),"?","~?"),'DADOS_RESTRICOES'!$M$2:$Q$54,2,FALSE),"")=$OL85)),"Restrição repetida, contando a embutida",""),IF(IF(IFERROR(INDEX('DADOS_FORMAS'!$AS$2:$AS$21,MATCH(SUBSTITUTE(SUBSTITUTE(SUBSTITUTE($MU85,"~","~~"),"*","~*"),"?","~?"),'DADOS_FORMAS'!$AH$2:$AH$21,0)),"")="",0,IFERROR(N(VLOOKUP(SUBSTITUTE(SUBSTITUTE(SUBSTITUTE(IFERROR(INDEX('DADOS_FORMAS'!$AS$2:$AS$21,MATCH(SUBSTITUTE(SUBSTITUTE(SUBSTITUTE($MU85,"~","~~"),"*","~*"),"?","~?"),'DADOS_FORMAS'!$AH$2:$AH$21,0)),""),"~","~~"),"*","~*"),"?","~?"),'DADOS_RESTRICOES'!$M$2:$Q$54,4,FALSE)=1),0))+IF($NB85="",0,IFERROR(N(VLOOKUP(SUBSTITUTE(SUBSTITUTE(SUBSTITUTE($NB85,"~","~~"),"*","~*"),"?","~?"),'DADOS_RESTRICOES'!$M$2:$Q$54,4,FALSE)=1),0))+IF($NC85="",0,IFERROR(N(VLOOKUP(SUBSTITUTE(SUBSTITUTE(SUBSTITUTE($NC85,"~","~~"),"*","~*"),"?","~?"),'DADOS_RESTRICOES'!$M$2:$Q$54,4,FALSE)=1),0))&gt;1,"Duas Restrições de frequência, contando a embutida",""),IF(AND(IFERROR(VLOOKUP(SUBSTITUTE(SUBSTITUTE(SUBSTITUTE(IFERROR(INDEX('DADOS_FORMAS'!$AS$2:$AS$21,MATCH(SUBSTITUTE(SUBSTITUTE(SUBSTITUTE($MU85,"~","~~"),"*","~*"),"?","~?"),'DADOS_FORMAS'!$AH$2:$AH$21,0)),""),"~","~~"),"*","~*"),"?","~?"),'DADOS_RESTRICOES'!$M$2:$Q$54,2,FALSE),"")="Tudo ou Nada",$OH85=0),"Tudo ou Nada exige TR",""),IF(AND(IFERROR(VLOOKUP(SUBSTITUTE(SUBSTITUTE(SUBSTITUTE(IFERROR(INDEX('DADOS_FORMAS'!$AS$2:$AS$21,MATCH(SUBSTITUTE(SUBSTITUTE(SUBSTITUTE($MU85,"~","~~"),"*","~*"),"?","~?"),'DADOS_FORMAS'!$AH$2:$AH$21,0)),""),"~","~~"),"*","~*"),"?","~?"),'DADOS_RESTRICOES'!$M$2:$Q$54,2,FALSE),"")="Corpo a Corpo",OR($RO85="Cone",$RO85="Linha")),"Corpo a Corpo não entra em Cone/Linha","")))</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dela",IF(COUNTIF($RQ85:$RS85,"Atrasar")&gt;0,"Sua Ação Completa",IF(COUNTIF($RK85:$RN85,"Rápido")&gt;0,"Sua Bônus",IF(COUNTIF($RK85:$RN85,"Reação")&gt;0,"Sua Reação","Sua Padrão")))&amp;" + a básica dela"&amp;IF(COUNTIF($RK85:$RN85,"Reação")&gt;0," e a coletiva","")&amp;IF(COUNTIF($RQ85:$RS85,"Carregar")&gt;0," · em dois turnos","")))</f>
        <v/>
      </c>
      <c r="QC85" s="161">
        <f>IF($MW85&lt;&gt;"",$MW85,IF($NJ85=0,"",INDEX('DADOS_FORMAS'!$GE$2:$GE$21,$NJ85)))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IF($NJ85=0,0,CHOOSE(1+INDEX('DADOS_FORMAS'!$GG$2:$GG$21,$NJ85),0,$QF85,$QG85,$QF85+$QG85))</f>
        <v/>
      </c>
      <c r="QI85" s="161">
        <f>IF($NJ85=0,0,CHOOSE(1+INDEX('DADOS_FORMAS'!$GH$2:$GH$21,$NJ85),0,$QF85,$QG85,$QF85+$QG85))</f>
        <v/>
      </c>
      <c r="QJ85" s="161">
        <f>IF(OR($ND85=0,$NJ85=0),"",INDEX('DADOS_FORMAS'!$HU$2:$HZ$81,($NJ85-1)*4+IF($MS85=0,1,IF($MS85&lt;=5,2,IF($MS85=6,3,4))),1+MIN(5,$QH85))&amp;INDEX('DADOS_FORMAS'!$IA$2:$IF$81,($NJ85-1)*4+IF($MS85=0,1,IF($MS85&lt;=5,2,IF($MS85=6,3,4))),1+MIN(5,$QI85))&amp;IF(INDEX('DADOS_FORMAS'!$GI$2:$GI$21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c r="RO85">
        <f>IFERROR(INDEX('DADOS_FORMAS'!$BJ$2:$BJ$21,MATCH(SUBSTITUTE(SUBSTITUTE(SUBSTITUTE($MU85,"~","~~"),"*","~*"),"?","~?"),'DADOS_FORMAS'!$AH$2:$AH$21,0)),"")</f>
        <v/>
      </c>
      <c r="RP85">
        <f>IFERROR(VLOOKUP(SUBSTITUTE(SUBSTITUTE(SUBSTITUTE(IFERROR(INDEX('DADOS_FORMAS'!$AS$2:$AS$21,MATCH(SUBSTITUTE(SUBSTITUTE(SUBSTITUTE($MU85,"~","~~"),"*","~*"),"?","~?"),'DADOS_FORMAS'!$AH$2:$AH$21,0)),""),"~","~~"),"*","~*"),"?","~?"),'DADOS_RESTRICOES'!$M$2:$Q$54,2,FALSE),"")</f>
        <v/>
      </c>
      <c r="RQ85">
        <f>$OK85</f>
        <v/>
      </c>
      <c r="RR85">
        <f>$OL85</f>
        <v/>
      </c>
      <c r="RS85">
        <f>$RP85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IFERROR(MATCH(SUBSTITUTE(SUBSTITUTE(SUBSTITUTE($MU86,"~","~~"),"*","~*"),"?","~?"),'DADOS_FORMAS'!$FZ$2:$FZ$21,0),0)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IF($MS86=0,0,IF($NJ86=0,0,INDEX('DADOS_FORMAS'!$GB$2:$GB$21,$NJ86)))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IF($NJ86=0,0,IF(INDEX('DADOS_FORMAS'!$GA$2:$GA$21,$NJ86)="",0,IF((COUNTIF(INDEX($EL$2:$EP$13,$MO86,0),INDEX('DADOS_FORMAS'!$GA$2:$GA$21,$NJ86))+COUNTIF(INDEX($QV$2:$QY$13,$MO86,0),INDEX('DADOS_FORMAS'!$GA$2:$GA$21,$NJ86)))=0,1,0)))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IFERROR(N(AND(INDEX('DADOS_FORMAS'!$AO$2:$AO$21,MATCH(SUBSTITUTE(SUBSTITUTE(SUBSTITUTE($MU86,"~","~~"),"*","~*"),"?","~?"),'DADOS_FORMAS'!$AH$2:$AH$21,0))="Acerto",$OH86=1)),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IF($NJ86=0,0,INDEX('DADOS_FORMAS'!$GC$2:$GC$21,$NJ86))</f>
        <v/>
      </c>
      <c r="OG86" s="161">
        <f>IF($NJ86=0,0,INDEX('DADOS_FORMAS'!$GD$2:$GD$21,$NJ86))</f>
        <v/>
      </c>
      <c r="OH86" s="161">
        <f>IF($NJ86=0,0,INDEX('DADOS_FORMAS'!$GF$2:$GF$21,$NJ86))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IF(IFERROR(INDEX('DADOS_FORMAS'!$AS$2:$AS$21,MATCH(SUBSTITUTE(SUBSTITUTE(SUBSTITUTE($MU86,"~","~~"),"*","~*"),"?","~?"),'DADOS_FORMAS'!$AH$2:$AH$21,0)),"")="",0,IFERROR(N(VLOOKUP(SUBSTITUTE(SUBSTITUTE(SUBSTITUTE(IFERROR(INDEX('DADOS_FORMAS'!$AS$2:$AS$21,MATCH(SUBSTITUTE(SUBSTITUTE(SUBSTITUTE($MU86,"~","~~"),"*","~*"),"?","~?"),'DADOS_FORMAS'!$AH$2:$AH$21,0)),""),"~","~~"),"*","~*"),"?","~?"),'DADOS_RESTRICOES'!$M$2:$Q$54,3,FALSE)=1),0))</f>
        <v/>
      </c>
      <c r="OT86" s="161">
        <f>COUNTIF($OI86:$OJ86,2)+IF(IFERROR(INDEX('DADOS_FORMAS'!$AS$2:$AS$21,MATCH(SUBSTITUTE(SUBSTITUTE(SUBSTITUTE($MU86,"~","~~"),"*","~*"),"?","~?"),'DADOS_FORMAS'!$AH$2:$AH$21,0)),"")="",0,IFERROR(N(VLOOKUP(SUBSTITUTE(SUBSTITUTE(SUBSTITUTE(IFERROR(INDEX('DADOS_FORMAS'!$AS$2:$AS$21,MATCH(SUBSTITUTE(SUBSTITUTE(SUBSTITUTE($MU86,"~","~~"),"*","~*"),"?","~?"),'DADOS_FORMAS'!$AH$2:$AH$21,0)),""),"~","~~"),"*","~*"),"?","~?"),'DADOS_RESTRICOES'!$M$2:$Q$54,3,FALSE)=2),0))</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",TRUE,IF($ND86=0,"",TEXTJOIN(" · ",TRUE,IF($MQ86&gt;$NE86,"Este lugar abre no nível "&amp;$MQ86,""),IF($MS86&gt;$NF86,"Classe "&amp;$MS86&amp;": o nível "&amp;$NE86&amp;" libera até a "&amp;$NF86,""),IF($NX86=1,"A Forma "&amp;$MU86&amp;" pede "&amp;INDEX('DADOS_FORMAS'!$GA$2:$GA$21,$NJ86)&amp;" aberta",""),IF(AND($MS86=0,$NJ86&gt;0,IF($NJ86=0,0,INDEX('DADOS_FORMAS'!$GJ$2:$GJ$21,$NJ86))=0),$MU86&amp;"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Corpo")&gt;0,$OF86=0,OR($RO86="Cone",$RO86="Linha")),"Corpo a Corpo não entra em "&amp;$MU86,""),IF(AND(COUNTIF($OK86:$OL86,"Corpo a Corpo")&gt;0,$RP86="Corpo a Corpo"),"A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"&amp;$NC86,""))),IF(AND($MU86&lt;&gt;"",COUNTIF('DADOS_FORMAS'!$AH$2:$AH$21,SUBSTITUTE(SUBSTITUTE(SUBSTITUTE($MU86,"~","~~"),"*","~*"),"?","~?"))=0),"Forma não cadastrada ou com erro: "&amp;$MU86,""),IF(AND(IFERROR(INDEX('DADOS_FORMAS'!$AS$2:$AS$21,MATCH(SUBSTITUTE(SUBSTITUTE(SUBSTITUTE($MU86,"~","~~"),"*","~*"),"?","~?"),'DADOS_FORMAS'!$AH$2:$AH$21,0)),"")&lt;&gt;"",OR(IFERROR(VLOOKUP(SUBSTITUTE(SUBSTITUTE(SUBSTITUTE(IFERROR(INDEX('DADOS_FORMAS'!$AS$2:$AS$21,MATCH(SUBSTITUTE(SUBSTITUTE(SUBSTITUTE($MU86,"~","~~"),"*","~*"),"?","~?"),'DADOS_FORMAS'!$AH$2:$AH$21,0)),""),"~","~~"),"*","~*"),"?","~?"),'DADOS_RESTRICOES'!$M$2:$Q$54,2,FALSE),"")=$OK86,IFERROR(VLOOKUP(SUBSTITUTE(SUBSTITUTE(SUBSTITUTE(IFERROR(INDEX('DADOS_FORMAS'!$AS$2:$AS$21,MATCH(SUBSTITUTE(SUBSTITUTE(SUBSTITUTE($MU86,"~","~~"),"*","~*"),"?","~?"),'DADOS_FORMAS'!$AH$2:$AH$21,0)),""),"~","~~"),"*","~*"),"?","~?"),'DADOS_RESTRICOES'!$M$2:$Q$54,2,FALSE),"")=$OL86)),"Restrição repetida, contando a embutida",""),IF(IF(IFERROR(INDEX('DADOS_FORMAS'!$AS$2:$AS$21,MATCH(SUBSTITUTE(SUBSTITUTE(SUBSTITUTE($MU86,"~","~~"),"*","~*"),"?","~?"),'DADOS_FORMAS'!$AH$2:$AH$21,0)),"")="",0,IFERROR(N(VLOOKUP(SUBSTITUTE(SUBSTITUTE(SUBSTITUTE(IFERROR(INDEX('DADOS_FORMAS'!$AS$2:$AS$21,MATCH(SUBSTITUTE(SUBSTITUTE(SUBSTITUTE($MU86,"~","~~"),"*","~*"),"?","~?"),'DADOS_FORMAS'!$AH$2:$AH$21,0)),""),"~","~~"),"*","~*"),"?","~?"),'DADOS_RESTRICOES'!$M$2:$Q$54,4,FALSE)=1),0))+IF($NB86="",0,IFERROR(N(VLOOKUP(SUBSTITUTE(SUBSTITUTE(SUBSTITUTE($NB86,"~","~~"),"*","~*"),"?","~?"),'DADOS_RESTRICOES'!$M$2:$Q$54,4,FALSE)=1),0))+IF($NC86="",0,IFERROR(N(VLOOKUP(SUBSTITUTE(SUBSTITUTE(SUBSTITUTE($NC86,"~","~~"),"*","~*"),"?","~?"),'DADOS_RESTRICOES'!$M$2:$Q$54,4,FALSE)=1),0))&gt;1,"Duas Restrições de frequência, contando a embutida",""),IF(AND(IFERROR(VLOOKUP(SUBSTITUTE(SUBSTITUTE(SUBSTITUTE(IFERROR(INDEX('DADOS_FORMAS'!$AS$2:$AS$21,MATCH(SUBSTITUTE(SUBSTITUTE(SUBSTITUTE($MU86,"~","~~"),"*","~*"),"?","~?"),'DADOS_FORMAS'!$AH$2:$AH$21,0)),""),"~","~~"),"*","~*"),"?","~?"),'DADOS_RESTRICOES'!$M$2:$Q$54,2,FALSE),"")="Tudo ou Nada",$OH86=0),"Tudo ou Nada exige TR",""),IF(AND(IFERROR(VLOOKUP(SUBSTITUTE(SUBSTITUTE(SUBSTITUTE(IFERROR(INDEX('DADOS_FORMAS'!$AS$2:$AS$21,MATCH(SUBSTITUTE(SUBSTITUTE(SUBSTITUTE($MU86,"~","~~"),"*","~*"),"?","~?"),'DADOS_FORMAS'!$AH$2:$AH$21,0)),""),"~","~~"),"*","~*"),"?","~?"),'DADOS_RESTRICOES'!$M$2:$Q$54,2,FALSE),"")="Corpo a Corpo",OR($RO86="Cone",$RO86="Linha")),"Corpo a Corpo não entra em Cone/Linha","")))</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dela",IF(COUNTIF($RQ86:$RS86,"Atrasar")&gt;0,"Sua Ação Completa",IF(COUNTIF($RK86:$RN86,"Rápido")&gt;0,"Sua Bônus",IF(COUNTIF($RK86:$RN86,"Reação")&gt;0,"Sua Reação","Sua Padrão")))&amp;" + a básica dela"&amp;IF(COUNTIF($RK86:$RN86,"Reação")&gt;0," e a coletiva","")&amp;IF(COUNTIF($RQ86:$RS86,"Carregar")&gt;0," · em dois turnos","")))</f>
        <v/>
      </c>
      <c r="QC86" s="161">
        <f>IF($MW86&lt;&gt;"",$MW86,IF($NJ86=0,"",INDEX('DADOS_FORMAS'!$GE$2:$GE$21,$NJ86)))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IF($NJ86=0,0,CHOOSE(1+INDEX('DADOS_FORMAS'!$GG$2:$GG$21,$NJ86),0,$QF86,$QG86,$QF86+$QG86))</f>
        <v/>
      </c>
      <c r="QI86" s="161">
        <f>IF($NJ86=0,0,CHOOSE(1+INDEX('DADOS_FORMAS'!$GH$2:$GH$21,$NJ86),0,$QF86,$QG86,$QF86+$QG86))</f>
        <v/>
      </c>
      <c r="QJ86" s="161">
        <f>IF(OR($ND86=0,$NJ86=0),"",INDEX('DADOS_FORMAS'!$HU$2:$HZ$81,($NJ86-1)*4+IF($MS86=0,1,IF($MS86&lt;=5,2,IF($MS86=6,3,4))),1+MIN(5,$QH86))&amp;INDEX('DADOS_FORMAS'!$IA$2:$IF$81,($NJ86-1)*4+IF($MS86=0,1,IF($MS86&lt;=5,2,IF($MS86=6,3,4))),1+MIN(5,$QI86))&amp;IF(INDEX('DADOS_FORMAS'!$GI$2:$GI$21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c r="RO86">
        <f>IFERROR(INDEX('DADOS_FORMAS'!$BJ$2:$BJ$21,MATCH(SUBSTITUTE(SUBSTITUTE(SUBSTITUTE($MU86,"~","~~"),"*","~*"),"?","~?"),'DADOS_FORMAS'!$AH$2:$AH$21,0)),"")</f>
        <v/>
      </c>
      <c r="RP86">
        <f>IFERROR(VLOOKUP(SUBSTITUTE(SUBSTITUTE(SUBSTITUTE(IFERROR(INDEX('DADOS_FORMAS'!$AS$2:$AS$21,MATCH(SUBSTITUTE(SUBSTITUTE(SUBSTITUTE($MU86,"~","~~"),"*","~*"),"?","~?"),'DADOS_FORMAS'!$AH$2:$AH$21,0)),""),"~","~~"),"*","~*"),"?","~?"),'DADOS_RESTRICOES'!$M$2:$Q$54,2,FALSE),"")</f>
        <v/>
      </c>
      <c r="RQ86">
        <f>$OK86</f>
        <v/>
      </c>
      <c r="RR86">
        <f>$OL86</f>
        <v/>
      </c>
      <c r="RS86">
        <f>$RP86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IFERROR(MATCH(SUBSTITUTE(SUBSTITUTE(SUBSTITUTE($MU87,"~","~~"),"*","~*"),"?","~?"),'DADOS_FORMAS'!$FZ$2:$FZ$21,0),0)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IF($MS87=0,0,IF($NJ87=0,0,INDEX('DADOS_FORMAS'!$GB$2:$GB$21,$NJ87)))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IF($NJ87=0,0,IF(INDEX('DADOS_FORMAS'!$GA$2:$GA$21,$NJ87)="",0,IF((COUNTIF(INDEX($EL$2:$EP$13,$MO87,0),INDEX('DADOS_FORMAS'!$GA$2:$GA$21,$NJ87))+COUNTIF(INDEX($QV$2:$QY$13,$MO87,0),INDEX('DADOS_FORMAS'!$GA$2:$GA$21,$NJ87)))=0,1,0)))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IFERROR(N(AND(INDEX('DADOS_FORMAS'!$AO$2:$AO$21,MATCH(SUBSTITUTE(SUBSTITUTE(SUBSTITUTE($MU87,"~","~~"),"*","~*"),"?","~?"),'DADOS_FORMAS'!$AH$2:$AH$21,0))="Acerto",$OH87=1)),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IF($NJ87=0,0,INDEX('DADOS_FORMAS'!$GC$2:$GC$21,$NJ87))</f>
        <v/>
      </c>
      <c r="OG87" s="161">
        <f>IF($NJ87=0,0,INDEX('DADOS_FORMAS'!$GD$2:$GD$21,$NJ87))</f>
        <v/>
      </c>
      <c r="OH87" s="161">
        <f>IF($NJ87=0,0,INDEX('DADOS_FORMAS'!$GF$2:$GF$21,$NJ87))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IF(IFERROR(INDEX('DADOS_FORMAS'!$AS$2:$AS$21,MATCH(SUBSTITUTE(SUBSTITUTE(SUBSTITUTE($MU87,"~","~~"),"*","~*"),"?","~?"),'DADOS_FORMAS'!$AH$2:$AH$21,0)),"")="",0,IFERROR(N(VLOOKUP(SUBSTITUTE(SUBSTITUTE(SUBSTITUTE(IFERROR(INDEX('DADOS_FORMAS'!$AS$2:$AS$21,MATCH(SUBSTITUTE(SUBSTITUTE(SUBSTITUTE($MU87,"~","~~"),"*","~*"),"?","~?"),'DADOS_FORMAS'!$AH$2:$AH$21,0)),""),"~","~~"),"*","~*"),"?","~?"),'DADOS_RESTRICOES'!$M$2:$Q$54,3,FALSE)=1),0))</f>
        <v/>
      </c>
      <c r="OT87" s="161">
        <f>COUNTIF($OI87:$OJ87,2)+IF(IFERROR(INDEX('DADOS_FORMAS'!$AS$2:$AS$21,MATCH(SUBSTITUTE(SUBSTITUTE(SUBSTITUTE($MU87,"~","~~"),"*","~*"),"?","~?"),'DADOS_FORMAS'!$AH$2:$AH$21,0)),"")="",0,IFERROR(N(VLOOKUP(SUBSTITUTE(SUBSTITUTE(SUBSTITUTE(IFERROR(INDEX('DADOS_FORMAS'!$AS$2:$AS$21,MATCH(SUBSTITUTE(SUBSTITUTE(SUBSTITUTE($MU87,"~","~~"),"*","~*"),"?","~?"),'DADOS_FORMAS'!$AH$2:$AH$21,0)),""),"~","~~"),"*","~*"),"?","~?"),'DADOS_RESTRICOES'!$M$2:$Q$54,3,FALSE)=2),0))</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",TRUE,IF($ND87=0,"",TEXTJOIN(" · ",TRUE,IF($MQ87&gt;$NE87,"Este lugar abre no nível "&amp;$MQ87,""),IF($MS87&gt;$NF87,"Classe "&amp;$MS87&amp;": o nível "&amp;$NE87&amp;" libera até a "&amp;$NF87,""),IF($NX87=1,"A Forma "&amp;$MU87&amp;" pede "&amp;INDEX('DADOS_FORMAS'!$GA$2:$GA$21,$NJ87)&amp;" aberta",""),IF(AND($MS87=0,$NJ87&gt;0,IF($NJ87=0,0,INDEX('DADOS_FORMAS'!$GJ$2:$GJ$21,$NJ87))=0),$MU87&amp;"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Corpo")&gt;0,$OF87=0,OR($RO87="Cone",$RO87="Linha")),"Corpo a Corpo não entra em "&amp;$MU87,""),IF(AND(COUNTIF($OK87:$OL87,"Corpo a Corpo")&gt;0,$RP87="Corpo a Corpo"),"A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"&amp;$NC87,""))),IF(AND($MU87&lt;&gt;"",COUNTIF('DADOS_FORMAS'!$AH$2:$AH$21,SUBSTITUTE(SUBSTITUTE(SUBSTITUTE($MU87,"~","~~"),"*","~*"),"?","~?"))=0),"Forma não cadastrada ou com erro: "&amp;$MU87,""),IF(AND(IFERROR(INDEX('DADOS_FORMAS'!$AS$2:$AS$21,MATCH(SUBSTITUTE(SUBSTITUTE(SUBSTITUTE($MU87,"~","~~"),"*","~*"),"?","~?"),'DADOS_FORMAS'!$AH$2:$AH$21,0)),"")&lt;&gt;"",OR(IFERROR(VLOOKUP(SUBSTITUTE(SUBSTITUTE(SUBSTITUTE(IFERROR(INDEX('DADOS_FORMAS'!$AS$2:$AS$21,MATCH(SUBSTITUTE(SUBSTITUTE(SUBSTITUTE($MU87,"~","~~"),"*","~*"),"?","~?"),'DADOS_FORMAS'!$AH$2:$AH$21,0)),""),"~","~~"),"*","~*"),"?","~?"),'DADOS_RESTRICOES'!$M$2:$Q$54,2,FALSE),"")=$OK87,IFERROR(VLOOKUP(SUBSTITUTE(SUBSTITUTE(SUBSTITUTE(IFERROR(INDEX('DADOS_FORMAS'!$AS$2:$AS$21,MATCH(SUBSTITUTE(SUBSTITUTE(SUBSTITUTE($MU87,"~","~~"),"*","~*"),"?","~?"),'DADOS_FORMAS'!$AH$2:$AH$21,0)),""),"~","~~"),"*","~*"),"?","~?"),'DADOS_RESTRICOES'!$M$2:$Q$54,2,FALSE),"")=$OL87)),"Restrição repetida, contando a embutida",""),IF(IF(IFERROR(INDEX('DADOS_FORMAS'!$AS$2:$AS$21,MATCH(SUBSTITUTE(SUBSTITUTE(SUBSTITUTE($MU87,"~","~~"),"*","~*"),"?","~?"),'DADOS_FORMAS'!$AH$2:$AH$21,0)),"")="",0,IFERROR(N(VLOOKUP(SUBSTITUTE(SUBSTITUTE(SUBSTITUTE(IFERROR(INDEX('DADOS_FORMAS'!$AS$2:$AS$21,MATCH(SUBSTITUTE(SUBSTITUTE(SUBSTITUTE($MU87,"~","~~"),"*","~*"),"?","~?"),'DADOS_FORMAS'!$AH$2:$AH$21,0)),""),"~","~~"),"*","~*"),"?","~?"),'DADOS_RESTRICOES'!$M$2:$Q$54,4,FALSE)=1),0))+IF($NB87="",0,IFERROR(N(VLOOKUP(SUBSTITUTE(SUBSTITUTE(SUBSTITUTE($NB87,"~","~~"),"*","~*"),"?","~?"),'DADOS_RESTRICOES'!$M$2:$Q$54,4,FALSE)=1),0))+IF($NC87="",0,IFERROR(N(VLOOKUP(SUBSTITUTE(SUBSTITUTE(SUBSTITUTE($NC87,"~","~~"),"*","~*"),"?","~?"),'DADOS_RESTRICOES'!$M$2:$Q$54,4,FALSE)=1),0))&gt;1,"Duas Restrições de frequência, contando a embutida",""),IF(AND(IFERROR(VLOOKUP(SUBSTITUTE(SUBSTITUTE(SUBSTITUTE(IFERROR(INDEX('DADOS_FORMAS'!$AS$2:$AS$21,MATCH(SUBSTITUTE(SUBSTITUTE(SUBSTITUTE($MU87,"~","~~"),"*","~*"),"?","~?"),'DADOS_FORMAS'!$AH$2:$AH$21,0)),""),"~","~~"),"*","~*"),"?","~?"),'DADOS_RESTRICOES'!$M$2:$Q$54,2,FALSE),"")="Tudo ou Nada",$OH87=0),"Tudo ou Nada exige TR",""),IF(AND(IFERROR(VLOOKUP(SUBSTITUTE(SUBSTITUTE(SUBSTITUTE(IFERROR(INDEX('DADOS_FORMAS'!$AS$2:$AS$21,MATCH(SUBSTITUTE(SUBSTITUTE(SUBSTITUTE($MU87,"~","~~"),"*","~*"),"?","~?"),'DADOS_FORMAS'!$AH$2:$AH$21,0)),""),"~","~~"),"*","~*"),"?","~?"),'DADOS_RESTRICOES'!$M$2:$Q$54,2,FALSE),"")="Corpo a Corpo",OR($RO87="Cone",$RO87="Linha")),"Corpo a Corpo não entra em Cone/Linha","")))</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dela",IF(COUNTIF($RQ87:$RS87,"Atrasar")&gt;0,"Sua Ação Completa",IF(COUNTIF($RK87:$RN87,"Rápido")&gt;0,"Sua Bônus",IF(COUNTIF($RK87:$RN87,"Reação")&gt;0,"Sua Reação","Sua Padrão")))&amp;" + a básica dela"&amp;IF(COUNTIF($RK87:$RN87,"Reação")&gt;0," e a coletiva","")&amp;IF(COUNTIF($RQ87:$RS87,"Carregar")&gt;0," · em dois turnos","")))</f>
        <v/>
      </c>
      <c r="QC87" s="161">
        <f>IF($MW87&lt;&gt;"",$MW87,IF($NJ87=0,"",INDEX('DADOS_FORMAS'!$GE$2:$GE$21,$NJ87)))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IF($NJ87=0,0,CHOOSE(1+INDEX('DADOS_FORMAS'!$GG$2:$GG$21,$NJ87),0,$QF87,$QG87,$QF87+$QG87))</f>
        <v/>
      </c>
      <c r="QI87" s="161">
        <f>IF($NJ87=0,0,CHOOSE(1+INDEX('DADOS_FORMAS'!$GH$2:$GH$21,$NJ87),0,$QF87,$QG87,$QF87+$QG87))</f>
        <v/>
      </c>
      <c r="QJ87" s="161">
        <f>IF(OR($ND87=0,$NJ87=0),"",INDEX('DADOS_FORMAS'!$HU$2:$HZ$81,($NJ87-1)*4+IF($MS87=0,1,IF($MS87&lt;=5,2,IF($MS87=6,3,4))),1+MIN(5,$QH87))&amp;INDEX('DADOS_FORMAS'!$IA$2:$IF$81,($NJ87-1)*4+IF($MS87=0,1,IF($MS87&lt;=5,2,IF($MS87=6,3,4))),1+MIN(5,$QI87))&amp;IF(INDEX('DADOS_FORMAS'!$GI$2:$GI$21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c r="RO87">
        <f>IFERROR(INDEX('DADOS_FORMAS'!$BJ$2:$BJ$21,MATCH(SUBSTITUTE(SUBSTITUTE(SUBSTITUTE($MU87,"~","~~"),"*","~*"),"?","~?"),'DADOS_FORMAS'!$AH$2:$AH$21,0)),"")</f>
        <v/>
      </c>
      <c r="RP87">
        <f>IFERROR(VLOOKUP(SUBSTITUTE(SUBSTITUTE(SUBSTITUTE(IFERROR(INDEX('DADOS_FORMAS'!$AS$2:$AS$21,MATCH(SUBSTITUTE(SUBSTITUTE(SUBSTITUTE($MU87,"~","~~"),"*","~*"),"?","~?"),'DADOS_FORMAS'!$AH$2:$AH$21,0)),""),"~","~~"),"*","~*"),"?","~?"),'DADOS_RESTRICOES'!$M$2:$Q$54,2,FALSE),"")</f>
        <v/>
      </c>
      <c r="RQ87">
        <f>$OK87</f>
        <v/>
      </c>
      <c r="RR87">
        <f>$OL87</f>
        <v/>
      </c>
      <c r="RS87">
        <f>$RP87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IFERROR(MATCH(SUBSTITUTE(SUBSTITUTE(SUBSTITUTE($MU88,"~","~~"),"*","~*"),"?","~?"),'DADOS_FORMAS'!$FZ$2:$FZ$21,0),0)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IF($MS88=0,0,IF($NJ88=0,0,INDEX('DADOS_FORMAS'!$GB$2:$GB$21,$NJ88)))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IF($NJ88=0,0,IF(INDEX('DADOS_FORMAS'!$GA$2:$GA$21,$NJ88)="",0,IF((COUNTIF(INDEX($EL$2:$EP$13,$MO88,0),INDEX('DADOS_FORMAS'!$GA$2:$GA$21,$NJ88))+COUNTIF(INDEX($QV$2:$QY$13,$MO88,0),INDEX('DADOS_FORMAS'!$GA$2:$GA$21,$NJ88)))=0,1,0)))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IFERROR(N(AND(INDEX('DADOS_FORMAS'!$AO$2:$AO$21,MATCH(SUBSTITUTE(SUBSTITUTE(SUBSTITUTE($MU88,"~","~~"),"*","~*"),"?","~?"),'DADOS_FORMAS'!$AH$2:$AH$21,0))="Acerto",$OH88=1)),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IF($NJ88=0,0,INDEX('DADOS_FORMAS'!$GC$2:$GC$21,$NJ88))</f>
        <v/>
      </c>
      <c r="OG88" s="161">
        <f>IF($NJ88=0,0,INDEX('DADOS_FORMAS'!$GD$2:$GD$21,$NJ88))</f>
        <v/>
      </c>
      <c r="OH88" s="161">
        <f>IF($NJ88=0,0,INDEX('DADOS_FORMAS'!$GF$2:$GF$21,$NJ88))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IF(IFERROR(INDEX('DADOS_FORMAS'!$AS$2:$AS$21,MATCH(SUBSTITUTE(SUBSTITUTE(SUBSTITUTE($MU88,"~","~~"),"*","~*"),"?","~?"),'DADOS_FORMAS'!$AH$2:$AH$21,0)),"")="",0,IFERROR(N(VLOOKUP(SUBSTITUTE(SUBSTITUTE(SUBSTITUTE(IFERROR(INDEX('DADOS_FORMAS'!$AS$2:$AS$21,MATCH(SUBSTITUTE(SUBSTITUTE(SUBSTITUTE($MU88,"~","~~"),"*","~*"),"?","~?"),'DADOS_FORMAS'!$AH$2:$AH$21,0)),""),"~","~~"),"*","~*"),"?","~?"),'DADOS_RESTRICOES'!$M$2:$Q$54,3,FALSE)=1),0))</f>
        <v/>
      </c>
      <c r="OT88" s="161">
        <f>COUNTIF($OI88:$OJ88,2)+IF(IFERROR(INDEX('DADOS_FORMAS'!$AS$2:$AS$21,MATCH(SUBSTITUTE(SUBSTITUTE(SUBSTITUTE($MU88,"~","~~"),"*","~*"),"?","~?"),'DADOS_FORMAS'!$AH$2:$AH$21,0)),"")="",0,IFERROR(N(VLOOKUP(SUBSTITUTE(SUBSTITUTE(SUBSTITUTE(IFERROR(INDEX('DADOS_FORMAS'!$AS$2:$AS$21,MATCH(SUBSTITUTE(SUBSTITUTE(SUBSTITUTE($MU88,"~","~~"),"*","~*"),"?","~?"),'DADOS_FORMAS'!$AH$2:$AH$21,0)),""),"~","~~"),"*","~*"),"?","~?"),'DADOS_RESTRICOES'!$M$2:$Q$54,3,FALSE)=2),0))</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",TRUE,IF($ND88=0,"",TEXTJOIN(" · ",TRUE,IF($MQ88&gt;$NE88,"Este lugar abre no nível "&amp;$MQ88,""),IF($MS88&gt;$NF88,"Classe "&amp;$MS88&amp;": o nível "&amp;$NE88&amp;" libera até a "&amp;$NF88,""),IF($NX88=1,"A Forma "&amp;$MU88&amp;" pede "&amp;INDEX('DADOS_FORMAS'!$GA$2:$GA$21,$NJ88)&amp;" aberta",""),IF(AND($MS88=0,$NJ88&gt;0,IF($NJ88=0,0,INDEX('DADOS_FORMAS'!$GJ$2:$GJ$21,$NJ88))=0),$MU88&amp;"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Corpo")&gt;0,$OF88=0,OR($RO88="Cone",$RO88="Linha")),"Corpo a Corpo não entra em "&amp;$MU88,""),IF(AND(COUNTIF($OK88:$OL88,"Corpo a Corpo")&gt;0,$RP88="Corpo a Corpo"),"A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"&amp;$NC88,""))),IF(AND($MU88&lt;&gt;"",COUNTIF('DADOS_FORMAS'!$AH$2:$AH$21,SUBSTITUTE(SUBSTITUTE(SUBSTITUTE($MU88,"~","~~"),"*","~*"),"?","~?"))=0),"Forma não cadastrada ou com erro: "&amp;$MU88,""),IF(AND(IFERROR(INDEX('DADOS_FORMAS'!$AS$2:$AS$21,MATCH(SUBSTITUTE(SUBSTITUTE(SUBSTITUTE($MU88,"~","~~"),"*","~*"),"?","~?"),'DADOS_FORMAS'!$AH$2:$AH$21,0)),"")&lt;&gt;"",OR(IFERROR(VLOOKUP(SUBSTITUTE(SUBSTITUTE(SUBSTITUTE(IFERROR(INDEX('DADOS_FORMAS'!$AS$2:$AS$21,MATCH(SUBSTITUTE(SUBSTITUTE(SUBSTITUTE($MU88,"~","~~"),"*","~*"),"?","~?"),'DADOS_FORMAS'!$AH$2:$AH$21,0)),""),"~","~~"),"*","~*"),"?","~?"),'DADOS_RESTRICOES'!$M$2:$Q$54,2,FALSE),"")=$OK88,IFERROR(VLOOKUP(SUBSTITUTE(SUBSTITUTE(SUBSTITUTE(IFERROR(INDEX('DADOS_FORMAS'!$AS$2:$AS$21,MATCH(SUBSTITUTE(SUBSTITUTE(SUBSTITUTE($MU88,"~","~~"),"*","~*"),"?","~?"),'DADOS_FORMAS'!$AH$2:$AH$21,0)),""),"~","~~"),"*","~*"),"?","~?"),'DADOS_RESTRICOES'!$M$2:$Q$54,2,FALSE),"")=$OL88)),"Restrição repetida, contando a embutida",""),IF(IF(IFERROR(INDEX('DADOS_FORMAS'!$AS$2:$AS$21,MATCH(SUBSTITUTE(SUBSTITUTE(SUBSTITUTE($MU88,"~","~~"),"*","~*"),"?","~?"),'DADOS_FORMAS'!$AH$2:$AH$21,0)),"")="",0,IFERROR(N(VLOOKUP(SUBSTITUTE(SUBSTITUTE(SUBSTITUTE(IFERROR(INDEX('DADOS_FORMAS'!$AS$2:$AS$21,MATCH(SUBSTITUTE(SUBSTITUTE(SUBSTITUTE($MU88,"~","~~"),"*","~*"),"?","~?"),'DADOS_FORMAS'!$AH$2:$AH$21,0)),""),"~","~~"),"*","~*"),"?","~?"),'DADOS_RESTRICOES'!$M$2:$Q$54,4,FALSE)=1),0))+IF($NB88="",0,IFERROR(N(VLOOKUP(SUBSTITUTE(SUBSTITUTE(SUBSTITUTE($NB88,"~","~~"),"*","~*"),"?","~?"),'DADOS_RESTRICOES'!$M$2:$Q$54,4,FALSE)=1),0))+IF($NC88="",0,IFERROR(N(VLOOKUP(SUBSTITUTE(SUBSTITUTE(SUBSTITUTE($NC88,"~","~~"),"*","~*"),"?","~?"),'DADOS_RESTRICOES'!$M$2:$Q$54,4,FALSE)=1),0))&gt;1,"Duas Restrições de frequência, contando a embutida",""),IF(AND(IFERROR(VLOOKUP(SUBSTITUTE(SUBSTITUTE(SUBSTITUTE(IFERROR(INDEX('DADOS_FORMAS'!$AS$2:$AS$21,MATCH(SUBSTITUTE(SUBSTITUTE(SUBSTITUTE($MU88,"~","~~"),"*","~*"),"?","~?"),'DADOS_FORMAS'!$AH$2:$AH$21,0)),""),"~","~~"),"*","~*"),"?","~?"),'DADOS_RESTRICOES'!$M$2:$Q$54,2,FALSE),"")="Tudo ou Nada",$OH88=0),"Tudo ou Nada exige TR",""),IF(AND(IFERROR(VLOOKUP(SUBSTITUTE(SUBSTITUTE(SUBSTITUTE(IFERROR(INDEX('DADOS_FORMAS'!$AS$2:$AS$21,MATCH(SUBSTITUTE(SUBSTITUTE(SUBSTITUTE($MU88,"~","~~"),"*","~*"),"?","~?"),'DADOS_FORMAS'!$AH$2:$AH$21,0)),""),"~","~~"),"*","~*"),"?","~?"),'DADOS_RESTRICOES'!$M$2:$Q$54,2,FALSE),"")="Corpo a Corpo",OR($RO88="Cone",$RO88="Linha")),"Corpo a Corpo não entra em Cone/Linha","")))</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dela",IF(COUNTIF($RQ88:$RS88,"Atrasar")&gt;0,"Sua Ação Completa",IF(COUNTIF($RK88:$RN88,"Rápido")&gt;0,"Sua Bônus",IF(COUNTIF($RK88:$RN88,"Reação")&gt;0,"Sua Reação","Sua Padrão")))&amp;" + a básica dela"&amp;IF(COUNTIF($RK88:$RN88,"Reação")&gt;0," e a coletiva","")&amp;IF(COUNTIF($RQ88:$RS88,"Carregar")&gt;0," · em dois turnos","")))</f>
        <v/>
      </c>
      <c r="QC88" s="161">
        <f>IF($MW88&lt;&gt;"",$MW88,IF($NJ88=0,"",INDEX('DADOS_FORMAS'!$GE$2:$GE$21,$NJ88)))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IF($NJ88=0,0,CHOOSE(1+INDEX('DADOS_FORMAS'!$GG$2:$GG$21,$NJ88),0,$QF88,$QG88,$QF88+$QG88))</f>
        <v/>
      </c>
      <c r="QI88" s="161">
        <f>IF($NJ88=0,0,CHOOSE(1+INDEX('DADOS_FORMAS'!$GH$2:$GH$21,$NJ88),0,$QF88,$QG88,$QF88+$QG88))</f>
        <v/>
      </c>
      <c r="QJ88" s="161">
        <f>IF(OR($ND88=0,$NJ88=0),"",INDEX('DADOS_FORMAS'!$HU$2:$HZ$81,($NJ88-1)*4+IF($MS88=0,1,IF($MS88&lt;=5,2,IF($MS88=6,3,4))),1+MIN(5,$QH88))&amp;INDEX('DADOS_FORMAS'!$IA$2:$IF$81,($NJ88-1)*4+IF($MS88=0,1,IF($MS88&lt;=5,2,IF($MS88=6,3,4))),1+MIN(5,$QI88))&amp;IF(INDEX('DADOS_FORMAS'!$GI$2:$GI$21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c r="RO88">
        <f>IFERROR(INDEX('DADOS_FORMAS'!$BJ$2:$BJ$21,MATCH(SUBSTITUTE(SUBSTITUTE(SUBSTITUTE($MU88,"~","~~"),"*","~*"),"?","~?"),'DADOS_FORMAS'!$AH$2:$AH$21,0)),"")</f>
        <v/>
      </c>
      <c r="RP88">
        <f>IFERROR(VLOOKUP(SUBSTITUTE(SUBSTITUTE(SUBSTITUTE(IFERROR(INDEX('DADOS_FORMAS'!$AS$2:$AS$21,MATCH(SUBSTITUTE(SUBSTITUTE(SUBSTITUTE($MU88,"~","~~"),"*","~*"),"?","~?"),'DADOS_FORMAS'!$AH$2:$AH$21,0)),""),"~","~~"),"*","~*"),"?","~?"),'DADOS_RESTRICOES'!$M$2:$Q$54,2,FALSE),"")</f>
        <v/>
      </c>
      <c r="RQ88">
        <f>$OK88</f>
        <v/>
      </c>
      <c r="RR88">
        <f>$OL88</f>
        <v/>
      </c>
      <c r="RS88">
        <f>$RP88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IFERROR(MATCH(SUBSTITUTE(SUBSTITUTE(SUBSTITUTE($MU89,"~","~~"),"*","~*"),"?","~?"),'DADOS_FORMAS'!$FZ$2:$FZ$21,0),0)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IF($MS89=0,0,IF($NJ89=0,0,INDEX('DADOS_FORMAS'!$GB$2:$GB$21,$NJ89)))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IF($NJ89=0,0,IF(INDEX('DADOS_FORMAS'!$GA$2:$GA$21,$NJ89)="",0,IF((COUNTIF(INDEX($EL$2:$EP$13,$MO89,0),INDEX('DADOS_FORMAS'!$GA$2:$GA$21,$NJ89))+COUNTIF(INDEX($QV$2:$QY$13,$MO89,0),INDEX('DADOS_FORMAS'!$GA$2:$GA$21,$NJ89)))=0,1,0)))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IFERROR(N(AND(INDEX('DADOS_FORMAS'!$AO$2:$AO$21,MATCH(SUBSTITUTE(SUBSTITUTE(SUBSTITUTE($MU89,"~","~~"),"*","~*"),"?","~?"),'DADOS_FORMAS'!$AH$2:$AH$21,0))="Acerto",$OH89=1)),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IF($NJ89=0,0,INDEX('DADOS_FORMAS'!$GC$2:$GC$21,$NJ89))</f>
        <v/>
      </c>
      <c r="OG89" s="161">
        <f>IF($NJ89=0,0,INDEX('DADOS_FORMAS'!$GD$2:$GD$21,$NJ89))</f>
        <v/>
      </c>
      <c r="OH89" s="161">
        <f>IF($NJ89=0,0,INDEX('DADOS_FORMAS'!$GF$2:$GF$21,$NJ89))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IF(IFERROR(INDEX('DADOS_FORMAS'!$AS$2:$AS$21,MATCH(SUBSTITUTE(SUBSTITUTE(SUBSTITUTE($MU89,"~","~~"),"*","~*"),"?","~?"),'DADOS_FORMAS'!$AH$2:$AH$21,0)),"")="",0,IFERROR(N(VLOOKUP(SUBSTITUTE(SUBSTITUTE(SUBSTITUTE(IFERROR(INDEX('DADOS_FORMAS'!$AS$2:$AS$21,MATCH(SUBSTITUTE(SUBSTITUTE(SUBSTITUTE($MU89,"~","~~"),"*","~*"),"?","~?"),'DADOS_FORMAS'!$AH$2:$AH$21,0)),""),"~","~~"),"*","~*"),"?","~?"),'DADOS_RESTRICOES'!$M$2:$Q$54,3,FALSE)=1),0))</f>
        <v/>
      </c>
      <c r="OT89" s="161">
        <f>COUNTIF($OI89:$OJ89,2)+IF(IFERROR(INDEX('DADOS_FORMAS'!$AS$2:$AS$21,MATCH(SUBSTITUTE(SUBSTITUTE(SUBSTITUTE($MU89,"~","~~"),"*","~*"),"?","~?"),'DADOS_FORMAS'!$AH$2:$AH$21,0)),"")="",0,IFERROR(N(VLOOKUP(SUBSTITUTE(SUBSTITUTE(SUBSTITUTE(IFERROR(INDEX('DADOS_FORMAS'!$AS$2:$AS$21,MATCH(SUBSTITUTE(SUBSTITUTE(SUBSTITUTE($MU89,"~","~~"),"*","~*"),"?","~?"),'DADOS_FORMAS'!$AH$2:$AH$21,0)),""),"~","~~"),"*","~*"),"?","~?"),'DADOS_RESTRICOES'!$M$2:$Q$54,3,FALSE)=2),0))</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",TRUE,IF($ND89=0,"",TEXTJOIN(" · ",TRUE,IF($MQ89&gt;$NE89,"Este lugar abre no nível "&amp;$MQ89,""),IF($MS89&gt;$NF89,"Classe "&amp;$MS89&amp;": o nível "&amp;$NE89&amp;" libera até a "&amp;$NF89,""),IF($NX89=1,"A Forma "&amp;$MU89&amp;" pede "&amp;INDEX('DADOS_FORMAS'!$GA$2:$GA$21,$NJ89)&amp;" aberta",""),IF(AND($MS89=0,$NJ89&gt;0,IF($NJ89=0,0,INDEX('DADOS_FORMAS'!$GJ$2:$GJ$21,$NJ89))=0),$MU89&amp;"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Corpo")&gt;0,$OF89=0,OR($RO89="Cone",$RO89="Linha")),"Corpo a Corpo não entra em "&amp;$MU89,""),IF(AND(COUNTIF($OK89:$OL89,"Corpo a Corpo")&gt;0,$RP89="Corpo a Corpo"),"A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"&amp;$NC89,""))),IF(AND($MU89&lt;&gt;"",COUNTIF('DADOS_FORMAS'!$AH$2:$AH$21,SUBSTITUTE(SUBSTITUTE(SUBSTITUTE($MU89,"~","~~"),"*","~*"),"?","~?"))=0),"Forma não cadastrada ou com erro: "&amp;$MU89,""),IF(AND(IFERROR(INDEX('DADOS_FORMAS'!$AS$2:$AS$21,MATCH(SUBSTITUTE(SUBSTITUTE(SUBSTITUTE($MU89,"~","~~"),"*","~*"),"?","~?"),'DADOS_FORMAS'!$AH$2:$AH$21,0)),"")&lt;&gt;"",OR(IFERROR(VLOOKUP(SUBSTITUTE(SUBSTITUTE(SUBSTITUTE(IFERROR(INDEX('DADOS_FORMAS'!$AS$2:$AS$21,MATCH(SUBSTITUTE(SUBSTITUTE(SUBSTITUTE($MU89,"~","~~"),"*","~*"),"?","~?"),'DADOS_FORMAS'!$AH$2:$AH$21,0)),""),"~","~~"),"*","~*"),"?","~?"),'DADOS_RESTRICOES'!$M$2:$Q$54,2,FALSE),"")=$OK89,IFERROR(VLOOKUP(SUBSTITUTE(SUBSTITUTE(SUBSTITUTE(IFERROR(INDEX('DADOS_FORMAS'!$AS$2:$AS$21,MATCH(SUBSTITUTE(SUBSTITUTE(SUBSTITUTE($MU89,"~","~~"),"*","~*"),"?","~?"),'DADOS_FORMAS'!$AH$2:$AH$21,0)),""),"~","~~"),"*","~*"),"?","~?"),'DADOS_RESTRICOES'!$M$2:$Q$54,2,FALSE),"")=$OL89)),"Restrição repetida, contando a embutida",""),IF(IF(IFERROR(INDEX('DADOS_FORMAS'!$AS$2:$AS$21,MATCH(SUBSTITUTE(SUBSTITUTE(SUBSTITUTE($MU89,"~","~~"),"*","~*"),"?","~?"),'DADOS_FORMAS'!$AH$2:$AH$21,0)),"")="",0,IFERROR(N(VLOOKUP(SUBSTITUTE(SUBSTITUTE(SUBSTITUTE(IFERROR(INDEX('DADOS_FORMAS'!$AS$2:$AS$21,MATCH(SUBSTITUTE(SUBSTITUTE(SUBSTITUTE($MU89,"~","~~"),"*","~*"),"?","~?"),'DADOS_FORMAS'!$AH$2:$AH$21,0)),""),"~","~~"),"*","~*"),"?","~?"),'DADOS_RESTRICOES'!$M$2:$Q$54,4,FALSE)=1),0))+IF($NB89="",0,IFERROR(N(VLOOKUP(SUBSTITUTE(SUBSTITUTE(SUBSTITUTE($NB89,"~","~~"),"*","~*"),"?","~?"),'DADOS_RESTRICOES'!$M$2:$Q$54,4,FALSE)=1),0))+IF($NC89="",0,IFERROR(N(VLOOKUP(SUBSTITUTE(SUBSTITUTE(SUBSTITUTE($NC89,"~","~~"),"*","~*"),"?","~?"),'DADOS_RESTRICOES'!$M$2:$Q$54,4,FALSE)=1),0))&gt;1,"Duas Restrições de frequência, contando a embutida",""),IF(AND(IFERROR(VLOOKUP(SUBSTITUTE(SUBSTITUTE(SUBSTITUTE(IFERROR(INDEX('DADOS_FORMAS'!$AS$2:$AS$21,MATCH(SUBSTITUTE(SUBSTITUTE(SUBSTITUTE($MU89,"~","~~"),"*","~*"),"?","~?"),'DADOS_FORMAS'!$AH$2:$AH$21,0)),""),"~","~~"),"*","~*"),"?","~?"),'DADOS_RESTRICOES'!$M$2:$Q$54,2,FALSE),"")="Tudo ou Nada",$OH89=0),"Tudo ou Nada exige TR",""),IF(AND(IFERROR(VLOOKUP(SUBSTITUTE(SUBSTITUTE(SUBSTITUTE(IFERROR(INDEX('DADOS_FORMAS'!$AS$2:$AS$21,MATCH(SUBSTITUTE(SUBSTITUTE(SUBSTITUTE($MU89,"~","~~"),"*","~*"),"?","~?"),'DADOS_FORMAS'!$AH$2:$AH$21,0)),""),"~","~~"),"*","~*"),"?","~?"),'DADOS_RESTRICOES'!$M$2:$Q$54,2,FALSE),"")="Corpo a Corpo",OR($RO89="Cone",$RO89="Linha")),"Corpo a Corpo não entra em Cone/Linha","")))</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dela",IF(COUNTIF($RQ89:$RS89,"Atrasar")&gt;0,"Sua Ação Completa",IF(COUNTIF($RK89:$RN89,"Rápido")&gt;0,"Sua Bônus",IF(COUNTIF($RK89:$RN89,"Reação")&gt;0,"Sua Reação","Sua Padrão")))&amp;" + a básica dela"&amp;IF(COUNTIF($RK89:$RN89,"Reação")&gt;0," e a coletiva","")&amp;IF(COUNTIF($RQ89:$RS89,"Carregar")&gt;0," · em dois turnos","")))</f>
        <v/>
      </c>
      <c r="QC89" s="161">
        <f>IF($MW89&lt;&gt;"",$MW89,IF($NJ89=0,"",INDEX('DADOS_FORMAS'!$GE$2:$GE$21,$NJ89)))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IF($NJ89=0,0,CHOOSE(1+INDEX('DADOS_FORMAS'!$GG$2:$GG$21,$NJ89),0,$QF89,$QG89,$QF89+$QG89))</f>
        <v/>
      </c>
      <c r="QI89" s="161">
        <f>IF($NJ89=0,0,CHOOSE(1+INDEX('DADOS_FORMAS'!$GH$2:$GH$21,$NJ89),0,$QF89,$QG89,$QF89+$QG89))</f>
        <v/>
      </c>
      <c r="QJ89" s="161">
        <f>IF(OR($ND89=0,$NJ89=0),"",INDEX('DADOS_FORMAS'!$HU$2:$HZ$81,($NJ89-1)*4+IF($MS89=0,1,IF($MS89&lt;=5,2,IF($MS89=6,3,4))),1+MIN(5,$QH89))&amp;INDEX('DADOS_FORMAS'!$IA$2:$IF$81,($NJ89-1)*4+IF($MS89=0,1,IF($MS89&lt;=5,2,IF($MS89=6,3,4))),1+MIN(5,$QI89))&amp;IF(INDEX('DADOS_FORMAS'!$GI$2:$GI$21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c r="RO89">
        <f>IFERROR(INDEX('DADOS_FORMAS'!$BJ$2:$BJ$21,MATCH(SUBSTITUTE(SUBSTITUTE(SUBSTITUTE($MU89,"~","~~"),"*","~*"),"?","~?"),'DADOS_FORMAS'!$AH$2:$AH$21,0)),"")</f>
        <v/>
      </c>
      <c r="RP89">
        <f>IFERROR(VLOOKUP(SUBSTITUTE(SUBSTITUTE(SUBSTITUTE(IFERROR(INDEX('DADOS_FORMAS'!$AS$2:$AS$21,MATCH(SUBSTITUTE(SUBSTITUTE(SUBSTITUTE($MU89,"~","~~"),"*","~*"),"?","~?"),'DADOS_FORMAS'!$AH$2:$AH$21,0)),""),"~","~~"),"*","~*"),"?","~?"),'DADOS_RESTRICOES'!$M$2:$Q$54,2,FALSE),"")</f>
        <v/>
      </c>
      <c r="RQ89">
        <f>$OK89</f>
        <v/>
      </c>
      <c r="RR89">
        <f>$OL89</f>
        <v/>
      </c>
      <c r="RS89">
        <f>$RP89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IFERROR(MATCH(SUBSTITUTE(SUBSTITUTE(SUBSTITUTE($MU90,"~","~~"),"*","~*"),"?","~?"),'DADOS_FORMAS'!$FZ$2:$FZ$21,0),0)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IF($MS90=0,0,IF($NJ90=0,0,INDEX('DADOS_FORMAS'!$GB$2:$GB$21,$NJ90)))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IF($NJ90=0,0,IF(INDEX('DADOS_FORMAS'!$GA$2:$GA$21,$NJ90)="",0,IF((COUNTIF(INDEX($EL$2:$EP$13,$MO90,0),INDEX('DADOS_FORMAS'!$GA$2:$GA$21,$NJ90))+COUNTIF(INDEX($QV$2:$QY$13,$MO90,0),INDEX('DADOS_FORMAS'!$GA$2:$GA$21,$NJ90)))=0,1,0)))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IFERROR(N(AND(INDEX('DADOS_FORMAS'!$AO$2:$AO$21,MATCH(SUBSTITUTE(SUBSTITUTE(SUBSTITUTE($MU90,"~","~~"),"*","~*"),"?","~?"),'DADOS_FORMAS'!$AH$2:$AH$21,0))="Acerto",$OH90=1)),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IF($NJ90=0,0,INDEX('DADOS_FORMAS'!$GC$2:$GC$21,$NJ90))</f>
        <v/>
      </c>
      <c r="OG90" s="161">
        <f>IF($NJ90=0,0,INDEX('DADOS_FORMAS'!$GD$2:$GD$21,$NJ90))</f>
        <v/>
      </c>
      <c r="OH90" s="161">
        <f>IF($NJ90=0,0,INDEX('DADOS_FORMAS'!$GF$2:$GF$21,$NJ90))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IF(IFERROR(INDEX('DADOS_FORMAS'!$AS$2:$AS$21,MATCH(SUBSTITUTE(SUBSTITUTE(SUBSTITUTE($MU90,"~","~~"),"*","~*"),"?","~?"),'DADOS_FORMAS'!$AH$2:$AH$21,0)),"")="",0,IFERROR(N(VLOOKUP(SUBSTITUTE(SUBSTITUTE(SUBSTITUTE(IFERROR(INDEX('DADOS_FORMAS'!$AS$2:$AS$21,MATCH(SUBSTITUTE(SUBSTITUTE(SUBSTITUTE($MU90,"~","~~"),"*","~*"),"?","~?"),'DADOS_FORMAS'!$AH$2:$AH$21,0)),""),"~","~~"),"*","~*"),"?","~?"),'DADOS_RESTRICOES'!$M$2:$Q$54,3,FALSE)=1),0))</f>
        <v/>
      </c>
      <c r="OT90" s="161">
        <f>COUNTIF($OI90:$OJ90,2)+IF(IFERROR(INDEX('DADOS_FORMAS'!$AS$2:$AS$21,MATCH(SUBSTITUTE(SUBSTITUTE(SUBSTITUTE($MU90,"~","~~"),"*","~*"),"?","~?"),'DADOS_FORMAS'!$AH$2:$AH$21,0)),"")="",0,IFERROR(N(VLOOKUP(SUBSTITUTE(SUBSTITUTE(SUBSTITUTE(IFERROR(INDEX('DADOS_FORMAS'!$AS$2:$AS$21,MATCH(SUBSTITUTE(SUBSTITUTE(SUBSTITUTE($MU90,"~","~~"),"*","~*"),"?","~?"),'DADOS_FORMAS'!$AH$2:$AH$21,0)),""),"~","~~"),"*","~*"),"?","~?"),'DADOS_RESTRICOES'!$M$2:$Q$54,3,FALSE)=2),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",TRUE,IF($ND90=0,"",TEXTJOIN(" · ",TRUE,IF($MQ90&gt;$NE90,"Este lugar abre no nível "&amp;$MQ90,""),IF($MS90&gt;$NF90,"Classe "&amp;$MS90&amp;": o nível "&amp;$NE90&amp;" libera até a "&amp;$NF90,""),IF($NX90=1,"A Forma "&amp;$MU90&amp;" pede "&amp;INDEX('DADOS_FORMAS'!$GA$2:$GA$21,$NJ90)&amp;" aberta",""),IF(AND($MS90=0,$NJ90&gt;0,IF($NJ90=0,0,INDEX('DADOS_FORMAS'!$GJ$2:$GJ$21,$NJ90))=0),$MU90&amp;"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Corpo")&gt;0,$OF90=0,OR($RO90="Cone",$RO90="Linha")),"Corpo a Corpo não entra em "&amp;$MU90,""),IF(AND(COUNTIF($OK90:$OL90,"Corpo a Corpo")&gt;0,$RP90="Corpo a Corpo"),"A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"&amp;$NC90,""))),IF(AND($MU90&lt;&gt;"",COUNTIF('DADOS_FORMAS'!$AH$2:$AH$21,SUBSTITUTE(SUBSTITUTE(SUBSTITUTE($MU90,"~","~~"),"*","~*"),"?","~?"))=0),"Forma não cadastrada ou com erro: "&amp;$MU90,""),IF(AND(IFERROR(INDEX('DADOS_FORMAS'!$AS$2:$AS$21,MATCH(SUBSTITUTE(SUBSTITUTE(SUBSTITUTE($MU90,"~","~~"),"*","~*"),"?","~?"),'DADOS_FORMAS'!$AH$2:$AH$21,0)),"")&lt;&gt;"",OR(IFERROR(VLOOKUP(SUBSTITUTE(SUBSTITUTE(SUBSTITUTE(IFERROR(INDEX('DADOS_FORMAS'!$AS$2:$AS$21,MATCH(SUBSTITUTE(SUBSTITUTE(SUBSTITUTE($MU90,"~","~~"),"*","~*"),"?","~?"),'DADOS_FORMAS'!$AH$2:$AH$21,0)),""),"~","~~"),"*","~*"),"?","~?"),'DADOS_RESTRICOES'!$M$2:$Q$54,2,FALSE),"")=$OK90,IFERROR(VLOOKUP(SUBSTITUTE(SUBSTITUTE(SUBSTITUTE(IFERROR(INDEX('DADOS_FORMAS'!$AS$2:$AS$21,MATCH(SUBSTITUTE(SUBSTITUTE(SUBSTITUTE($MU90,"~","~~"),"*","~*"),"?","~?"),'DADOS_FORMAS'!$AH$2:$AH$21,0)),""),"~","~~"),"*","~*"),"?","~?"),'DADOS_RESTRICOES'!$M$2:$Q$54,2,FALSE),"")=$OL90)),"Restrição repetida, contando a embutida",""),IF(IF(IFERROR(INDEX('DADOS_FORMAS'!$AS$2:$AS$21,MATCH(SUBSTITUTE(SUBSTITUTE(SUBSTITUTE($MU90,"~","~~"),"*","~*"),"?","~?"),'DADOS_FORMAS'!$AH$2:$AH$21,0)),"")="",0,IFERROR(N(VLOOKUP(SUBSTITUTE(SUBSTITUTE(SUBSTITUTE(IFERROR(INDEX('DADOS_FORMAS'!$AS$2:$AS$21,MATCH(SUBSTITUTE(SUBSTITUTE(SUBSTITUTE($MU90,"~","~~"),"*","~*"),"?","~?"),'DADOS_FORMAS'!$AH$2:$AH$21,0)),""),"~","~~"),"*","~*"),"?","~?"),'DADOS_RESTRICOES'!$M$2:$Q$54,4,FALSE)=1),0))+IF($NB90="",0,IFERROR(N(VLOOKUP(SUBSTITUTE(SUBSTITUTE(SUBSTITUTE($NB90,"~","~~"),"*","~*"),"?","~?"),'DADOS_RESTRICOES'!$M$2:$Q$54,4,FALSE)=1),0))+IF($NC90="",0,IFERROR(N(VLOOKUP(SUBSTITUTE(SUBSTITUTE(SUBSTITUTE($NC90,"~","~~"),"*","~*"),"?","~?"),'DADOS_RESTRICOES'!$M$2:$Q$54,4,FALSE)=1),0))&gt;1,"Duas Restrições de frequência, contando a embutida",""),IF(AND(IFERROR(VLOOKUP(SUBSTITUTE(SUBSTITUTE(SUBSTITUTE(IFERROR(INDEX('DADOS_FORMAS'!$AS$2:$AS$21,MATCH(SUBSTITUTE(SUBSTITUTE(SUBSTITUTE($MU90,"~","~~"),"*","~*"),"?","~?"),'DADOS_FORMAS'!$AH$2:$AH$21,0)),""),"~","~~"),"*","~*"),"?","~?"),'DADOS_RESTRICOES'!$M$2:$Q$54,2,FALSE),"")="Tudo ou Nada",$OH90=0),"Tudo ou Nada exige TR",""),IF(AND(IFERROR(VLOOKUP(SUBSTITUTE(SUBSTITUTE(SUBSTITUTE(IFERROR(INDEX('DADOS_FORMAS'!$AS$2:$AS$21,MATCH(SUBSTITUTE(SUBSTITUTE(SUBSTITUTE($MU90,"~","~~"),"*","~*"),"?","~?"),'DADOS_FORMAS'!$AH$2:$AH$21,0)),""),"~","~~"),"*","~*"),"?","~?"),'DADOS_RESTRICOES'!$M$2:$Q$54,2,FALSE),"")="Corpo a Corpo",OR($RO90="Cone",$RO90="Linha")),"Corpo a Corpo não entra em Cone/Linha","")))</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dela",IF(COUNTIF($RQ90:$RS90,"Atrasar")&gt;0,"Sua Ação Completa",IF(COUNTIF($RK90:$RN90,"Rápido")&gt;0,"Sua Bônus",IF(COUNTIF($RK90:$RN90,"Reação")&gt;0,"Sua Reação","Sua Padrão")))&amp;" + a básica dela"&amp;IF(COUNTIF($RK90:$RN90,"Reação")&gt;0," e a coletiva","")&amp;IF(COUNTIF($RQ90:$RS90,"Carregar")&gt;0," · em dois turnos","")))</f>
        <v/>
      </c>
      <c r="QC90" s="161">
        <f>IF($MW90&lt;&gt;"",$MW90,IF($NJ90=0,"",INDEX('DADOS_FORMAS'!$GE$2:$GE$21,$NJ90)))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IF($NJ90=0,0,CHOOSE(1+INDEX('DADOS_FORMAS'!$GG$2:$GG$21,$NJ90),0,$QF90,$QG90,$QF90+$QG90))</f>
        <v/>
      </c>
      <c r="QI90" s="161">
        <f>IF($NJ90=0,0,CHOOSE(1+INDEX('DADOS_FORMAS'!$GH$2:$GH$21,$NJ90),0,$QF90,$QG90,$QF90+$QG90))</f>
        <v/>
      </c>
      <c r="QJ90" s="161">
        <f>IF(OR($ND90=0,$NJ90=0),"",INDEX('DADOS_FORMAS'!$HU$2:$HZ$81,($NJ90-1)*4+IF($MS90=0,1,IF($MS90&lt;=5,2,IF($MS90=6,3,4))),1+MIN(5,$QH90))&amp;INDEX('DADOS_FORMAS'!$IA$2:$IF$81,($NJ90-1)*4+IF($MS90=0,1,IF($MS90&lt;=5,2,IF($MS90=6,3,4))),1+MIN(5,$QI90))&amp;IF(INDEX('DADOS_FORMAS'!$GI$2:$GI$21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c r="RO90">
        <f>IFERROR(INDEX('DADOS_FORMAS'!$BJ$2:$BJ$21,MATCH(SUBSTITUTE(SUBSTITUTE(SUBSTITUTE($MU90,"~","~~"),"*","~*"),"?","~?"),'DADOS_FORMAS'!$AH$2:$AH$21,0)),"")</f>
        <v/>
      </c>
      <c r="RP90">
        <f>IFERROR(VLOOKUP(SUBSTITUTE(SUBSTITUTE(SUBSTITUTE(IFERROR(INDEX('DADOS_FORMAS'!$AS$2:$AS$21,MATCH(SUBSTITUTE(SUBSTITUTE(SUBSTITUTE($MU90,"~","~~"),"*","~*"),"?","~?"),'DADOS_FORMAS'!$AH$2:$AH$21,0)),""),"~","~~"),"*","~*"),"?","~?"),'DADOS_RESTRICOES'!$M$2:$Q$54,2,FALSE),"")</f>
        <v/>
      </c>
      <c r="RQ90">
        <f>$OK90</f>
        <v/>
      </c>
      <c r="RR90">
        <f>$OL90</f>
        <v/>
      </c>
      <c r="RS90">
        <f>$RP90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IFERROR(MATCH(SUBSTITUTE(SUBSTITUTE(SUBSTITUTE($MU91,"~","~~"),"*","~*"),"?","~?"),'DADOS_FORMAS'!$FZ$2:$FZ$21,0),0)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IF($MS91=0,0,IF($NJ91=0,0,INDEX('DADOS_FORMAS'!$GB$2:$GB$21,$NJ91)))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IF($NJ91=0,0,IF(INDEX('DADOS_FORMAS'!$GA$2:$GA$21,$NJ91)="",0,IF((COUNTIF(INDEX($EL$2:$EP$13,$MO91,0),INDEX('DADOS_FORMAS'!$GA$2:$GA$21,$NJ91))+COUNTIF(INDEX($QV$2:$QY$13,$MO91,0),INDEX('DADOS_FORMAS'!$GA$2:$GA$21,$NJ91)))=0,1,0)))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IFERROR(N(AND(INDEX('DADOS_FORMAS'!$AO$2:$AO$21,MATCH(SUBSTITUTE(SUBSTITUTE(SUBSTITUTE($MU91,"~","~~"),"*","~*"),"?","~?"),'DADOS_FORMAS'!$AH$2:$AH$21,0))="Acerto",$OH91=1)),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IF($NJ91=0,0,INDEX('DADOS_FORMAS'!$GC$2:$GC$21,$NJ91))</f>
        <v/>
      </c>
      <c r="OG91" s="161">
        <f>IF($NJ91=0,0,INDEX('DADOS_FORMAS'!$GD$2:$GD$21,$NJ91))</f>
        <v/>
      </c>
      <c r="OH91" s="161">
        <f>IF($NJ91=0,0,INDEX('DADOS_FORMAS'!$GF$2:$GF$21,$NJ91))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IF(IFERROR(INDEX('DADOS_FORMAS'!$AS$2:$AS$21,MATCH(SUBSTITUTE(SUBSTITUTE(SUBSTITUTE($MU91,"~","~~"),"*","~*"),"?","~?"),'DADOS_FORMAS'!$AH$2:$AH$21,0)),"")="",0,IFERROR(N(VLOOKUP(SUBSTITUTE(SUBSTITUTE(SUBSTITUTE(IFERROR(INDEX('DADOS_FORMAS'!$AS$2:$AS$21,MATCH(SUBSTITUTE(SUBSTITUTE(SUBSTITUTE($MU91,"~","~~"),"*","~*"),"?","~?"),'DADOS_FORMAS'!$AH$2:$AH$21,0)),""),"~","~~"),"*","~*"),"?","~?"),'DADOS_RESTRICOES'!$M$2:$Q$54,3,FALSE)=1),0))</f>
        <v/>
      </c>
      <c r="OT91" s="161">
        <f>COUNTIF($OI91:$OJ91,2)+IF(IFERROR(INDEX('DADOS_FORMAS'!$AS$2:$AS$21,MATCH(SUBSTITUTE(SUBSTITUTE(SUBSTITUTE($MU91,"~","~~"),"*","~*"),"?","~?"),'DADOS_FORMAS'!$AH$2:$AH$21,0)),"")="",0,IFERROR(N(VLOOKUP(SUBSTITUTE(SUBSTITUTE(SUBSTITUTE(IFERROR(INDEX('DADOS_FORMAS'!$AS$2:$AS$21,MATCH(SUBSTITUTE(SUBSTITUTE(SUBSTITUTE($MU91,"~","~~"),"*","~*"),"?","~?"),'DADOS_FORMAS'!$AH$2:$AH$21,0)),""),"~","~~"),"*","~*"),"?","~?"),'DADOS_RESTRICOES'!$M$2:$Q$54,3,FALSE)=2),0))</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",TRUE,IF($ND91=0,"",TEXTJOIN(" · ",TRUE,IF($MQ91&gt;$NE91,"Este lugar abre no nível "&amp;$MQ91,""),IF($MS91&gt;$NF91,"Classe "&amp;$MS91&amp;": o nível "&amp;$NE91&amp;" libera até a "&amp;$NF91,""),IF($NX91=1,"A Forma "&amp;$MU91&amp;" pede "&amp;INDEX('DADOS_FORMAS'!$GA$2:$GA$21,$NJ91)&amp;" aberta",""),IF(AND($MS91=0,$NJ91&gt;0,IF($NJ91=0,0,INDEX('DADOS_FORMAS'!$GJ$2:$GJ$21,$NJ91))=0),$MU91&amp;"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Corpo")&gt;0,$OF91=0,OR($RO91="Cone",$RO91="Linha")),"Corpo a Corpo não entra em "&amp;$MU91,""),IF(AND(COUNTIF($OK91:$OL91,"Corpo a Corpo")&gt;0,$RP91="Corpo a Corpo"),"A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"&amp;$NC91,""))),IF(AND($MU91&lt;&gt;"",COUNTIF('DADOS_FORMAS'!$AH$2:$AH$21,SUBSTITUTE(SUBSTITUTE(SUBSTITUTE($MU91,"~","~~"),"*","~*"),"?","~?"))=0),"Forma não cadastrada ou com erro: "&amp;$MU91,""),IF(AND(IFERROR(INDEX('DADOS_FORMAS'!$AS$2:$AS$21,MATCH(SUBSTITUTE(SUBSTITUTE(SUBSTITUTE($MU91,"~","~~"),"*","~*"),"?","~?"),'DADOS_FORMAS'!$AH$2:$AH$21,0)),"")&lt;&gt;"",OR(IFERROR(VLOOKUP(SUBSTITUTE(SUBSTITUTE(SUBSTITUTE(IFERROR(INDEX('DADOS_FORMAS'!$AS$2:$AS$21,MATCH(SUBSTITUTE(SUBSTITUTE(SUBSTITUTE($MU91,"~","~~"),"*","~*"),"?","~?"),'DADOS_FORMAS'!$AH$2:$AH$21,0)),""),"~","~~"),"*","~*"),"?","~?"),'DADOS_RESTRICOES'!$M$2:$Q$54,2,FALSE),"")=$OK91,IFERROR(VLOOKUP(SUBSTITUTE(SUBSTITUTE(SUBSTITUTE(IFERROR(INDEX('DADOS_FORMAS'!$AS$2:$AS$21,MATCH(SUBSTITUTE(SUBSTITUTE(SUBSTITUTE($MU91,"~","~~"),"*","~*"),"?","~?"),'DADOS_FORMAS'!$AH$2:$AH$21,0)),""),"~","~~"),"*","~*"),"?","~?"),'DADOS_RESTRICOES'!$M$2:$Q$54,2,FALSE),"")=$OL91)),"Restrição repetida, contando a embutida",""),IF(IF(IFERROR(INDEX('DADOS_FORMAS'!$AS$2:$AS$21,MATCH(SUBSTITUTE(SUBSTITUTE(SUBSTITUTE($MU91,"~","~~"),"*","~*"),"?","~?"),'DADOS_FORMAS'!$AH$2:$AH$21,0)),"")="",0,IFERROR(N(VLOOKUP(SUBSTITUTE(SUBSTITUTE(SUBSTITUTE(IFERROR(INDEX('DADOS_FORMAS'!$AS$2:$AS$21,MATCH(SUBSTITUTE(SUBSTITUTE(SUBSTITUTE($MU91,"~","~~"),"*","~*"),"?","~?"),'DADOS_FORMAS'!$AH$2:$AH$21,0)),""),"~","~~"),"*","~*"),"?","~?"),'DADOS_RESTRICOES'!$M$2:$Q$54,4,FALSE)=1),0))+IF($NB91="",0,IFERROR(N(VLOOKUP(SUBSTITUTE(SUBSTITUTE(SUBSTITUTE($NB91,"~","~~"),"*","~*"),"?","~?"),'DADOS_RESTRICOES'!$M$2:$Q$54,4,FALSE)=1),0))+IF($NC91="",0,IFERROR(N(VLOOKUP(SUBSTITUTE(SUBSTITUTE(SUBSTITUTE($NC91,"~","~~"),"*","~*"),"?","~?"),'DADOS_RESTRICOES'!$M$2:$Q$54,4,FALSE)=1),0))&gt;1,"Duas Restrições de frequência, contando a embutida",""),IF(AND(IFERROR(VLOOKUP(SUBSTITUTE(SUBSTITUTE(SUBSTITUTE(IFERROR(INDEX('DADOS_FORMAS'!$AS$2:$AS$21,MATCH(SUBSTITUTE(SUBSTITUTE(SUBSTITUTE($MU91,"~","~~"),"*","~*"),"?","~?"),'DADOS_FORMAS'!$AH$2:$AH$21,0)),""),"~","~~"),"*","~*"),"?","~?"),'DADOS_RESTRICOES'!$M$2:$Q$54,2,FALSE),"")="Tudo ou Nada",$OH91=0),"Tudo ou Nada exige TR",""),IF(AND(IFERROR(VLOOKUP(SUBSTITUTE(SUBSTITUTE(SUBSTITUTE(IFERROR(INDEX('DADOS_FORMAS'!$AS$2:$AS$21,MATCH(SUBSTITUTE(SUBSTITUTE(SUBSTITUTE($MU91,"~","~~"),"*","~*"),"?","~?"),'DADOS_FORMAS'!$AH$2:$AH$21,0)),""),"~","~~"),"*","~*"),"?","~?"),'DADOS_RESTRICOES'!$M$2:$Q$54,2,FALSE),"")="Corpo a Corpo",OR($RO91="Cone",$RO91="Linha")),"Corpo a Corpo não entra em Cone/Linha","")))</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dela",IF(COUNTIF($RQ91:$RS91,"Atrasar")&gt;0,"Sua Ação Completa",IF(COUNTIF($RK91:$RN91,"Rápido")&gt;0,"Sua Bônus",IF(COUNTIF($RK91:$RN91,"Reação")&gt;0,"Sua Reação","Sua Padrão")))&amp;" + a básica dela"&amp;IF(COUNTIF($RK91:$RN91,"Reação")&gt;0," e a coletiva","")&amp;IF(COUNTIF($RQ91:$RS91,"Carregar")&gt;0," · em dois turnos","")))</f>
        <v/>
      </c>
      <c r="QC91" s="161">
        <f>IF($MW91&lt;&gt;"",$MW91,IF($NJ91=0,"",INDEX('DADOS_FORMAS'!$GE$2:$GE$21,$NJ91)))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IF($NJ91=0,0,CHOOSE(1+INDEX('DADOS_FORMAS'!$GG$2:$GG$21,$NJ91),0,$QF91,$QG91,$QF91+$QG91))</f>
        <v/>
      </c>
      <c r="QI91" s="161">
        <f>IF($NJ91=0,0,CHOOSE(1+INDEX('DADOS_FORMAS'!$GH$2:$GH$21,$NJ91),0,$QF91,$QG91,$QF91+$QG91))</f>
        <v/>
      </c>
      <c r="QJ91" s="161">
        <f>IF(OR($ND91=0,$NJ91=0),"",INDEX('DADOS_FORMAS'!$HU$2:$HZ$81,($NJ91-1)*4+IF($MS91=0,1,IF($MS91&lt;=5,2,IF($MS91=6,3,4))),1+MIN(5,$QH91))&amp;INDEX('DADOS_FORMAS'!$IA$2:$IF$81,($NJ91-1)*4+IF($MS91=0,1,IF($MS91&lt;=5,2,IF($MS91=6,3,4))),1+MIN(5,$QI91))&amp;IF(INDEX('DADOS_FORMAS'!$GI$2:$GI$21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c r="RO91">
        <f>IFERROR(INDEX('DADOS_FORMAS'!$BJ$2:$BJ$21,MATCH(SUBSTITUTE(SUBSTITUTE(SUBSTITUTE($MU91,"~","~~"),"*","~*"),"?","~?"),'DADOS_FORMAS'!$AH$2:$AH$21,0)),"")</f>
        <v/>
      </c>
      <c r="RP91">
        <f>IFERROR(VLOOKUP(SUBSTITUTE(SUBSTITUTE(SUBSTITUTE(IFERROR(INDEX('DADOS_FORMAS'!$AS$2:$AS$21,MATCH(SUBSTITUTE(SUBSTITUTE(SUBSTITUTE($MU91,"~","~~"),"*","~*"),"?","~?"),'DADOS_FORMAS'!$AH$2:$AH$21,0)),""),"~","~~"),"*","~*"),"?","~?"),'DADOS_RESTRICOES'!$M$2:$Q$54,2,FALSE),"")</f>
        <v/>
      </c>
      <c r="RQ91">
        <f>$OK91</f>
        <v/>
      </c>
      <c r="RR91">
        <f>$OL91</f>
        <v/>
      </c>
      <c r="RS91">
        <f>$RP91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IFERROR(MATCH(SUBSTITUTE(SUBSTITUTE(SUBSTITUTE($MU92,"~","~~"),"*","~*"),"?","~?"),'DADOS_FORMAS'!$FZ$2:$FZ$21,0),0)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IF($MS92=0,0,IF($NJ92=0,0,INDEX('DADOS_FORMAS'!$GB$2:$GB$21,$NJ92)))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IF($NJ92=0,0,IF(INDEX('DADOS_FORMAS'!$GA$2:$GA$21,$NJ92)="",0,IF((COUNTIF(INDEX($EL$2:$EP$13,$MO92,0),INDEX('DADOS_FORMAS'!$GA$2:$GA$21,$NJ92))+COUNTIF(INDEX($QV$2:$QY$13,$MO92,0),INDEX('DADOS_FORMAS'!$GA$2:$GA$21,$NJ92)))=0,1,0)))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IFERROR(N(AND(INDEX('DADOS_FORMAS'!$AO$2:$AO$21,MATCH(SUBSTITUTE(SUBSTITUTE(SUBSTITUTE($MU92,"~","~~"),"*","~*"),"?","~?"),'DADOS_FORMAS'!$AH$2:$AH$21,0))="Acerto",$OH92=1)),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IF($NJ92=0,0,INDEX('DADOS_FORMAS'!$GC$2:$GC$21,$NJ92))</f>
        <v/>
      </c>
      <c r="OG92" s="161">
        <f>IF($NJ92=0,0,INDEX('DADOS_FORMAS'!$GD$2:$GD$21,$NJ92))</f>
        <v/>
      </c>
      <c r="OH92" s="161">
        <f>IF($NJ92=0,0,INDEX('DADOS_FORMAS'!$GF$2:$GF$21,$NJ92))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IF(IFERROR(INDEX('DADOS_FORMAS'!$AS$2:$AS$21,MATCH(SUBSTITUTE(SUBSTITUTE(SUBSTITUTE($MU92,"~","~~"),"*","~*"),"?","~?"),'DADOS_FORMAS'!$AH$2:$AH$21,0)),"")="",0,IFERROR(N(VLOOKUP(SUBSTITUTE(SUBSTITUTE(SUBSTITUTE(IFERROR(INDEX('DADOS_FORMAS'!$AS$2:$AS$21,MATCH(SUBSTITUTE(SUBSTITUTE(SUBSTITUTE($MU92,"~","~~"),"*","~*"),"?","~?"),'DADOS_FORMAS'!$AH$2:$AH$21,0)),""),"~","~~"),"*","~*"),"?","~?"),'DADOS_RESTRICOES'!$M$2:$Q$54,3,FALSE)=1),0))</f>
        <v/>
      </c>
      <c r="OT92" s="161">
        <f>COUNTIF($OI92:$OJ92,2)+IF(IFERROR(INDEX('DADOS_FORMAS'!$AS$2:$AS$21,MATCH(SUBSTITUTE(SUBSTITUTE(SUBSTITUTE($MU92,"~","~~"),"*","~*"),"?","~?"),'DADOS_FORMAS'!$AH$2:$AH$21,0)),"")="",0,IFERROR(N(VLOOKUP(SUBSTITUTE(SUBSTITUTE(SUBSTITUTE(IFERROR(INDEX('DADOS_FORMAS'!$AS$2:$AS$21,MATCH(SUBSTITUTE(SUBSTITUTE(SUBSTITUTE($MU92,"~","~~"),"*","~*"),"?","~?"),'DADOS_FORMAS'!$AH$2:$AH$21,0)),""),"~","~~"),"*","~*"),"?","~?"),'DADOS_RESTRICOES'!$M$2:$Q$54,3,FALSE)=2),0))</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",TRUE,IF($ND92=0,"",TEXTJOIN(" · ",TRUE,IF($MQ92&gt;$NE92,"Este lugar abre no nível "&amp;$MQ92,""),IF($MS92&gt;$NF92,"Classe "&amp;$MS92&amp;": o nível "&amp;$NE92&amp;" libera até a "&amp;$NF92,""),IF($NX92=1,"A Forma "&amp;$MU92&amp;" pede "&amp;INDEX('DADOS_FORMAS'!$GA$2:$GA$21,$NJ92)&amp;" aberta",""),IF(AND($MS92=0,$NJ92&gt;0,IF($NJ92=0,0,INDEX('DADOS_FORMAS'!$GJ$2:$GJ$21,$NJ92))=0),$MU92&amp;"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Corpo")&gt;0,$OF92=0,OR($RO92="Cone",$RO92="Linha")),"Corpo a Corpo não entra em "&amp;$MU92,""),IF(AND(COUNTIF($OK92:$OL92,"Corpo a Corpo")&gt;0,$RP92="Corpo a Corpo"),"A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"&amp;$NC92,""))),IF(AND($MU92&lt;&gt;"",COUNTIF('DADOS_FORMAS'!$AH$2:$AH$21,SUBSTITUTE(SUBSTITUTE(SUBSTITUTE($MU92,"~","~~"),"*","~*"),"?","~?"))=0),"Forma não cadastrada ou com erro: "&amp;$MU92,""),IF(AND(IFERROR(INDEX('DADOS_FORMAS'!$AS$2:$AS$21,MATCH(SUBSTITUTE(SUBSTITUTE(SUBSTITUTE($MU92,"~","~~"),"*","~*"),"?","~?"),'DADOS_FORMAS'!$AH$2:$AH$21,0)),"")&lt;&gt;"",OR(IFERROR(VLOOKUP(SUBSTITUTE(SUBSTITUTE(SUBSTITUTE(IFERROR(INDEX('DADOS_FORMAS'!$AS$2:$AS$21,MATCH(SUBSTITUTE(SUBSTITUTE(SUBSTITUTE($MU92,"~","~~"),"*","~*"),"?","~?"),'DADOS_FORMAS'!$AH$2:$AH$21,0)),""),"~","~~"),"*","~*"),"?","~?"),'DADOS_RESTRICOES'!$M$2:$Q$54,2,FALSE),"")=$OK92,IFERROR(VLOOKUP(SUBSTITUTE(SUBSTITUTE(SUBSTITUTE(IFERROR(INDEX('DADOS_FORMAS'!$AS$2:$AS$21,MATCH(SUBSTITUTE(SUBSTITUTE(SUBSTITUTE($MU92,"~","~~"),"*","~*"),"?","~?"),'DADOS_FORMAS'!$AH$2:$AH$21,0)),""),"~","~~"),"*","~*"),"?","~?"),'DADOS_RESTRICOES'!$M$2:$Q$54,2,FALSE),"")=$OL92)),"Restrição repetida, contando a embutida",""),IF(IF(IFERROR(INDEX('DADOS_FORMAS'!$AS$2:$AS$21,MATCH(SUBSTITUTE(SUBSTITUTE(SUBSTITUTE($MU92,"~","~~"),"*","~*"),"?","~?"),'DADOS_FORMAS'!$AH$2:$AH$21,0)),"")="",0,IFERROR(N(VLOOKUP(SUBSTITUTE(SUBSTITUTE(SUBSTITUTE(IFERROR(INDEX('DADOS_FORMAS'!$AS$2:$AS$21,MATCH(SUBSTITUTE(SUBSTITUTE(SUBSTITUTE($MU92,"~","~~"),"*","~*"),"?","~?"),'DADOS_FORMAS'!$AH$2:$AH$21,0)),""),"~","~~"),"*","~*"),"?","~?"),'DADOS_RESTRICOES'!$M$2:$Q$54,4,FALSE)=1),0))+IF($NB92="",0,IFERROR(N(VLOOKUP(SUBSTITUTE(SUBSTITUTE(SUBSTITUTE($NB92,"~","~~"),"*","~*"),"?","~?"),'DADOS_RESTRICOES'!$M$2:$Q$54,4,FALSE)=1),0))+IF($NC92="",0,IFERROR(N(VLOOKUP(SUBSTITUTE(SUBSTITUTE(SUBSTITUTE($NC92,"~","~~"),"*","~*"),"?","~?"),'DADOS_RESTRICOES'!$M$2:$Q$54,4,FALSE)=1),0))&gt;1,"Duas Restrições de frequência, contando a embutida",""),IF(AND(IFERROR(VLOOKUP(SUBSTITUTE(SUBSTITUTE(SUBSTITUTE(IFERROR(INDEX('DADOS_FORMAS'!$AS$2:$AS$21,MATCH(SUBSTITUTE(SUBSTITUTE(SUBSTITUTE($MU92,"~","~~"),"*","~*"),"?","~?"),'DADOS_FORMAS'!$AH$2:$AH$21,0)),""),"~","~~"),"*","~*"),"?","~?"),'DADOS_RESTRICOES'!$M$2:$Q$54,2,FALSE),"")="Tudo ou Nada",$OH92=0),"Tudo ou Nada exige TR",""),IF(AND(IFERROR(VLOOKUP(SUBSTITUTE(SUBSTITUTE(SUBSTITUTE(IFERROR(INDEX('DADOS_FORMAS'!$AS$2:$AS$21,MATCH(SUBSTITUTE(SUBSTITUTE(SUBSTITUTE($MU92,"~","~~"),"*","~*"),"?","~?"),'DADOS_FORMAS'!$AH$2:$AH$21,0)),""),"~","~~"),"*","~*"),"?","~?"),'DADOS_RESTRICOES'!$M$2:$Q$54,2,FALSE),"")="Corpo a Corpo",OR($RO92="Cone",$RO92="Linha")),"Corpo a Corpo não entra em Cone/Linha","")))</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dela",IF(COUNTIF($RQ92:$RS92,"Atrasar")&gt;0,"Sua Ação Completa",IF(COUNTIF($RK92:$RN92,"Rápido")&gt;0,"Sua Bônus",IF(COUNTIF($RK92:$RN92,"Reação")&gt;0,"Sua Reação","Sua Padrão")))&amp;" + a básica dela"&amp;IF(COUNTIF($RK92:$RN92,"Reação")&gt;0," e a coletiva","")&amp;IF(COUNTIF($RQ92:$RS92,"Carregar")&gt;0," · em dois turnos","")))</f>
        <v/>
      </c>
      <c r="QC92" s="161">
        <f>IF($MW92&lt;&gt;"",$MW92,IF($NJ92=0,"",INDEX('DADOS_FORMAS'!$GE$2:$GE$21,$NJ92)))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IF($NJ92=0,0,CHOOSE(1+INDEX('DADOS_FORMAS'!$GG$2:$GG$21,$NJ92),0,$QF92,$QG92,$QF92+$QG92))</f>
        <v/>
      </c>
      <c r="QI92" s="161">
        <f>IF($NJ92=0,0,CHOOSE(1+INDEX('DADOS_FORMAS'!$GH$2:$GH$21,$NJ92),0,$QF92,$QG92,$QF92+$QG92))</f>
        <v/>
      </c>
      <c r="QJ92" s="161">
        <f>IF(OR($ND92=0,$NJ92=0),"",INDEX('DADOS_FORMAS'!$HU$2:$HZ$81,($NJ92-1)*4+IF($MS92=0,1,IF($MS92&lt;=5,2,IF($MS92=6,3,4))),1+MIN(5,$QH92))&amp;INDEX('DADOS_FORMAS'!$IA$2:$IF$81,($NJ92-1)*4+IF($MS92=0,1,IF($MS92&lt;=5,2,IF($MS92=6,3,4))),1+MIN(5,$QI92))&amp;IF(INDEX('DADOS_FORMAS'!$GI$2:$GI$21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c r="RO92">
        <f>IFERROR(INDEX('DADOS_FORMAS'!$BJ$2:$BJ$21,MATCH(SUBSTITUTE(SUBSTITUTE(SUBSTITUTE($MU92,"~","~~"),"*","~*"),"?","~?"),'DADOS_FORMAS'!$AH$2:$AH$21,0)),"")</f>
        <v/>
      </c>
      <c r="RP92">
        <f>IFERROR(VLOOKUP(SUBSTITUTE(SUBSTITUTE(SUBSTITUTE(IFERROR(INDEX('DADOS_FORMAS'!$AS$2:$AS$21,MATCH(SUBSTITUTE(SUBSTITUTE(SUBSTITUTE($MU92,"~","~~"),"*","~*"),"?","~?"),'DADOS_FORMAS'!$AH$2:$AH$21,0)),""),"~","~~"),"*","~*"),"?","~?"),'DADOS_RESTRICOES'!$M$2:$Q$54,2,FALSE),"")</f>
        <v/>
      </c>
      <c r="RQ92">
        <f>$OK92</f>
        <v/>
      </c>
      <c r="RR92">
        <f>$OL92</f>
        <v/>
      </c>
      <c r="RS92">
        <f>$RP92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IFERROR(MATCH(SUBSTITUTE(SUBSTITUTE(SUBSTITUTE($MU93,"~","~~"),"*","~*"),"?","~?"),'DADOS_FORMAS'!$FZ$2:$FZ$21,0),0)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IF($MS93=0,0,IF($NJ93=0,0,INDEX('DADOS_FORMAS'!$GB$2:$GB$21,$NJ93)))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IF($NJ93=0,0,IF(INDEX('DADOS_FORMAS'!$GA$2:$GA$21,$NJ93)="",0,IF((COUNTIF(INDEX($EL$2:$EP$13,$MO93,0),INDEX('DADOS_FORMAS'!$GA$2:$GA$21,$NJ93))+COUNTIF(INDEX($QV$2:$QY$13,$MO93,0),INDEX('DADOS_FORMAS'!$GA$2:$GA$21,$NJ93)))=0,1,0)))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IFERROR(N(AND(INDEX('DADOS_FORMAS'!$AO$2:$AO$21,MATCH(SUBSTITUTE(SUBSTITUTE(SUBSTITUTE($MU93,"~","~~"),"*","~*"),"?","~?"),'DADOS_FORMAS'!$AH$2:$AH$21,0))="Acerto",$OH93=1)),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IF($NJ93=0,0,INDEX('DADOS_FORMAS'!$GC$2:$GC$21,$NJ93))</f>
        <v/>
      </c>
      <c r="OG93" s="161">
        <f>IF($NJ93=0,0,INDEX('DADOS_FORMAS'!$GD$2:$GD$21,$NJ93))</f>
        <v/>
      </c>
      <c r="OH93" s="161">
        <f>IF($NJ93=0,0,INDEX('DADOS_FORMAS'!$GF$2:$GF$21,$NJ93))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IF(IFERROR(INDEX('DADOS_FORMAS'!$AS$2:$AS$21,MATCH(SUBSTITUTE(SUBSTITUTE(SUBSTITUTE($MU93,"~","~~"),"*","~*"),"?","~?"),'DADOS_FORMAS'!$AH$2:$AH$21,0)),"")="",0,IFERROR(N(VLOOKUP(SUBSTITUTE(SUBSTITUTE(SUBSTITUTE(IFERROR(INDEX('DADOS_FORMAS'!$AS$2:$AS$21,MATCH(SUBSTITUTE(SUBSTITUTE(SUBSTITUTE($MU93,"~","~~"),"*","~*"),"?","~?"),'DADOS_FORMAS'!$AH$2:$AH$21,0)),""),"~","~~"),"*","~*"),"?","~?"),'DADOS_RESTRICOES'!$M$2:$Q$54,3,FALSE)=1),0))</f>
        <v/>
      </c>
      <c r="OT93" s="161">
        <f>COUNTIF($OI93:$OJ93,2)+IF(IFERROR(INDEX('DADOS_FORMAS'!$AS$2:$AS$21,MATCH(SUBSTITUTE(SUBSTITUTE(SUBSTITUTE($MU93,"~","~~"),"*","~*"),"?","~?"),'DADOS_FORMAS'!$AH$2:$AH$21,0)),"")="",0,IFERROR(N(VLOOKUP(SUBSTITUTE(SUBSTITUTE(SUBSTITUTE(IFERROR(INDEX('DADOS_FORMAS'!$AS$2:$AS$21,MATCH(SUBSTITUTE(SUBSTITUTE(SUBSTITUTE($MU93,"~","~~"),"*","~*"),"?","~?"),'DADOS_FORMAS'!$AH$2:$AH$21,0)),""),"~","~~"),"*","~*"),"?","~?"),'DADOS_RESTRICOES'!$M$2:$Q$54,3,FALSE)=2),0))</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",TRUE,IF($ND93=0,"",TEXTJOIN(" · ",TRUE,IF($MQ93&gt;$NE93,"Este lugar abre no nível "&amp;$MQ93,""),IF($MS93&gt;$NF93,"Classe "&amp;$MS93&amp;": o nível "&amp;$NE93&amp;" libera até a "&amp;$NF93,""),IF($NX93=1,"A Forma "&amp;$MU93&amp;" pede "&amp;INDEX('DADOS_FORMAS'!$GA$2:$GA$21,$NJ93)&amp;" aberta",""),IF(AND($MS93=0,$NJ93&gt;0,IF($NJ93=0,0,INDEX('DADOS_FORMAS'!$GJ$2:$GJ$21,$NJ93))=0),$MU93&amp;"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Corpo")&gt;0,$OF93=0,OR($RO93="Cone",$RO93="Linha")),"Corpo a Corpo não entra em "&amp;$MU93,""),IF(AND(COUNTIF($OK93:$OL93,"Corpo a Corpo")&gt;0,$RP93="Corpo a Corpo"),"A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"&amp;$NC93,""))),IF(AND($MU93&lt;&gt;"",COUNTIF('DADOS_FORMAS'!$AH$2:$AH$21,SUBSTITUTE(SUBSTITUTE(SUBSTITUTE($MU93,"~","~~"),"*","~*"),"?","~?"))=0),"Forma não cadastrada ou com erro: "&amp;$MU93,""),IF(AND(IFERROR(INDEX('DADOS_FORMAS'!$AS$2:$AS$21,MATCH(SUBSTITUTE(SUBSTITUTE(SUBSTITUTE($MU93,"~","~~"),"*","~*"),"?","~?"),'DADOS_FORMAS'!$AH$2:$AH$21,0)),"")&lt;&gt;"",OR(IFERROR(VLOOKUP(SUBSTITUTE(SUBSTITUTE(SUBSTITUTE(IFERROR(INDEX('DADOS_FORMAS'!$AS$2:$AS$21,MATCH(SUBSTITUTE(SUBSTITUTE(SUBSTITUTE($MU93,"~","~~"),"*","~*"),"?","~?"),'DADOS_FORMAS'!$AH$2:$AH$21,0)),""),"~","~~"),"*","~*"),"?","~?"),'DADOS_RESTRICOES'!$M$2:$Q$54,2,FALSE),"")=$OK93,IFERROR(VLOOKUP(SUBSTITUTE(SUBSTITUTE(SUBSTITUTE(IFERROR(INDEX('DADOS_FORMAS'!$AS$2:$AS$21,MATCH(SUBSTITUTE(SUBSTITUTE(SUBSTITUTE($MU93,"~","~~"),"*","~*"),"?","~?"),'DADOS_FORMAS'!$AH$2:$AH$21,0)),""),"~","~~"),"*","~*"),"?","~?"),'DADOS_RESTRICOES'!$M$2:$Q$54,2,FALSE),"")=$OL93)),"Restrição repetida, contando a embutida",""),IF(IF(IFERROR(INDEX('DADOS_FORMAS'!$AS$2:$AS$21,MATCH(SUBSTITUTE(SUBSTITUTE(SUBSTITUTE($MU93,"~","~~"),"*","~*"),"?","~?"),'DADOS_FORMAS'!$AH$2:$AH$21,0)),"")="",0,IFERROR(N(VLOOKUP(SUBSTITUTE(SUBSTITUTE(SUBSTITUTE(IFERROR(INDEX('DADOS_FORMAS'!$AS$2:$AS$21,MATCH(SUBSTITUTE(SUBSTITUTE(SUBSTITUTE($MU93,"~","~~"),"*","~*"),"?","~?"),'DADOS_FORMAS'!$AH$2:$AH$21,0)),""),"~","~~"),"*","~*"),"?","~?"),'DADOS_RESTRICOES'!$M$2:$Q$54,4,FALSE)=1),0))+IF($NB93="",0,IFERROR(N(VLOOKUP(SUBSTITUTE(SUBSTITUTE(SUBSTITUTE($NB93,"~","~~"),"*","~*"),"?","~?"),'DADOS_RESTRICOES'!$M$2:$Q$54,4,FALSE)=1),0))+IF($NC93="",0,IFERROR(N(VLOOKUP(SUBSTITUTE(SUBSTITUTE(SUBSTITUTE($NC93,"~","~~"),"*","~*"),"?","~?"),'DADOS_RESTRICOES'!$M$2:$Q$54,4,FALSE)=1),0))&gt;1,"Duas Restrições de frequência, contando a embutida",""),IF(AND(IFERROR(VLOOKUP(SUBSTITUTE(SUBSTITUTE(SUBSTITUTE(IFERROR(INDEX('DADOS_FORMAS'!$AS$2:$AS$21,MATCH(SUBSTITUTE(SUBSTITUTE(SUBSTITUTE($MU93,"~","~~"),"*","~*"),"?","~?"),'DADOS_FORMAS'!$AH$2:$AH$21,0)),""),"~","~~"),"*","~*"),"?","~?"),'DADOS_RESTRICOES'!$M$2:$Q$54,2,FALSE),"")="Tudo ou Nada",$OH93=0),"Tudo ou Nada exige TR",""),IF(AND(IFERROR(VLOOKUP(SUBSTITUTE(SUBSTITUTE(SUBSTITUTE(IFERROR(INDEX('DADOS_FORMAS'!$AS$2:$AS$21,MATCH(SUBSTITUTE(SUBSTITUTE(SUBSTITUTE($MU93,"~","~~"),"*","~*"),"?","~?"),'DADOS_FORMAS'!$AH$2:$AH$21,0)),""),"~","~~"),"*","~*"),"?","~?"),'DADOS_RESTRICOES'!$M$2:$Q$54,2,FALSE),"")="Corpo a Corpo",OR($RO93="Cone",$RO93="Linha")),"Corpo a Corpo não entra em Cone/Linha","")))</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dela",IF(COUNTIF($RQ93:$RS93,"Atrasar")&gt;0,"Sua Ação Completa",IF(COUNTIF($RK93:$RN93,"Rápido")&gt;0,"Sua Bônus",IF(COUNTIF($RK93:$RN93,"Reação")&gt;0,"Sua Reação","Sua Padrão")))&amp;" + a básica dela"&amp;IF(COUNTIF($RK93:$RN93,"Reação")&gt;0," e a coletiva","")&amp;IF(COUNTIF($RQ93:$RS93,"Carregar")&gt;0," · em dois turnos","")))</f>
        <v/>
      </c>
      <c r="QC93" s="161">
        <f>IF($MW93&lt;&gt;"",$MW93,IF($NJ93=0,"",INDEX('DADOS_FORMAS'!$GE$2:$GE$21,$NJ93)))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IF($NJ93=0,0,CHOOSE(1+INDEX('DADOS_FORMAS'!$GG$2:$GG$21,$NJ93),0,$QF93,$QG93,$QF93+$QG93))</f>
        <v/>
      </c>
      <c r="QI93" s="161">
        <f>IF($NJ93=0,0,CHOOSE(1+INDEX('DADOS_FORMAS'!$GH$2:$GH$21,$NJ93),0,$QF93,$QG93,$QF93+$QG93))</f>
        <v/>
      </c>
      <c r="QJ93" s="161">
        <f>IF(OR($ND93=0,$NJ93=0),"",INDEX('DADOS_FORMAS'!$HU$2:$HZ$81,($NJ93-1)*4+IF($MS93=0,1,IF($MS93&lt;=5,2,IF($MS93=6,3,4))),1+MIN(5,$QH93))&amp;INDEX('DADOS_FORMAS'!$IA$2:$IF$81,($NJ93-1)*4+IF($MS93=0,1,IF($MS93&lt;=5,2,IF($MS93=6,3,4))),1+MIN(5,$QI93))&amp;IF(INDEX('DADOS_FORMAS'!$GI$2:$GI$21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c r="RO93">
        <f>IFERROR(INDEX('DADOS_FORMAS'!$BJ$2:$BJ$21,MATCH(SUBSTITUTE(SUBSTITUTE(SUBSTITUTE($MU93,"~","~~"),"*","~*"),"?","~?"),'DADOS_FORMAS'!$AH$2:$AH$21,0)),"")</f>
        <v/>
      </c>
      <c r="RP93">
        <f>IFERROR(VLOOKUP(SUBSTITUTE(SUBSTITUTE(SUBSTITUTE(IFERROR(INDEX('DADOS_FORMAS'!$AS$2:$AS$21,MATCH(SUBSTITUTE(SUBSTITUTE(SUBSTITUTE($MU93,"~","~~"),"*","~*"),"?","~?"),'DADOS_FORMAS'!$AH$2:$AH$21,0)),""),"~","~~"),"*","~*"),"?","~?"),'DADOS_RESTRICOES'!$M$2:$Q$54,2,FALSE),"")</f>
        <v/>
      </c>
      <c r="RQ93">
        <f>$OK93</f>
        <v/>
      </c>
      <c r="RR93">
        <f>$OL93</f>
        <v/>
      </c>
      <c r="RS93">
        <f>$RP93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IFERROR(MATCH(SUBSTITUTE(SUBSTITUTE(SUBSTITUTE($MU94,"~","~~"),"*","~*"),"?","~?"),'DADOS_FORMAS'!$FZ$2:$FZ$21,0),0)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IF($MS94=0,0,IF($NJ94=0,0,INDEX('DADOS_FORMAS'!$GB$2:$GB$21,$NJ94)))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IF($NJ94=0,0,IF(INDEX('DADOS_FORMAS'!$GA$2:$GA$21,$NJ94)="",0,IF((COUNTIF(INDEX($EL$2:$EP$13,$MO94,0),INDEX('DADOS_FORMAS'!$GA$2:$GA$21,$NJ94))+COUNTIF(INDEX($QV$2:$QY$13,$MO94,0),INDEX('DADOS_FORMAS'!$GA$2:$GA$21,$NJ94)))=0,1,0)))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IFERROR(N(AND(INDEX('DADOS_FORMAS'!$AO$2:$AO$21,MATCH(SUBSTITUTE(SUBSTITUTE(SUBSTITUTE($MU94,"~","~~"),"*","~*"),"?","~?"),'DADOS_FORMAS'!$AH$2:$AH$21,0))="Acerto",$OH94=1)),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IF($NJ94=0,0,INDEX('DADOS_FORMAS'!$GC$2:$GC$21,$NJ94))</f>
        <v/>
      </c>
      <c r="OG94" s="161">
        <f>IF($NJ94=0,0,INDEX('DADOS_FORMAS'!$GD$2:$GD$21,$NJ94))</f>
        <v/>
      </c>
      <c r="OH94" s="161">
        <f>IF($NJ94=0,0,INDEX('DADOS_FORMAS'!$GF$2:$GF$21,$NJ94))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IF(IFERROR(INDEX('DADOS_FORMAS'!$AS$2:$AS$21,MATCH(SUBSTITUTE(SUBSTITUTE(SUBSTITUTE($MU94,"~","~~"),"*","~*"),"?","~?"),'DADOS_FORMAS'!$AH$2:$AH$21,0)),"")="",0,IFERROR(N(VLOOKUP(SUBSTITUTE(SUBSTITUTE(SUBSTITUTE(IFERROR(INDEX('DADOS_FORMAS'!$AS$2:$AS$21,MATCH(SUBSTITUTE(SUBSTITUTE(SUBSTITUTE($MU94,"~","~~"),"*","~*"),"?","~?"),'DADOS_FORMAS'!$AH$2:$AH$21,0)),""),"~","~~"),"*","~*"),"?","~?"),'DADOS_RESTRICOES'!$M$2:$Q$54,3,FALSE)=1),0))</f>
        <v/>
      </c>
      <c r="OT94" s="161">
        <f>COUNTIF($OI94:$OJ94,2)+IF(IFERROR(INDEX('DADOS_FORMAS'!$AS$2:$AS$21,MATCH(SUBSTITUTE(SUBSTITUTE(SUBSTITUTE($MU94,"~","~~"),"*","~*"),"?","~?"),'DADOS_FORMAS'!$AH$2:$AH$21,0)),"")="",0,IFERROR(N(VLOOKUP(SUBSTITUTE(SUBSTITUTE(SUBSTITUTE(IFERROR(INDEX('DADOS_FORMAS'!$AS$2:$AS$21,MATCH(SUBSTITUTE(SUBSTITUTE(SUBSTITUTE($MU94,"~","~~"),"*","~*"),"?","~?"),'DADOS_FORMAS'!$AH$2:$AH$21,0)),""),"~","~~"),"*","~*"),"?","~?"),'DADOS_RESTRICOES'!$M$2:$Q$54,3,FALSE)=2),0))</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",TRUE,IF($ND94=0,"",TEXTJOIN(" · ",TRUE,IF($MQ94&gt;$NE94,"Este lugar abre no nível "&amp;$MQ94,""),IF($MS94&gt;$NF94,"Classe "&amp;$MS94&amp;": o nível "&amp;$NE94&amp;" libera até a "&amp;$NF94,""),IF($NX94=1,"A Forma "&amp;$MU94&amp;" pede "&amp;INDEX('DADOS_FORMAS'!$GA$2:$GA$21,$NJ94)&amp;" aberta",""),IF(AND($MS94=0,$NJ94&gt;0,IF($NJ94=0,0,INDEX('DADOS_FORMAS'!$GJ$2:$GJ$21,$NJ94))=0),$MU94&amp;"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Corpo")&gt;0,$OF94=0,OR($RO94="Cone",$RO94="Linha")),"Corpo a Corpo não entra em "&amp;$MU94,""),IF(AND(COUNTIF($OK94:$OL94,"Corpo a Corpo")&gt;0,$RP94="Corpo a Corpo"),"A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"&amp;$NC94,""))),IF(AND($MU94&lt;&gt;"",COUNTIF('DADOS_FORMAS'!$AH$2:$AH$21,SUBSTITUTE(SUBSTITUTE(SUBSTITUTE($MU94,"~","~~"),"*","~*"),"?","~?"))=0),"Forma não cadastrada ou com erro: "&amp;$MU94,""),IF(AND(IFERROR(INDEX('DADOS_FORMAS'!$AS$2:$AS$21,MATCH(SUBSTITUTE(SUBSTITUTE(SUBSTITUTE($MU94,"~","~~"),"*","~*"),"?","~?"),'DADOS_FORMAS'!$AH$2:$AH$21,0)),"")&lt;&gt;"",OR(IFERROR(VLOOKUP(SUBSTITUTE(SUBSTITUTE(SUBSTITUTE(IFERROR(INDEX('DADOS_FORMAS'!$AS$2:$AS$21,MATCH(SUBSTITUTE(SUBSTITUTE(SUBSTITUTE($MU94,"~","~~"),"*","~*"),"?","~?"),'DADOS_FORMAS'!$AH$2:$AH$21,0)),""),"~","~~"),"*","~*"),"?","~?"),'DADOS_RESTRICOES'!$M$2:$Q$54,2,FALSE),"")=$OK94,IFERROR(VLOOKUP(SUBSTITUTE(SUBSTITUTE(SUBSTITUTE(IFERROR(INDEX('DADOS_FORMAS'!$AS$2:$AS$21,MATCH(SUBSTITUTE(SUBSTITUTE(SUBSTITUTE($MU94,"~","~~"),"*","~*"),"?","~?"),'DADOS_FORMAS'!$AH$2:$AH$21,0)),""),"~","~~"),"*","~*"),"?","~?"),'DADOS_RESTRICOES'!$M$2:$Q$54,2,FALSE),"")=$OL94)),"Restrição repetida, contando a embutida",""),IF(IF(IFERROR(INDEX('DADOS_FORMAS'!$AS$2:$AS$21,MATCH(SUBSTITUTE(SUBSTITUTE(SUBSTITUTE($MU94,"~","~~"),"*","~*"),"?","~?"),'DADOS_FORMAS'!$AH$2:$AH$21,0)),"")="",0,IFERROR(N(VLOOKUP(SUBSTITUTE(SUBSTITUTE(SUBSTITUTE(IFERROR(INDEX('DADOS_FORMAS'!$AS$2:$AS$21,MATCH(SUBSTITUTE(SUBSTITUTE(SUBSTITUTE($MU94,"~","~~"),"*","~*"),"?","~?"),'DADOS_FORMAS'!$AH$2:$AH$21,0)),""),"~","~~"),"*","~*"),"?","~?"),'DADOS_RESTRICOES'!$M$2:$Q$54,4,FALSE)=1),0))+IF($NB94="",0,IFERROR(N(VLOOKUP(SUBSTITUTE(SUBSTITUTE(SUBSTITUTE($NB94,"~","~~"),"*","~*"),"?","~?"),'DADOS_RESTRICOES'!$M$2:$Q$54,4,FALSE)=1),0))+IF($NC94="",0,IFERROR(N(VLOOKUP(SUBSTITUTE(SUBSTITUTE(SUBSTITUTE($NC94,"~","~~"),"*","~*"),"?","~?"),'DADOS_RESTRICOES'!$M$2:$Q$54,4,FALSE)=1),0))&gt;1,"Duas Restrições de frequência, contando a embutida",""),IF(AND(IFERROR(VLOOKUP(SUBSTITUTE(SUBSTITUTE(SUBSTITUTE(IFERROR(INDEX('DADOS_FORMAS'!$AS$2:$AS$21,MATCH(SUBSTITUTE(SUBSTITUTE(SUBSTITUTE($MU94,"~","~~"),"*","~*"),"?","~?"),'DADOS_FORMAS'!$AH$2:$AH$21,0)),""),"~","~~"),"*","~*"),"?","~?"),'DADOS_RESTRICOES'!$M$2:$Q$54,2,FALSE),"")="Tudo ou Nada",$OH94=0),"Tudo ou Nada exige TR",""),IF(AND(IFERROR(VLOOKUP(SUBSTITUTE(SUBSTITUTE(SUBSTITUTE(IFERROR(INDEX('DADOS_FORMAS'!$AS$2:$AS$21,MATCH(SUBSTITUTE(SUBSTITUTE(SUBSTITUTE($MU94,"~","~~"),"*","~*"),"?","~?"),'DADOS_FORMAS'!$AH$2:$AH$21,0)),""),"~","~~"),"*","~*"),"?","~?"),'DADOS_RESTRICOES'!$M$2:$Q$54,2,FALSE),"")="Corpo a Corpo",OR($RO94="Cone",$RO94="Linha")),"Corpo a Corpo não entra em Cone/Linha","")))</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dela",IF(COUNTIF($RQ94:$RS94,"Atrasar")&gt;0,"Sua Ação Completa",IF(COUNTIF($RK94:$RN94,"Rápido")&gt;0,"Sua Bônus",IF(COUNTIF($RK94:$RN94,"Reação")&gt;0,"Sua Reação","Sua Padrão")))&amp;" + a básica dela"&amp;IF(COUNTIF($RK94:$RN94,"Reação")&gt;0," e a coletiva","")&amp;IF(COUNTIF($RQ94:$RS94,"Carregar")&gt;0," · em dois turnos","")))</f>
        <v/>
      </c>
      <c r="QC94" s="161">
        <f>IF($MW94&lt;&gt;"",$MW94,IF($NJ94=0,"",INDEX('DADOS_FORMAS'!$GE$2:$GE$21,$NJ94)))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IF($NJ94=0,0,CHOOSE(1+INDEX('DADOS_FORMAS'!$GG$2:$GG$21,$NJ94),0,$QF94,$QG94,$QF94+$QG94))</f>
        <v/>
      </c>
      <c r="QI94" s="161">
        <f>IF($NJ94=0,0,CHOOSE(1+INDEX('DADOS_FORMAS'!$GH$2:$GH$21,$NJ94),0,$QF94,$QG94,$QF94+$QG94))</f>
        <v/>
      </c>
      <c r="QJ94" s="161">
        <f>IF(OR($ND94=0,$NJ94=0),"",INDEX('DADOS_FORMAS'!$HU$2:$HZ$81,($NJ94-1)*4+IF($MS94=0,1,IF($MS94&lt;=5,2,IF($MS94=6,3,4))),1+MIN(5,$QH94))&amp;INDEX('DADOS_FORMAS'!$IA$2:$IF$81,($NJ94-1)*4+IF($MS94=0,1,IF($MS94&lt;=5,2,IF($MS94=6,3,4))),1+MIN(5,$QI94))&amp;IF(INDEX('DADOS_FORMAS'!$GI$2:$GI$21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c r="RO94">
        <f>IFERROR(INDEX('DADOS_FORMAS'!$BJ$2:$BJ$21,MATCH(SUBSTITUTE(SUBSTITUTE(SUBSTITUTE($MU94,"~","~~"),"*","~*"),"?","~?"),'DADOS_FORMAS'!$AH$2:$AH$21,0)),"")</f>
        <v/>
      </c>
      <c r="RP94">
        <f>IFERROR(VLOOKUP(SUBSTITUTE(SUBSTITUTE(SUBSTITUTE(IFERROR(INDEX('DADOS_FORMAS'!$AS$2:$AS$21,MATCH(SUBSTITUTE(SUBSTITUTE(SUBSTITUTE($MU94,"~","~~"),"*","~*"),"?","~?"),'DADOS_FORMAS'!$AH$2:$AH$21,0)),""),"~","~~"),"*","~*"),"?","~?"),'DADOS_RESTRICOES'!$M$2:$Q$54,2,FALSE),"")</f>
        <v/>
      </c>
      <c r="RQ94">
        <f>$OK94</f>
        <v/>
      </c>
      <c r="RR94">
        <f>$OL94</f>
        <v/>
      </c>
      <c r="RS94">
        <f>$RP94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IFERROR(MATCH(SUBSTITUTE(SUBSTITUTE(SUBSTITUTE($MU95,"~","~~"),"*","~*"),"?","~?"),'DADOS_FORMAS'!$FZ$2:$FZ$21,0),0)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IF($MS95=0,0,IF($NJ95=0,0,INDEX('DADOS_FORMAS'!$GB$2:$GB$21,$NJ95)))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IF($NJ95=0,0,IF(INDEX('DADOS_FORMAS'!$GA$2:$GA$21,$NJ95)="",0,IF((COUNTIF(INDEX($EL$2:$EP$13,$MO95,0),INDEX('DADOS_FORMAS'!$GA$2:$GA$21,$NJ95))+COUNTIF(INDEX($QV$2:$QY$13,$MO95,0),INDEX('DADOS_FORMAS'!$GA$2:$GA$21,$NJ95)))=0,1,0)))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IFERROR(N(AND(INDEX('DADOS_FORMAS'!$AO$2:$AO$21,MATCH(SUBSTITUTE(SUBSTITUTE(SUBSTITUTE($MU95,"~","~~"),"*","~*"),"?","~?"),'DADOS_FORMAS'!$AH$2:$AH$21,0))="Acerto",$OH95=1)),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IF($NJ95=0,0,INDEX('DADOS_FORMAS'!$GC$2:$GC$21,$NJ95))</f>
        <v/>
      </c>
      <c r="OG95" s="161">
        <f>IF($NJ95=0,0,INDEX('DADOS_FORMAS'!$GD$2:$GD$21,$NJ95))</f>
        <v/>
      </c>
      <c r="OH95" s="161">
        <f>IF($NJ95=0,0,INDEX('DADOS_FORMAS'!$GF$2:$GF$21,$NJ95))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IF(IFERROR(INDEX('DADOS_FORMAS'!$AS$2:$AS$21,MATCH(SUBSTITUTE(SUBSTITUTE(SUBSTITUTE($MU95,"~","~~"),"*","~*"),"?","~?"),'DADOS_FORMAS'!$AH$2:$AH$21,0)),"")="",0,IFERROR(N(VLOOKUP(SUBSTITUTE(SUBSTITUTE(SUBSTITUTE(IFERROR(INDEX('DADOS_FORMAS'!$AS$2:$AS$21,MATCH(SUBSTITUTE(SUBSTITUTE(SUBSTITUTE($MU95,"~","~~"),"*","~*"),"?","~?"),'DADOS_FORMAS'!$AH$2:$AH$21,0)),""),"~","~~"),"*","~*"),"?","~?"),'DADOS_RESTRICOES'!$M$2:$Q$54,3,FALSE)=1),0))</f>
        <v/>
      </c>
      <c r="OT95" s="161">
        <f>COUNTIF($OI95:$OJ95,2)+IF(IFERROR(INDEX('DADOS_FORMAS'!$AS$2:$AS$21,MATCH(SUBSTITUTE(SUBSTITUTE(SUBSTITUTE($MU95,"~","~~"),"*","~*"),"?","~?"),'DADOS_FORMAS'!$AH$2:$AH$21,0)),"")="",0,IFERROR(N(VLOOKUP(SUBSTITUTE(SUBSTITUTE(SUBSTITUTE(IFERROR(INDEX('DADOS_FORMAS'!$AS$2:$AS$21,MATCH(SUBSTITUTE(SUBSTITUTE(SUBSTITUTE($MU95,"~","~~"),"*","~*"),"?","~?"),'DADOS_FORMAS'!$AH$2:$AH$21,0)),""),"~","~~"),"*","~*"),"?","~?"),'DADOS_RESTRICOES'!$M$2:$Q$54,3,FALSE)=2),0))</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",TRUE,IF($ND95=0,"",TEXTJOIN(" · ",TRUE,IF($MQ95&gt;$NE95,"Este lugar abre no nível "&amp;$MQ95,""),IF($MS95&gt;$NF95,"Classe "&amp;$MS95&amp;": o nível "&amp;$NE95&amp;" libera até a "&amp;$NF95,""),IF($NX95=1,"A Forma "&amp;$MU95&amp;" pede "&amp;INDEX('DADOS_FORMAS'!$GA$2:$GA$21,$NJ95)&amp;" aberta",""),IF(AND($MS95=0,$NJ95&gt;0,IF($NJ95=0,0,INDEX('DADOS_FORMAS'!$GJ$2:$GJ$21,$NJ95))=0),$MU95&amp;"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Corpo")&gt;0,$OF95=0,OR($RO95="Cone",$RO95="Linha")),"Corpo a Corpo não entra em "&amp;$MU95,""),IF(AND(COUNTIF($OK95:$OL95,"Corpo a Corpo")&gt;0,$RP95="Corpo a Corpo"),"A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"&amp;$NC95,""))),IF(AND($MU95&lt;&gt;"",COUNTIF('DADOS_FORMAS'!$AH$2:$AH$21,SUBSTITUTE(SUBSTITUTE(SUBSTITUTE($MU95,"~","~~"),"*","~*"),"?","~?"))=0),"Forma não cadastrada ou com erro: "&amp;$MU95,""),IF(AND(IFERROR(INDEX('DADOS_FORMAS'!$AS$2:$AS$21,MATCH(SUBSTITUTE(SUBSTITUTE(SUBSTITUTE($MU95,"~","~~"),"*","~*"),"?","~?"),'DADOS_FORMAS'!$AH$2:$AH$21,0)),"")&lt;&gt;"",OR(IFERROR(VLOOKUP(SUBSTITUTE(SUBSTITUTE(SUBSTITUTE(IFERROR(INDEX('DADOS_FORMAS'!$AS$2:$AS$21,MATCH(SUBSTITUTE(SUBSTITUTE(SUBSTITUTE($MU95,"~","~~"),"*","~*"),"?","~?"),'DADOS_FORMAS'!$AH$2:$AH$21,0)),""),"~","~~"),"*","~*"),"?","~?"),'DADOS_RESTRICOES'!$M$2:$Q$54,2,FALSE),"")=$OK95,IFERROR(VLOOKUP(SUBSTITUTE(SUBSTITUTE(SUBSTITUTE(IFERROR(INDEX('DADOS_FORMAS'!$AS$2:$AS$21,MATCH(SUBSTITUTE(SUBSTITUTE(SUBSTITUTE($MU95,"~","~~"),"*","~*"),"?","~?"),'DADOS_FORMAS'!$AH$2:$AH$21,0)),""),"~","~~"),"*","~*"),"?","~?"),'DADOS_RESTRICOES'!$M$2:$Q$54,2,FALSE),"")=$OL95)),"Restrição repetida, contando a embutida",""),IF(IF(IFERROR(INDEX('DADOS_FORMAS'!$AS$2:$AS$21,MATCH(SUBSTITUTE(SUBSTITUTE(SUBSTITUTE($MU95,"~","~~"),"*","~*"),"?","~?"),'DADOS_FORMAS'!$AH$2:$AH$21,0)),"")="",0,IFERROR(N(VLOOKUP(SUBSTITUTE(SUBSTITUTE(SUBSTITUTE(IFERROR(INDEX('DADOS_FORMAS'!$AS$2:$AS$21,MATCH(SUBSTITUTE(SUBSTITUTE(SUBSTITUTE($MU95,"~","~~"),"*","~*"),"?","~?"),'DADOS_FORMAS'!$AH$2:$AH$21,0)),""),"~","~~"),"*","~*"),"?","~?"),'DADOS_RESTRICOES'!$M$2:$Q$54,4,FALSE)=1),0))+IF($NB95="",0,IFERROR(N(VLOOKUP(SUBSTITUTE(SUBSTITUTE(SUBSTITUTE($NB95,"~","~~"),"*","~*"),"?","~?"),'DADOS_RESTRICOES'!$M$2:$Q$54,4,FALSE)=1),0))+IF($NC95="",0,IFERROR(N(VLOOKUP(SUBSTITUTE(SUBSTITUTE(SUBSTITUTE($NC95,"~","~~"),"*","~*"),"?","~?"),'DADOS_RESTRICOES'!$M$2:$Q$54,4,FALSE)=1),0))&gt;1,"Duas Restrições de frequência, contando a embutida",""),IF(AND(IFERROR(VLOOKUP(SUBSTITUTE(SUBSTITUTE(SUBSTITUTE(IFERROR(INDEX('DADOS_FORMAS'!$AS$2:$AS$21,MATCH(SUBSTITUTE(SUBSTITUTE(SUBSTITUTE($MU95,"~","~~"),"*","~*"),"?","~?"),'DADOS_FORMAS'!$AH$2:$AH$21,0)),""),"~","~~"),"*","~*"),"?","~?"),'DADOS_RESTRICOES'!$M$2:$Q$54,2,FALSE),"")="Tudo ou Nada",$OH95=0),"Tudo ou Nada exige TR",""),IF(AND(IFERROR(VLOOKUP(SUBSTITUTE(SUBSTITUTE(SUBSTITUTE(IFERROR(INDEX('DADOS_FORMAS'!$AS$2:$AS$21,MATCH(SUBSTITUTE(SUBSTITUTE(SUBSTITUTE($MU95,"~","~~"),"*","~*"),"?","~?"),'DADOS_FORMAS'!$AH$2:$AH$21,0)),""),"~","~~"),"*","~*"),"?","~?"),'DADOS_RESTRICOES'!$M$2:$Q$54,2,FALSE),"")="Corpo a Corpo",OR($RO95="Cone",$RO95="Linha")),"Corpo a Corpo não entra em Cone/Linha","")))</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dela",IF(COUNTIF($RQ95:$RS95,"Atrasar")&gt;0,"Sua Ação Completa",IF(COUNTIF($RK95:$RN95,"Rápido")&gt;0,"Sua Bônus",IF(COUNTIF($RK95:$RN95,"Reação")&gt;0,"Sua Reação","Sua Padrão")))&amp;" + a básica dela"&amp;IF(COUNTIF($RK95:$RN95,"Reação")&gt;0," e a coletiva","")&amp;IF(COUNTIF($RQ95:$RS95,"Carregar")&gt;0," · em dois turnos","")))</f>
        <v/>
      </c>
      <c r="QC95" s="161">
        <f>IF($MW95&lt;&gt;"",$MW95,IF($NJ95=0,"",INDEX('DADOS_FORMAS'!$GE$2:$GE$21,$NJ95)))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IF($NJ95=0,0,CHOOSE(1+INDEX('DADOS_FORMAS'!$GG$2:$GG$21,$NJ95),0,$QF95,$QG95,$QF95+$QG95))</f>
        <v/>
      </c>
      <c r="QI95" s="161">
        <f>IF($NJ95=0,0,CHOOSE(1+INDEX('DADOS_FORMAS'!$GH$2:$GH$21,$NJ95),0,$QF95,$QG95,$QF95+$QG95))</f>
        <v/>
      </c>
      <c r="QJ95" s="161">
        <f>IF(OR($ND95=0,$NJ95=0),"",INDEX('DADOS_FORMAS'!$HU$2:$HZ$81,($NJ95-1)*4+IF($MS95=0,1,IF($MS95&lt;=5,2,IF($MS95=6,3,4))),1+MIN(5,$QH95))&amp;INDEX('DADOS_FORMAS'!$IA$2:$IF$81,($NJ95-1)*4+IF($MS95=0,1,IF($MS95&lt;=5,2,IF($MS95=6,3,4))),1+MIN(5,$QI95))&amp;IF(INDEX('DADOS_FORMAS'!$GI$2:$GI$21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c r="RO95">
        <f>IFERROR(INDEX('DADOS_FORMAS'!$BJ$2:$BJ$21,MATCH(SUBSTITUTE(SUBSTITUTE(SUBSTITUTE($MU95,"~","~~"),"*","~*"),"?","~?"),'DADOS_FORMAS'!$AH$2:$AH$21,0)),"")</f>
        <v/>
      </c>
      <c r="RP95">
        <f>IFERROR(VLOOKUP(SUBSTITUTE(SUBSTITUTE(SUBSTITUTE(IFERROR(INDEX('DADOS_FORMAS'!$AS$2:$AS$21,MATCH(SUBSTITUTE(SUBSTITUTE(SUBSTITUTE($MU95,"~","~~"),"*","~*"),"?","~?"),'DADOS_FORMAS'!$AH$2:$AH$21,0)),""),"~","~~"),"*","~*"),"?","~?"),'DADOS_RESTRICOES'!$M$2:$Q$54,2,FALSE),"")</f>
        <v/>
      </c>
      <c r="RQ95">
        <f>$OK95</f>
        <v/>
      </c>
      <c r="RR95">
        <f>$OL95</f>
        <v/>
      </c>
      <c r="RS95">
        <f>$RP95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IFERROR(MATCH(SUBSTITUTE(SUBSTITUTE(SUBSTITUTE($MU96,"~","~~"),"*","~*"),"?","~?"),'DADOS_FORMAS'!$FZ$2:$FZ$21,0),0)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IF($MS96=0,0,IF($NJ96=0,0,INDEX('DADOS_FORMAS'!$GB$2:$GB$21,$NJ96)))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IF($NJ96=0,0,IF(INDEX('DADOS_FORMAS'!$GA$2:$GA$21,$NJ96)="",0,IF((COUNTIF(INDEX($EL$2:$EP$13,$MO96,0),INDEX('DADOS_FORMAS'!$GA$2:$GA$21,$NJ96))+COUNTIF(INDEX($QV$2:$QY$13,$MO96,0),INDEX('DADOS_FORMAS'!$GA$2:$GA$21,$NJ96)))=0,1,0)))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IFERROR(N(AND(INDEX('DADOS_FORMAS'!$AO$2:$AO$21,MATCH(SUBSTITUTE(SUBSTITUTE(SUBSTITUTE($MU96,"~","~~"),"*","~*"),"?","~?"),'DADOS_FORMAS'!$AH$2:$AH$21,0))="Acerto",$OH96=1)),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IF($NJ96=0,0,INDEX('DADOS_FORMAS'!$GC$2:$GC$21,$NJ96))</f>
        <v/>
      </c>
      <c r="OG96" s="161">
        <f>IF($NJ96=0,0,INDEX('DADOS_FORMAS'!$GD$2:$GD$21,$NJ96))</f>
        <v/>
      </c>
      <c r="OH96" s="161">
        <f>IF($NJ96=0,0,INDEX('DADOS_FORMAS'!$GF$2:$GF$21,$NJ96))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IF(IFERROR(INDEX('DADOS_FORMAS'!$AS$2:$AS$21,MATCH(SUBSTITUTE(SUBSTITUTE(SUBSTITUTE($MU96,"~","~~"),"*","~*"),"?","~?"),'DADOS_FORMAS'!$AH$2:$AH$21,0)),"")="",0,IFERROR(N(VLOOKUP(SUBSTITUTE(SUBSTITUTE(SUBSTITUTE(IFERROR(INDEX('DADOS_FORMAS'!$AS$2:$AS$21,MATCH(SUBSTITUTE(SUBSTITUTE(SUBSTITUTE($MU96,"~","~~"),"*","~*"),"?","~?"),'DADOS_FORMAS'!$AH$2:$AH$21,0)),""),"~","~~"),"*","~*"),"?","~?"),'DADOS_RESTRICOES'!$M$2:$Q$54,3,FALSE)=1),0))</f>
        <v/>
      </c>
      <c r="OT96" s="161">
        <f>COUNTIF($OI96:$OJ96,2)+IF(IFERROR(INDEX('DADOS_FORMAS'!$AS$2:$AS$21,MATCH(SUBSTITUTE(SUBSTITUTE(SUBSTITUTE($MU96,"~","~~"),"*","~*"),"?","~?"),'DADOS_FORMAS'!$AH$2:$AH$21,0)),"")="",0,IFERROR(N(VLOOKUP(SUBSTITUTE(SUBSTITUTE(SUBSTITUTE(IFERROR(INDEX('DADOS_FORMAS'!$AS$2:$AS$21,MATCH(SUBSTITUTE(SUBSTITUTE(SUBSTITUTE($MU96,"~","~~"),"*","~*"),"?","~?"),'DADOS_FORMAS'!$AH$2:$AH$21,0)),""),"~","~~"),"*","~*"),"?","~?"),'DADOS_RESTRICOES'!$M$2:$Q$54,3,FALSE)=2),0))</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",TRUE,IF($ND96=0,"",TEXTJOIN(" · ",TRUE,IF($MQ96&gt;$NE96,"Este lugar abre no nível "&amp;$MQ96,""),IF($MS96&gt;$NF96,"Classe "&amp;$MS96&amp;": o nível "&amp;$NE96&amp;" libera até a "&amp;$NF96,""),IF($NX96=1,"A Forma "&amp;$MU96&amp;" pede "&amp;INDEX('DADOS_FORMAS'!$GA$2:$GA$21,$NJ96)&amp;" aberta",""),IF(AND($MS96=0,$NJ96&gt;0,IF($NJ96=0,0,INDEX('DADOS_FORMAS'!$GJ$2:$GJ$21,$NJ96))=0),$MU96&amp;"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Corpo")&gt;0,$OF96=0,OR($RO96="Cone",$RO96="Linha")),"Corpo a Corpo não entra em "&amp;$MU96,""),IF(AND(COUNTIF($OK96:$OL96,"Corpo a Corpo")&gt;0,$RP96="Corpo a Corpo"),"A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"&amp;$NC96,""))),IF(AND($MU96&lt;&gt;"",COUNTIF('DADOS_FORMAS'!$AH$2:$AH$21,SUBSTITUTE(SUBSTITUTE(SUBSTITUTE($MU96,"~","~~"),"*","~*"),"?","~?"))=0),"Forma não cadastrada ou com erro: "&amp;$MU96,""),IF(AND(IFERROR(INDEX('DADOS_FORMAS'!$AS$2:$AS$21,MATCH(SUBSTITUTE(SUBSTITUTE(SUBSTITUTE($MU96,"~","~~"),"*","~*"),"?","~?"),'DADOS_FORMAS'!$AH$2:$AH$21,0)),"")&lt;&gt;"",OR(IFERROR(VLOOKUP(SUBSTITUTE(SUBSTITUTE(SUBSTITUTE(IFERROR(INDEX('DADOS_FORMAS'!$AS$2:$AS$21,MATCH(SUBSTITUTE(SUBSTITUTE(SUBSTITUTE($MU96,"~","~~"),"*","~*"),"?","~?"),'DADOS_FORMAS'!$AH$2:$AH$21,0)),""),"~","~~"),"*","~*"),"?","~?"),'DADOS_RESTRICOES'!$M$2:$Q$54,2,FALSE),"")=$OK96,IFERROR(VLOOKUP(SUBSTITUTE(SUBSTITUTE(SUBSTITUTE(IFERROR(INDEX('DADOS_FORMAS'!$AS$2:$AS$21,MATCH(SUBSTITUTE(SUBSTITUTE(SUBSTITUTE($MU96,"~","~~"),"*","~*"),"?","~?"),'DADOS_FORMAS'!$AH$2:$AH$21,0)),""),"~","~~"),"*","~*"),"?","~?"),'DADOS_RESTRICOES'!$M$2:$Q$54,2,FALSE),"")=$OL96)),"Restrição repetida, contando a embutida",""),IF(IF(IFERROR(INDEX('DADOS_FORMAS'!$AS$2:$AS$21,MATCH(SUBSTITUTE(SUBSTITUTE(SUBSTITUTE($MU96,"~","~~"),"*","~*"),"?","~?"),'DADOS_FORMAS'!$AH$2:$AH$21,0)),"")="",0,IFERROR(N(VLOOKUP(SUBSTITUTE(SUBSTITUTE(SUBSTITUTE(IFERROR(INDEX('DADOS_FORMAS'!$AS$2:$AS$21,MATCH(SUBSTITUTE(SUBSTITUTE(SUBSTITUTE($MU96,"~","~~"),"*","~*"),"?","~?"),'DADOS_FORMAS'!$AH$2:$AH$21,0)),""),"~","~~"),"*","~*"),"?","~?"),'DADOS_RESTRICOES'!$M$2:$Q$54,4,FALSE)=1),0))+IF($NB96="",0,IFERROR(N(VLOOKUP(SUBSTITUTE(SUBSTITUTE(SUBSTITUTE($NB96,"~","~~"),"*","~*"),"?","~?"),'DADOS_RESTRICOES'!$M$2:$Q$54,4,FALSE)=1),0))+IF($NC96="",0,IFERROR(N(VLOOKUP(SUBSTITUTE(SUBSTITUTE(SUBSTITUTE($NC96,"~","~~"),"*","~*"),"?","~?"),'DADOS_RESTRICOES'!$M$2:$Q$54,4,FALSE)=1),0))&gt;1,"Duas Restrições de frequência, contando a embutida",""),IF(AND(IFERROR(VLOOKUP(SUBSTITUTE(SUBSTITUTE(SUBSTITUTE(IFERROR(INDEX('DADOS_FORMAS'!$AS$2:$AS$21,MATCH(SUBSTITUTE(SUBSTITUTE(SUBSTITUTE($MU96,"~","~~"),"*","~*"),"?","~?"),'DADOS_FORMAS'!$AH$2:$AH$21,0)),""),"~","~~"),"*","~*"),"?","~?"),'DADOS_RESTRICOES'!$M$2:$Q$54,2,FALSE),"")="Tudo ou Nada",$OH96=0),"Tudo ou Nada exige TR",""),IF(AND(IFERROR(VLOOKUP(SUBSTITUTE(SUBSTITUTE(SUBSTITUTE(IFERROR(INDEX('DADOS_FORMAS'!$AS$2:$AS$21,MATCH(SUBSTITUTE(SUBSTITUTE(SUBSTITUTE($MU96,"~","~~"),"*","~*"),"?","~?"),'DADOS_FORMAS'!$AH$2:$AH$21,0)),""),"~","~~"),"*","~*"),"?","~?"),'DADOS_RESTRICOES'!$M$2:$Q$54,2,FALSE),"")="Corpo a Corpo",OR($RO96="Cone",$RO96="Linha")),"Corpo a Corpo não entra em Cone/Linha","")))</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dela",IF(COUNTIF($RQ96:$RS96,"Atrasar")&gt;0,"Sua Ação Completa",IF(COUNTIF($RK96:$RN96,"Rápido")&gt;0,"Sua Bônus",IF(COUNTIF($RK96:$RN96,"Reação")&gt;0,"Sua Reação","Sua Padrão")))&amp;" + a básica dela"&amp;IF(COUNTIF($RK96:$RN96,"Reação")&gt;0," e a coletiva","")&amp;IF(COUNTIF($RQ96:$RS96,"Carregar")&gt;0," · em dois turnos","")))</f>
        <v/>
      </c>
      <c r="QC96" s="161">
        <f>IF($MW96&lt;&gt;"",$MW96,IF($NJ96=0,"",INDEX('DADOS_FORMAS'!$GE$2:$GE$21,$NJ96)))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IF($NJ96=0,0,CHOOSE(1+INDEX('DADOS_FORMAS'!$GG$2:$GG$21,$NJ96),0,$QF96,$QG96,$QF96+$QG96))</f>
        <v/>
      </c>
      <c r="QI96" s="161">
        <f>IF($NJ96=0,0,CHOOSE(1+INDEX('DADOS_FORMAS'!$GH$2:$GH$21,$NJ96),0,$QF96,$QG96,$QF96+$QG96))</f>
        <v/>
      </c>
      <c r="QJ96" s="161">
        <f>IF(OR($ND96=0,$NJ96=0),"",INDEX('DADOS_FORMAS'!$HU$2:$HZ$81,($NJ96-1)*4+IF($MS96=0,1,IF($MS96&lt;=5,2,IF($MS96=6,3,4))),1+MIN(5,$QH96))&amp;INDEX('DADOS_FORMAS'!$IA$2:$IF$81,($NJ96-1)*4+IF($MS96=0,1,IF($MS96&lt;=5,2,IF($MS96=6,3,4))),1+MIN(5,$QI96))&amp;IF(INDEX('DADOS_FORMAS'!$GI$2:$GI$21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c r="RO96">
        <f>IFERROR(INDEX('DADOS_FORMAS'!$BJ$2:$BJ$21,MATCH(SUBSTITUTE(SUBSTITUTE(SUBSTITUTE($MU96,"~","~~"),"*","~*"),"?","~?"),'DADOS_FORMAS'!$AH$2:$AH$21,0)),"")</f>
        <v/>
      </c>
      <c r="RP96">
        <f>IFERROR(VLOOKUP(SUBSTITUTE(SUBSTITUTE(SUBSTITUTE(IFERROR(INDEX('DADOS_FORMAS'!$AS$2:$AS$21,MATCH(SUBSTITUTE(SUBSTITUTE(SUBSTITUTE($MU96,"~","~~"),"*","~*"),"?","~?"),'DADOS_FORMAS'!$AH$2:$AH$21,0)),""),"~","~~"),"*","~*"),"?","~?"),'DADOS_RESTRICOES'!$M$2:$Q$54,2,FALSE),"")</f>
        <v/>
      </c>
      <c r="RQ96">
        <f>$OK96</f>
        <v/>
      </c>
      <c r="RR96">
        <f>$OL96</f>
        <v/>
      </c>
      <c r="RS96">
        <f>$RP96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IFERROR(MATCH(SUBSTITUTE(SUBSTITUTE(SUBSTITUTE($MU97,"~","~~"),"*","~*"),"?","~?"),'DADOS_FORMAS'!$FZ$2:$FZ$21,0),0)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IF($MS97=0,0,IF($NJ97=0,0,INDEX('DADOS_FORMAS'!$GB$2:$GB$21,$NJ97)))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IF($NJ97=0,0,IF(INDEX('DADOS_FORMAS'!$GA$2:$GA$21,$NJ97)="",0,IF((COUNTIF(INDEX($EL$2:$EP$13,$MO97,0),INDEX('DADOS_FORMAS'!$GA$2:$GA$21,$NJ97))+COUNTIF(INDEX($QV$2:$QY$13,$MO97,0),INDEX('DADOS_FORMAS'!$GA$2:$GA$21,$NJ97)))=0,1,0)))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IFERROR(N(AND(INDEX('DADOS_FORMAS'!$AO$2:$AO$21,MATCH(SUBSTITUTE(SUBSTITUTE(SUBSTITUTE($MU97,"~","~~"),"*","~*"),"?","~?"),'DADOS_FORMAS'!$AH$2:$AH$21,0))="Acerto",$OH97=1)),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IF($NJ97=0,0,INDEX('DADOS_FORMAS'!$GC$2:$GC$21,$NJ97))</f>
        <v/>
      </c>
      <c r="OG97" s="161">
        <f>IF($NJ97=0,0,INDEX('DADOS_FORMAS'!$GD$2:$GD$21,$NJ97))</f>
        <v/>
      </c>
      <c r="OH97" s="161">
        <f>IF($NJ97=0,0,INDEX('DADOS_FORMAS'!$GF$2:$GF$21,$NJ97))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IF(IFERROR(INDEX('DADOS_FORMAS'!$AS$2:$AS$21,MATCH(SUBSTITUTE(SUBSTITUTE(SUBSTITUTE($MU97,"~","~~"),"*","~*"),"?","~?"),'DADOS_FORMAS'!$AH$2:$AH$21,0)),"")="",0,IFERROR(N(VLOOKUP(SUBSTITUTE(SUBSTITUTE(SUBSTITUTE(IFERROR(INDEX('DADOS_FORMAS'!$AS$2:$AS$21,MATCH(SUBSTITUTE(SUBSTITUTE(SUBSTITUTE($MU97,"~","~~"),"*","~*"),"?","~?"),'DADOS_FORMAS'!$AH$2:$AH$21,0)),""),"~","~~"),"*","~*"),"?","~?"),'DADOS_RESTRICOES'!$M$2:$Q$54,3,FALSE)=1),0))</f>
        <v/>
      </c>
      <c r="OT97" s="161">
        <f>COUNTIF($OI97:$OJ97,2)+IF(IFERROR(INDEX('DADOS_FORMAS'!$AS$2:$AS$21,MATCH(SUBSTITUTE(SUBSTITUTE(SUBSTITUTE($MU97,"~","~~"),"*","~*"),"?","~?"),'DADOS_FORMAS'!$AH$2:$AH$21,0)),"")="",0,IFERROR(N(VLOOKUP(SUBSTITUTE(SUBSTITUTE(SUBSTITUTE(IFERROR(INDEX('DADOS_FORMAS'!$AS$2:$AS$21,MATCH(SUBSTITUTE(SUBSTITUTE(SUBSTITUTE($MU97,"~","~~"),"*","~*"),"?","~?"),'DADOS_FORMAS'!$AH$2:$AH$21,0)),""),"~","~~"),"*","~*"),"?","~?"),'DADOS_RESTRICOES'!$M$2:$Q$54,3,FALSE)=2),0))</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",TRUE,IF($ND97=0,"",TEXTJOIN(" · ",TRUE,IF($MQ97&gt;$NE97,"Este lugar abre no nível "&amp;$MQ97,""),IF($MS97&gt;$NF97,"Classe "&amp;$MS97&amp;": o nível "&amp;$NE97&amp;" libera até a "&amp;$NF97,""),IF($NX97=1,"A Forma "&amp;$MU97&amp;" pede "&amp;INDEX('DADOS_FORMAS'!$GA$2:$GA$21,$NJ97)&amp;" aberta",""),IF(AND($MS97=0,$NJ97&gt;0,IF($NJ97=0,0,INDEX('DADOS_FORMAS'!$GJ$2:$GJ$21,$NJ97))=0),$MU97&amp;"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Corpo")&gt;0,$OF97=0,OR($RO97="Cone",$RO97="Linha")),"Corpo a Corpo não entra em "&amp;$MU97,""),IF(AND(COUNTIF($OK97:$OL97,"Corpo a Corpo")&gt;0,$RP97="Corpo a Corpo"),"A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"&amp;$NC97,""))),IF(AND($MU97&lt;&gt;"",COUNTIF('DADOS_FORMAS'!$AH$2:$AH$21,SUBSTITUTE(SUBSTITUTE(SUBSTITUTE($MU97,"~","~~"),"*","~*"),"?","~?"))=0),"Forma não cadastrada ou com erro: "&amp;$MU97,""),IF(AND(IFERROR(INDEX('DADOS_FORMAS'!$AS$2:$AS$21,MATCH(SUBSTITUTE(SUBSTITUTE(SUBSTITUTE($MU97,"~","~~"),"*","~*"),"?","~?"),'DADOS_FORMAS'!$AH$2:$AH$21,0)),"")&lt;&gt;"",OR(IFERROR(VLOOKUP(SUBSTITUTE(SUBSTITUTE(SUBSTITUTE(IFERROR(INDEX('DADOS_FORMAS'!$AS$2:$AS$21,MATCH(SUBSTITUTE(SUBSTITUTE(SUBSTITUTE($MU97,"~","~~"),"*","~*"),"?","~?"),'DADOS_FORMAS'!$AH$2:$AH$21,0)),""),"~","~~"),"*","~*"),"?","~?"),'DADOS_RESTRICOES'!$M$2:$Q$54,2,FALSE),"")=$OK97,IFERROR(VLOOKUP(SUBSTITUTE(SUBSTITUTE(SUBSTITUTE(IFERROR(INDEX('DADOS_FORMAS'!$AS$2:$AS$21,MATCH(SUBSTITUTE(SUBSTITUTE(SUBSTITUTE($MU97,"~","~~"),"*","~*"),"?","~?"),'DADOS_FORMAS'!$AH$2:$AH$21,0)),""),"~","~~"),"*","~*"),"?","~?"),'DADOS_RESTRICOES'!$M$2:$Q$54,2,FALSE),"")=$OL97)),"Restrição repetida, contando a embutida",""),IF(IF(IFERROR(INDEX('DADOS_FORMAS'!$AS$2:$AS$21,MATCH(SUBSTITUTE(SUBSTITUTE(SUBSTITUTE($MU97,"~","~~"),"*","~*"),"?","~?"),'DADOS_FORMAS'!$AH$2:$AH$21,0)),"")="",0,IFERROR(N(VLOOKUP(SUBSTITUTE(SUBSTITUTE(SUBSTITUTE(IFERROR(INDEX('DADOS_FORMAS'!$AS$2:$AS$21,MATCH(SUBSTITUTE(SUBSTITUTE(SUBSTITUTE($MU97,"~","~~"),"*","~*"),"?","~?"),'DADOS_FORMAS'!$AH$2:$AH$21,0)),""),"~","~~"),"*","~*"),"?","~?"),'DADOS_RESTRICOES'!$M$2:$Q$54,4,FALSE)=1),0))+IF($NB97="",0,IFERROR(N(VLOOKUP(SUBSTITUTE(SUBSTITUTE(SUBSTITUTE($NB97,"~","~~"),"*","~*"),"?","~?"),'DADOS_RESTRICOES'!$M$2:$Q$54,4,FALSE)=1),0))+IF($NC97="",0,IFERROR(N(VLOOKUP(SUBSTITUTE(SUBSTITUTE(SUBSTITUTE($NC97,"~","~~"),"*","~*"),"?","~?"),'DADOS_RESTRICOES'!$M$2:$Q$54,4,FALSE)=1),0))&gt;1,"Duas Restrições de frequência, contando a embutida",""),IF(AND(IFERROR(VLOOKUP(SUBSTITUTE(SUBSTITUTE(SUBSTITUTE(IFERROR(INDEX('DADOS_FORMAS'!$AS$2:$AS$21,MATCH(SUBSTITUTE(SUBSTITUTE(SUBSTITUTE($MU97,"~","~~"),"*","~*"),"?","~?"),'DADOS_FORMAS'!$AH$2:$AH$21,0)),""),"~","~~"),"*","~*"),"?","~?"),'DADOS_RESTRICOES'!$M$2:$Q$54,2,FALSE),"")="Tudo ou Nada",$OH97=0),"Tudo ou Nada exige TR",""),IF(AND(IFERROR(VLOOKUP(SUBSTITUTE(SUBSTITUTE(SUBSTITUTE(IFERROR(INDEX('DADOS_FORMAS'!$AS$2:$AS$21,MATCH(SUBSTITUTE(SUBSTITUTE(SUBSTITUTE($MU97,"~","~~"),"*","~*"),"?","~?"),'DADOS_FORMAS'!$AH$2:$AH$21,0)),""),"~","~~"),"*","~*"),"?","~?"),'DADOS_RESTRICOES'!$M$2:$Q$54,2,FALSE),"")="Corpo a Corpo",OR($RO97="Cone",$RO97="Linha")),"Corpo a Corpo não entra em Cone/Linha","")))</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dela",IF(COUNTIF($RQ97:$RS97,"Atrasar")&gt;0,"Sua Ação Completa",IF(COUNTIF($RK97:$RN97,"Rápido")&gt;0,"Sua Bônus",IF(COUNTIF($RK97:$RN97,"Reação")&gt;0,"Sua Reação","Sua Padrão")))&amp;" + a básica dela"&amp;IF(COUNTIF($RK97:$RN97,"Reação")&gt;0," e a coletiva","")&amp;IF(COUNTIF($RQ97:$RS97,"Carregar")&gt;0," · em dois turnos","")))</f>
        <v/>
      </c>
      <c r="QC97" s="161">
        <f>IF($MW97&lt;&gt;"",$MW97,IF($NJ97=0,"",INDEX('DADOS_FORMAS'!$GE$2:$GE$21,$NJ97)))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IF($NJ97=0,0,CHOOSE(1+INDEX('DADOS_FORMAS'!$GG$2:$GG$21,$NJ97),0,$QF97,$QG97,$QF97+$QG97))</f>
        <v/>
      </c>
      <c r="QI97" s="161">
        <f>IF($NJ97=0,0,CHOOSE(1+INDEX('DADOS_FORMAS'!$GH$2:$GH$21,$NJ97),0,$QF97,$QG97,$QF97+$QG97))</f>
        <v/>
      </c>
      <c r="QJ97" s="161">
        <f>IF(OR($ND97=0,$NJ97=0),"",INDEX('DADOS_FORMAS'!$HU$2:$HZ$81,($NJ97-1)*4+IF($MS97=0,1,IF($MS97&lt;=5,2,IF($MS97=6,3,4))),1+MIN(5,$QH97))&amp;INDEX('DADOS_FORMAS'!$IA$2:$IF$81,($NJ97-1)*4+IF($MS97=0,1,IF($MS97&lt;=5,2,IF($MS97=6,3,4))),1+MIN(5,$QI97))&amp;IF(INDEX('DADOS_FORMAS'!$GI$2:$GI$21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c r="RO97">
        <f>IFERROR(INDEX('DADOS_FORMAS'!$BJ$2:$BJ$21,MATCH(SUBSTITUTE(SUBSTITUTE(SUBSTITUTE($MU97,"~","~~"),"*","~*"),"?","~?"),'DADOS_FORMAS'!$AH$2:$AH$21,0)),"")</f>
        <v/>
      </c>
      <c r="RP97">
        <f>IFERROR(VLOOKUP(SUBSTITUTE(SUBSTITUTE(SUBSTITUTE(IFERROR(INDEX('DADOS_FORMAS'!$AS$2:$AS$21,MATCH(SUBSTITUTE(SUBSTITUTE(SUBSTITUTE($MU97,"~","~~"),"*","~*"),"?","~?"),'DADOS_FORMAS'!$AH$2:$AH$21,0)),""),"~","~~"),"*","~*"),"?","~?"),'DADOS_RESTRICOES'!$M$2:$Q$54,2,FALSE),"")</f>
        <v/>
      </c>
      <c r="RQ97">
        <f>$OK97</f>
        <v/>
      </c>
      <c r="RR97">
        <f>$OL97</f>
        <v/>
      </c>
      <c r="RS97">
        <f>$RP97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IFERROR(MATCH(SUBSTITUTE(SUBSTITUTE(SUBSTITUTE($MU98,"~","~~"),"*","~*"),"?","~?"),'DADOS_FORMAS'!$FZ$2:$FZ$21,0),0)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IF($MS98=0,0,IF($NJ98=0,0,INDEX('DADOS_FORMAS'!$GB$2:$GB$21,$NJ98)))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IF($NJ98=0,0,IF(INDEX('DADOS_FORMAS'!$GA$2:$GA$21,$NJ98)="",0,IF((COUNTIF(INDEX($EL$2:$EP$13,$MO98,0),INDEX('DADOS_FORMAS'!$GA$2:$GA$21,$NJ98))+COUNTIF(INDEX($QV$2:$QY$13,$MO98,0),INDEX('DADOS_FORMAS'!$GA$2:$GA$21,$NJ98)))=0,1,0)))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IFERROR(N(AND(INDEX('DADOS_FORMAS'!$AO$2:$AO$21,MATCH(SUBSTITUTE(SUBSTITUTE(SUBSTITUTE($MU98,"~","~~"),"*","~*"),"?","~?"),'DADOS_FORMAS'!$AH$2:$AH$21,0))="Acerto",$OH98=1)),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IF($NJ98=0,0,INDEX('DADOS_FORMAS'!$GC$2:$GC$21,$NJ98))</f>
        <v/>
      </c>
      <c r="OG98" s="161">
        <f>IF($NJ98=0,0,INDEX('DADOS_FORMAS'!$GD$2:$GD$21,$NJ98))</f>
        <v/>
      </c>
      <c r="OH98" s="161">
        <f>IF($NJ98=0,0,INDEX('DADOS_FORMAS'!$GF$2:$GF$21,$NJ98))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IF(IFERROR(INDEX('DADOS_FORMAS'!$AS$2:$AS$21,MATCH(SUBSTITUTE(SUBSTITUTE(SUBSTITUTE($MU98,"~","~~"),"*","~*"),"?","~?"),'DADOS_FORMAS'!$AH$2:$AH$21,0)),"")="",0,IFERROR(N(VLOOKUP(SUBSTITUTE(SUBSTITUTE(SUBSTITUTE(IFERROR(INDEX('DADOS_FORMAS'!$AS$2:$AS$21,MATCH(SUBSTITUTE(SUBSTITUTE(SUBSTITUTE($MU98,"~","~~"),"*","~*"),"?","~?"),'DADOS_FORMAS'!$AH$2:$AH$21,0)),""),"~","~~"),"*","~*"),"?","~?"),'DADOS_RESTRICOES'!$M$2:$Q$54,3,FALSE)=1),0))</f>
        <v/>
      </c>
      <c r="OT98" s="161">
        <f>COUNTIF($OI98:$OJ98,2)+IF(IFERROR(INDEX('DADOS_FORMAS'!$AS$2:$AS$21,MATCH(SUBSTITUTE(SUBSTITUTE(SUBSTITUTE($MU98,"~","~~"),"*","~*"),"?","~?"),'DADOS_FORMAS'!$AH$2:$AH$21,0)),"")="",0,IFERROR(N(VLOOKUP(SUBSTITUTE(SUBSTITUTE(SUBSTITUTE(IFERROR(INDEX('DADOS_FORMAS'!$AS$2:$AS$21,MATCH(SUBSTITUTE(SUBSTITUTE(SUBSTITUTE($MU98,"~","~~"),"*","~*"),"?","~?"),'DADOS_FORMAS'!$AH$2:$AH$21,0)),""),"~","~~"),"*","~*"),"?","~?"),'DADOS_RESTRICOES'!$M$2:$Q$54,3,FALSE)=2),0))</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",TRUE,IF($ND98=0,"",TEXTJOIN(" · ",TRUE,IF($MQ98&gt;$NE98,"Este lugar abre no nível "&amp;$MQ98,""),IF($MS98&gt;$NF98,"Classe "&amp;$MS98&amp;": o nível "&amp;$NE98&amp;" libera até a "&amp;$NF98,""),IF($NX98=1,"A Forma "&amp;$MU98&amp;" pede "&amp;INDEX('DADOS_FORMAS'!$GA$2:$GA$21,$NJ98)&amp;" aberta",""),IF(AND($MS98=0,$NJ98&gt;0,IF($NJ98=0,0,INDEX('DADOS_FORMAS'!$GJ$2:$GJ$21,$NJ98))=0),$MU98&amp;"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Corpo")&gt;0,$OF98=0,OR($RO98="Cone",$RO98="Linha")),"Corpo a Corpo não entra em "&amp;$MU98,""),IF(AND(COUNTIF($OK98:$OL98,"Corpo a Corpo")&gt;0,$RP98="Corpo a Corpo"),"A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"&amp;$NC98,""))),IF(AND($MU98&lt;&gt;"",COUNTIF('DADOS_FORMAS'!$AH$2:$AH$21,SUBSTITUTE(SUBSTITUTE(SUBSTITUTE($MU98,"~","~~"),"*","~*"),"?","~?"))=0),"Forma não cadastrada ou com erro: "&amp;$MU98,""),IF(AND(IFERROR(INDEX('DADOS_FORMAS'!$AS$2:$AS$21,MATCH(SUBSTITUTE(SUBSTITUTE(SUBSTITUTE($MU98,"~","~~"),"*","~*"),"?","~?"),'DADOS_FORMAS'!$AH$2:$AH$21,0)),"")&lt;&gt;"",OR(IFERROR(VLOOKUP(SUBSTITUTE(SUBSTITUTE(SUBSTITUTE(IFERROR(INDEX('DADOS_FORMAS'!$AS$2:$AS$21,MATCH(SUBSTITUTE(SUBSTITUTE(SUBSTITUTE($MU98,"~","~~"),"*","~*"),"?","~?"),'DADOS_FORMAS'!$AH$2:$AH$21,0)),""),"~","~~"),"*","~*"),"?","~?"),'DADOS_RESTRICOES'!$M$2:$Q$54,2,FALSE),"")=$OK98,IFERROR(VLOOKUP(SUBSTITUTE(SUBSTITUTE(SUBSTITUTE(IFERROR(INDEX('DADOS_FORMAS'!$AS$2:$AS$21,MATCH(SUBSTITUTE(SUBSTITUTE(SUBSTITUTE($MU98,"~","~~"),"*","~*"),"?","~?"),'DADOS_FORMAS'!$AH$2:$AH$21,0)),""),"~","~~"),"*","~*"),"?","~?"),'DADOS_RESTRICOES'!$M$2:$Q$54,2,FALSE),"")=$OL98)),"Restrição repetida, contando a embutida",""),IF(IF(IFERROR(INDEX('DADOS_FORMAS'!$AS$2:$AS$21,MATCH(SUBSTITUTE(SUBSTITUTE(SUBSTITUTE($MU98,"~","~~"),"*","~*"),"?","~?"),'DADOS_FORMAS'!$AH$2:$AH$21,0)),"")="",0,IFERROR(N(VLOOKUP(SUBSTITUTE(SUBSTITUTE(SUBSTITUTE(IFERROR(INDEX('DADOS_FORMAS'!$AS$2:$AS$21,MATCH(SUBSTITUTE(SUBSTITUTE(SUBSTITUTE($MU98,"~","~~"),"*","~*"),"?","~?"),'DADOS_FORMAS'!$AH$2:$AH$21,0)),""),"~","~~"),"*","~*"),"?","~?"),'DADOS_RESTRICOES'!$M$2:$Q$54,4,FALSE)=1),0))+IF($NB98="",0,IFERROR(N(VLOOKUP(SUBSTITUTE(SUBSTITUTE(SUBSTITUTE($NB98,"~","~~"),"*","~*"),"?","~?"),'DADOS_RESTRICOES'!$M$2:$Q$54,4,FALSE)=1),0))+IF($NC98="",0,IFERROR(N(VLOOKUP(SUBSTITUTE(SUBSTITUTE(SUBSTITUTE($NC98,"~","~~"),"*","~*"),"?","~?"),'DADOS_RESTRICOES'!$M$2:$Q$54,4,FALSE)=1),0))&gt;1,"Duas Restrições de frequência, contando a embutida",""),IF(AND(IFERROR(VLOOKUP(SUBSTITUTE(SUBSTITUTE(SUBSTITUTE(IFERROR(INDEX('DADOS_FORMAS'!$AS$2:$AS$21,MATCH(SUBSTITUTE(SUBSTITUTE(SUBSTITUTE($MU98,"~","~~"),"*","~*"),"?","~?"),'DADOS_FORMAS'!$AH$2:$AH$21,0)),""),"~","~~"),"*","~*"),"?","~?"),'DADOS_RESTRICOES'!$M$2:$Q$54,2,FALSE),"")="Tudo ou Nada",$OH98=0),"Tudo ou Nada exige TR",""),IF(AND(IFERROR(VLOOKUP(SUBSTITUTE(SUBSTITUTE(SUBSTITUTE(IFERROR(INDEX('DADOS_FORMAS'!$AS$2:$AS$21,MATCH(SUBSTITUTE(SUBSTITUTE(SUBSTITUTE($MU98,"~","~~"),"*","~*"),"?","~?"),'DADOS_FORMAS'!$AH$2:$AH$21,0)),""),"~","~~"),"*","~*"),"?","~?"),'DADOS_RESTRICOES'!$M$2:$Q$54,2,FALSE),"")="Corpo a Corpo",OR($RO98="Cone",$RO98="Linha")),"Corpo a Corpo não entra em Cone/Linha","")))</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dela",IF(COUNTIF($RQ98:$RS98,"Atrasar")&gt;0,"Sua Ação Completa",IF(COUNTIF($RK98:$RN98,"Rápido")&gt;0,"Sua Bônus",IF(COUNTIF($RK98:$RN98,"Reação")&gt;0,"Sua Reação","Sua Padrão")))&amp;" + a básica dela"&amp;IF(COUNTIF($RK98:$RN98,"Reação")&gt;0," e a coletiva","")&amp;IF(COUNTIF($RQ98:$RS98,"Carregar")&gt;0," · em dois turnos","")))</f>
        <v/>
      </c>
      <c r="QC98" s="161">
        <f>IF($MW98&lt;&gt;"",$MW98,IF($NJ98=0,"",INDEX('DADOS_FORMAS'!$GE$2:$GE$21,$NJ98)))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IF($NJ98=0,0,CHOOSE(1+INDEX('DADOS_FORMAS'!$GG$2:$GG$21,$NJ98),0,$QF98,$QG98,$QF98+$QG98))</f>
        <v/>
      </c>
      <c r="QI98" s="161">
        <f>IF($NJ98=0,0,CHOOSE(1+INDEX('DADOS_FORMAS'!$GH$2:$GH$21,$NJ98),0,$QF98,$QG98,$QF98+$QG98))</f>
        <v/>
      </c>
      <c r="QJ98" s="161">
        <f>IF(OR($ND98=0,$NJ98=0),"",INDEX('DADOS_FORMAS'!$HU$2:$HZ$81,($NJ98-1)*4+IF($MS98=0,1,IF($MS98&lt;=5,2,IF($MS98=6,3,4))),1+MIN(5,$QH98))&amp;INDEX('DADOS_FORMAS'!$IA$2:$IF$81,($NJ98-1)*4+IF($MS98=0,1,IF($MS98&lt;=5,2,IF($MS98=6,3,4))),1+MIN(5,$QI98))&amp;IF(INDEX('DADOS_FORMAS'!$GI$2:$GI$21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c r="RO98">
        <f>IFERROR(INDEX('DADOS_FORMAS'!$BJ$2:$BJ$21,MATCH(SUBSTITUTE(SUBSTITUTE(SUBSTITUTE($MU98,"~","~~"),"*","~*"),"?","~?"),'DADOS_FORMAS'!$AH$2:$AH$21,0)),"")</f>
        <v/>
      </c>
      <c r="RP98">
        <f>IFERROR(VLOOKUP(SUBSTITUTE(SUBSTITUTE(SUBSTITUTE(IFERROR(INDEX('DADOS_FORMAS'!$AS$2:$AS$21,MATCH(SUBSTITUTE(SUBSTITUTE(SUBSTITUTE($MU98,"~","~~"),"*","~*"),"?","~?"),'DADOS_FORMAS'!$AH$2:$AH$21,0)),""),"~","~~"),"*","~*"),"?","~?"),'DADOS_RESTRICOES'!$M$2:$Q$54,2,FALSE),"")</f>
        <v/>
      </c>
      <c r="RQ98">
        <f>$OK98</f>
        <v/>
      </c>
      <c r="RR98">
        <f>$OL98</f>
        <v/>
      </c>
      <c r="RS98">
        <f>$RP98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IFERROR(MATCH(SUBSTITUTE(SUBSTITUTE(SUBSTITUTE($MU99,"~","~~"),"*","~*"),"?","~?"),'DADOS_FORMAS'!$FZ$2:$FZ$21,0),0)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IF($MS99=0,0,IF($NJ99=0,0,INDEX('DADOS_FORMAS'!$GB$2:$GB$21,$NJ99)))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IF($NJ99=0,0,IF(INDEX('DADOS_FORMAS'!$GA$2:$GA$21,$NJ99)="",0,IF((COUNTIF(INDEX($EL$2:$EP$13,$MO99,0),INDEX('DADOS_FORMAS'!$GA$2:$GA$21,$NJ99))+COUNTIF(INDEX($QV$2:$QY$13,$MO99,0),INDEX('DADOS_FORMAS'!$GA$2:$GA$21,$NJ99)))=0,1,0)))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IFERROR(N(AND(INDEX('DADOS_FORMAS'!$AO$2:$AO$21,MATCH(SUBSTITUTE(SUBSTITUTE(SUBSTITUTE($MU99,"~","~~"),"*","~*"),"?","~?"),'DADOS_FORMAS'!$AH$2:$AH$21,0))="Acerto",$OH99=1)),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IF($NJ99=0,0,INDEX('DADOS_FORMAS'!$GC$2:$GC$21,$NJ99))</f>
        <v/>
      </c>
      <c r="OG99" s="161">
        <f>IF($NJ99=0,0,INDEX('DADOS_FORMAS'!$GD$2:$GD$21,$NJ99))</f>
        <v/>
      </c>
      <c r="OH99" s="161">
        <f>IF($NJ99=0,0,INDEX('DADOS_FORMAS'!$GF$2:$GF$21,$NJ99))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IF(IFERROR(INDEX('DADOS_FORMAS'!$AS$2:$AS$21,MATCH(SUBSTITUTE(SUBSTITUTE(SUBSTITUTE($MU99,"~","~~"),"*","~*"),"?","~?"),'DADOS_FORMAS'!$AH$2:$AH$21,0)),"")="",0,IFERROR(N(VLOOKUP(SUBSTITUTE(SUBSTITUTE(SUBSTITUTE(IFERROR(INDEX('DADOS_FORMAS'!$AS$2:$AS$21,MATCH(SUBSTITUTE(SUBSTITUTE(SUBSTITUTE($MU99,"~","~~"),"*","~*"),"?","~?"),'DADOS_FORMAS'!$AH$2:$AH$21,0)),""),"~","~~"),"*","~*"),"?","~?"),'DADOS_RESTRICOES'!$M$2:$Q$54,3,FALSE)=1),0))</f>
        <v/>
      </c>
      <c r="OT99" s="161">
        <f>COUNTIF($OI99:$OJ99,2)+IF(IFERROR(INDEX('DADOS_FORMAS'!$AS$2:$AS$21,MATCH(SUBSTITUTE(SUBSTITUTE(SUBSTITUTE($MU99,"~","~~"),"*","~*"),"?","~?"),'DADOS_FORMAS'!$AH$2:$AH$21,0)),"")="",0,IFERROR(N(VLOOKUP(SUBSTITUTE(SUBSTITUTE(SUBSTITUTE(IFERROR(INDEX('DADOS_FORMAS'!$AS$2:$AS$21,MATCH(SUBSTITUTE(SUBSTITUTE(SUBSTITUTE($MU99,"~","~~"),"*","~*"),"?","~?"),'DADOS_FORMAS'!$AH$2:$AH$21,0)),""),"~","~~"),"*","~*"),"?","~?"),'DADOS_RESTRICOES'!$M$2:$Q$54,3,FALSE)=2),0))</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",TRUE,IF($ND99=0,"",TEXTJOIN(" · ",TRUE,IF($MQ99&gt;$NE99,"Este lugar abre no nível "&amp;$MQ99,""),IF($MS99&gt;$NF99,"Classe "&amp;$MS99&amp;": o nível "&amp;$NE99&amp;" libera até a "&amp;$NF99,""),IF($NX99=1,"A Forma "&amp;$MU99&amp;" pede "&amp;INDEX('DADOS_FORMAS'!$GA$2:$GA$21,$NJ99)&amp;" aberta",""),IF(AND($MS99=0,$NJ99&gt;0,IF($NJ99=0,0,INDEX('DADOS_FORMAS'!$GJ$2:$GJ$21,$NJ99))=0),$MU99&amp;"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Corpo")&gt;0,$OF99=0,OR($RO99="Cone",$RO99="Linha")),"Corpo a Corpo não entra em "&amp;$MU99,""),IF(AND(COUNTIF($OK99:$OL99,"Corpo a Corpo")&gt;0,$RP99="Corpo a Corpo"),"A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"&amp;$NC99,""))),IF(AND($MU99&lt;&gt;"",COUNTIF('DADOS_FORMAS'!$AH$2:$AH$21,SUBSTITUTE(SUBSTITUTE(SUBSTITUTE($MU99,"~","~~"),"*","~*"),"?","~?"))=0),"Forma não cadastrada ou com erro: "&amp;$MU99,""),IF(AND(IFERROR(INDEX('DADOS_FORMAS'!$AS$2:$AS$21,MATCH(SUBSTITUTE(SUBSTITUTE(SUBSTITUTE($MU99,"~","~~"),"*","~*"),"?","~?"),'DADOS_FORMAS'!$AH$2:$AH$21,0)),"")&lt;&gt;"",OR(IFERROR(VLOOKUP(SUBSTITUTE(SUBSTITUTE(SUBSTITUTE(IFERROR(INDEX('DADOS_FORMAS'!$AS$2:$AS$21,MATCH(SUBSTITUTE(SUBSTITUTE(SUBSTITUTE($MU99,"~","~~"),"*","~*"),"?","~?"),'DADOS_FORMAS'!$AH$2:$AH$21,0)),""),"~","~~"),"*","~*"),"?","~?"),'DADOS_RESTRICOES'!$M$2:$Q$54,2,FALSE),"")=$OK99,IFERROR(VLOOKUP(SUBSTITUTE(SUBSTITUTE(SUBSTITUTE(IFERROR(INDEX('DADOS_FORMAS'!$AS$2:$AS$21,MATCH(SUBSTITUTE(SUBSTITUTE(SUBSTITUTE($MU99,"~","~~"),"*","~*"),"?","~?"),'DADOS_FORMAS'!$AH$2:$AH$21,0)),""),"~","~~"),"*","~*"),"?","~?"),'DADOS_RESTRICOES'!$M$2:$Q$54,2,FALSE),"")=$OL99)),"Restrição repetida, contando a embutida",""),IF(IF(IFERROR(INDEX('DADOS_FORMAS'!$AS$2:$AS$21,MATCH(SUBSTITUTE(SUBSTITUTE(SUBSTITUTE($MU99,"~","~~"),"*","~*"),"?","~?"),'DADOS_FORMAS'!$AH$2:$AH$21,0)),"")="",0,IFERROR(N(VLOOKUP(SUBSTITUTE(SUBSTITUTE(SUBSTITUTE(IFERROR(INDEX('DADOS_FORMAS'!$AS$2:$AS$21,MATCH(SUBSTITUTE(SUBSTITUTE(SUBSTITUTE($MU99,"~","~~"),"*","~*"),"?","~?"),'DADOS_FORMAS'!$AH$2:$AH$21,0)),""),"~","~~"),"*","~*"),"?","~?"),'DADOS_RESTRICOES'!$M$2:$Q$54,4,FALSE)=1),0))+IF($NB99="",0,IFERROR(N(VLOOKUP(SUBSTITUTE(SUBSTITUTE(SUBSTITUTE($NB99,"~","~~"),"*","~*"),"?","~?"),'DADOS_RESTRICOES'!$M$2:$Q$54,4,FALSE)=1),0))+IF($NC99="",0,IFERROR(N(VLOOKUP(SUBSTITUTE(SUBSTITUTE(SUBSTITUTE($NC99,"~","~~"),"*","~*"),"?","~?"),'DADOS_RESTRICOES'!$M$2:$Q$54,4,FALSE)=1),0))&gt;1,"Duas Restrições de frequência, contando a embutida",""),IF(AND(IFERROR(VLOOKUP(SUBSTITUTE(SUBSTITUTE(SUBSTITUTE(IFERROR(INDEX('DADOS_FORMAS'!$AS$2:$AS$21,MATCH(SUBSTITUTE(SUBSTITUTE(SUBSTITUTE($MU99,"~","~~"),"*","~*"),"?","~?"),'DADOS_FORMAS'!$AH$2:$AH$21,0)),""),"~","~~"),"*","~*"),"?","~?"),'DADOS_RESTRICOES'!$M$2:$Q$54,2,FALSE),"")="Tudo ou Nada",$OH99=0),"Tudo ou Nada exige TR",""),IF(AND(IFERROR(VLOOKUP(SUBSTITUTE(SUBSTITUTE(SUBSTITUTE(IFERROR(INDEX('DADOS_FORMAS'!$AS$2:$AS$21,MATCH(SUBSTITUTE(SUBSTITUTE(SUBSTITUTE($MU99,"~","~~"),"*","~*"),"?","~?"),'DADOS_FORMAS'!$AH$2:$AH$21,0)),""),"~","~~"),"*","~*"),"?","~?"),'DADOS_RESTRICOES'!$M$2:$Q$54,2,FALSE),"")="Corpo a Corpo",OR($RO99="Cone",$RO99="Linha")),"Corpo a Corpo não entra em Cone/Linha","")))</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dela",IF(COUNTIF($RQ99:$RS99,"Atrasar")&gt;0,"Sua Ação Completa",IF(COUNTIF($RK99:$RN99,"Rápido")&gt;0,"Sua Bônus",IF(COUNTIF($RK99:$RN99,"Reação")&gt;0,"Sua Reação","Sua Padrão")))&amp;" + a básica dela"&amp;IF(COUNTIF($RK99:$RN99,"Reação")&gt;0," e a coletiva","")&amp;IF(COUNTIF($RQ99:$RS99,"Carregar")&gt;0," · em dois turnos","")))</f>
        <v/>
      </c>
      <c r="QC99" s="161">
        <f>IF($MW99&lt;&gt;"",$MW99,IF($NJ99=0,"",INDEX('DADOS_FORMAS'!$GE$2:$GE$21,$NJ99)))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IF($NJ99=0,0,CHOOSE(1+INDEX('DADOS_FORMAS'!$GG$2:$GG$21,$NJ99),0,$QF99,$QG99,$QF99+$QG99))</f>
        <v/>
      </c>
      <c r="QI99" s="161">
        <f>IF($NJ99=0,0,CHOOSE(1+INDEX('DADOS_FORMAS'!$GH$2:$GH$21,$NJ99),0,$QF99,$QG99,$QF99+$QG99))</f>
        <v/>
      </c>
      <c r="QJ99" s="161">
        <f>IF(OR($ND99=0,$NJ99=0),"",INDEX('DADOS_FORMAS'!$HU$2:$HZ$81,($NJ99-1)*4+IF($MS99=0,1,IF($MS99&lt;=5,2,IF($MS99=6,3,4))),1+MIN(5,$QH99))&amp;INDEX('DADOS_FORMAS'!$IA$2:$IF$81,($NJ99-1)*4+IF($MS99=0,1,IF($MS99&lt;=5,2,IF($MS99=6,3,4))),1+MIN(5,$QI99))&amp;IF(INDEX('DADOS_FORMAS'!$GI$2:$GI$21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c r="RO99">
        <f>IFERROR(INDEX('DADOS_FORMAS'!$BJ$2:$BJ$21,MATCH(SUBSTITUTE(SUBSTITUTE(SUBSTITUTE($MU99,"~","~~"),"*","~*"),"?","~?"),'DADOS_FORMAS'!$AH$2:$AH$21,0)),"")</f>
        <v/>
      </c>
      <c r="RP99">
        <f>IFERROR(VLOOKUP(SUBSTITUTE(SUBSTITUTE(SUBSTITUTE(IFERROR(INDEX('DADOS_FORMAS'!$AS$2:$AS$21,MATCH(SUBSTITUTE(SUBSTITUTE(SUBSTITUTE($MU99,"~","~~"),"*","~*"),"?","~?"),'DADOS_FORMAS'!$AH$2:$AH$21,0)),""),"~","~~"),"*","~*"),"?","~?"),'DADOS_RESTRICOES'!$M$2:$Q$54,2,FALSE),"")</f>
        <v/>
      </c>
      <c r="RQ99">
        <f>$OK99</f>
        <v/>
      </c>
      <c r="RR99">
        <f>$OL99</f>
        <v/>
      </c>
      <c r="RS99">
        <f>$RP99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IFERROR(MATCH(SUBSTITUTE(SUBSTITUTE(SUBSTITUTE($MU100,"~","~~"),"*","~*"),"?","~?"),'DADOS_FORMAS'!$FZ$2:$FZ$21,0),0)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IF($MS100=0,0,IF($NJ100=0,0,INDEX('DADOS_FORMAS'!$GB$2:$GB$21,$NJ100)))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IF($NJ100=0,0,IF(INDEX('DADOS_FORMAS'!$GA$2:$GA$21,$NJ100)="",0,IF((COUNTIF(INDEX($EL$2:$EP$13,$MO100,0),INDEX('DADOS_FORMAS'!$GA$2:$GA$21,$NJ100))+COUNTIF(INDEX($QV$2:$QY$13,$MO100,0),INDEX('DADOS_FORMAS'!$GA$2:$GA$21,$NJ100)))=0,1,0)))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IFERROR(N(AND(INDEX('DADOS_FORMAS'!$AO$2:$AO$21,MATCH(SUBSTITUTE(SUBSTITUTE(SUBSTITUTE($MU100,"~","~~"),"*","~*"),"?","~?"),'DADOS_FORMAS'!$AH$2:$AH$21,0))="Acerto",$OH100=1)),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IF($NJ100=0,0,INDEX('DADOS_FORMAS'!$GC$2:$GC$21,$NJ100))</f>
        <v/>
      </c>
      <c r="OG100" s="161">
        <f>IF($NJ100=0,0,INDEX('DADOS_FORMAS'!$GD$2:$GD$21,$NJ100))</f>
        <v/>
      </c>
      <c r="OH100" s="161">
        <f>IF($NJ100=0,0,INDEX('DADOS_FORMAS'!$GF$2:$GF$21,$NJ100))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IF(IFERROR(INDEX('DADOS_FORMAS'!$AS$2:$AS$21,MATCH(SUBSTITUTE(SUBSTITUTE(SUBSTITUTE($MU100,"~","~~"),"*","~*"),"?","~?"),'DADOS_FORMAS'!$AH$2:$AH$21,0)),"")="",0,IFERROR(N(VLOOKUP(SUBSTITUTE(SUBSTITUTE(SUBSTITUTE(IFERROR(INDEX('DADOS_FORMAS'!$AS$2:$AS$21,MATCH(SUBSTITUTE(SUBSTITUTE(SUBSTITUTE($MU100,"~","~~"),"*","~*"),"?","~?"),'DADOS_FORMAS'!$AH$2:$AH$21,0)),""),"~","~~"),"*","~*"),"?","~?"),'DADOS_RESTRICOES'!$M$2:$Q$54,3,FALSE)=1),0))</f>
        <v/>
      </c>
      <c r="OT100" s="161">
        <f>COUNTIF($OI100:$OJ100,2)+IF(IFERROR(INDEX('DADOS_FORMAS'!$AS$2:$AS$21,MATCH(SUBSTITUTE(SUBSTITUTE(SUBSTITUTE($MU100,"~","~~"),"*","~*"),"?","~?"),'DADOS_FORMAS'!$AH$2:$AH$21,0)),"")="",0,IFERROR(N(VLOOKUP(SUBSTITUTE(SUBSTITUTE(SUBSTITUTE(IFERROR(INDEX('DADOS_FORMAS'!$AS$2:$AS$21,MATCH(SUBSTITUTE(SUBSTITUTE(SUBSTITUTE($MU100,"~","~~"),"*","~*"),"?","~?"),'DADOS_FORMAS'!$AH$2:$AH$21,0)),""),"~","~~"),"*","~*"),"?","~?"),'DADOS_RESTRICOES'!$M$2:$Q$54,3,FALSE)=2),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",TRUE,IF($ND100=0,"",TEXTJOIN(" · ",TRUE,IF($MQ100&gt;$NE100,"Este lugar abre no nível "&amp;$MQ100,""),IF($MS100&gt;$NF100,"Classe "&amp;$MS100&amp;": o nível "&amp;$NE100&amp;" libera até a "&amp;$NF100,""),IF($NX100=1,"A Forma "&amp;$MU100&amp;" pede "&amp;INDEX('DADOS_FORMAS'!$GA$2:$GA$21,$NJ100)&amp;" aberta",""),IF(AND($MS100=0,$NJ100&gt;0,IF($NJ100=0,0,INDEX('DADOS_FORMAS'!$GJ$2:$GJ$21,$NJ100))=0),$MU100&amp;"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Corpo")&gt;0,$OF100=0,OR($RO100="Cone",$RO100="Linha")),"Corpo a Corpo não entra em "&amp;$MU100,""),IF(AND(COUNTIF($OK100:$OL100,"Corpo a Corpo")&gt;0,$RP100="Corpo a Corpo"),"A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"&amp;$NC100,""))),IF(AND($MU100&lt;&gt;"",COUNTIF('DADOS_FORMAS'!$AH$2:$AH$21,SUBSTITUTE(SUBSTITUTE(SUBSTITUTE($MU100,"~","~~"),"*","~*"),"?","~?"))=0),"Forma não cadastrada ou com erro: "&amp;$MU100,""),IF(AND(IFERROR(INDEX('DADOS_FORMAS'!$AS$2:$AS$21,MATCH(SUBSTITUTE(SUBSTITUTE(SUBSTITUTE($MU100,"~","~~"),"*","~*"),"?","~?"),'DADOS_FORMAS'!$AH$2:$AH$21,0)),"")&lt;&gt;"",OR(IFERROR(VLOOKUP(SUBSTITUTE(SUBSTITUTE(SUBSTITUTE(IFERROR(INDEX('DADOS_FORMAS'!$AS$2:$AS$21,MATCH(SUBSTITUTE(SUBSTITUTE(SUBSTITUTE($MU100,"~","~~"),"*","~*"),"?","~?"),'DADOS_FORMAS'!$AH$2:$AH$21,0)),""),"~","~~"),"*","~*"),"?","~?"),'DADOS_RESTRICOES'!$M$2:$Q$54,2,FALSE),"")=$OK100,IFERROR(VLOOKUP(SUBSTITUTE(SUBSTITUTE(SUBSTITUTE(IFERROR(INDEX('DADOS_FORMAS'!$AS$2:$AS$21,MATCH(SUBSTITUTE(SUBSTITUTE(SUBSTITUTE($MU100,"~","~~"),"*","~*"),"?","~?"),'DADOS_FORMAS'!$AH$2:$AH$21,0)),""),"~","~~"),"*","~*"),"?","~?"),'DADOS_RESTRICOES'!$M$2:$Q$54,2,FALSE),"")=$OL100)),"Restrição repetida, contando a embutida",""),IF(IF(IFERROR(INDEX('DADOS_FORMAS'!$AS$2:$AS$21,MATCH(SUBSTITUTE(SUBSTITUTE(SUBSTITUTE($MU100,"~","~~"),"*","~*"),"?","~?"),'DADOS_FORMAS'!$AH$2:$AH$21,0)),"")="",0,IFERROR(N(VLOOKUP(SUBSTITUTE(SUBSTITUTE(SUBSTITUTE(IFERROR(INDEX('DADOS_FORMAS'!$AS$2:$AS$21,MATCH(SUBSTITUTE(SUBSTITUTE(SUBSTITUTE($MU100,"~","~~"),"*","~*"),"?","~?"),'DADOS_FORMAS'!$AH$2:$AH$21,0)),""),"~","~~"),"*","~*"),"?","~?"),'DADOS_RESTRICOES'!$M$2:$Q$54,4,FALSE)=1),0))+IF($NB100="",0,IFERROR(N(VLOOKUP(SUBSTITUTE(SUBSTITUTE(SUBSTITUTE($NB100,"~","~~"),"*","~*"),"?","~?"),'DADOS_RESTRICOES'!$M$2:$Q$54,4,FALSE)=1),0))+IF($NC100="",0,IFERROR(N(VLOOKUP(SUBSTITUTE(SUBSTITUTE(SUBSTITUTE($NC100,"~","~~"),"*","~*"),"?","~?"),'DADOS_RESTRICOES'!$M$2:$Q$54,4,FALSE)=1),0))&gt;1,"Duas Restrições de frequência, contando a embutida",""),IF(AND(IFERROR(VLOOKUP(SUBSTITUTE(SUBSTITUTE(SUBSTITUTE(IFERROR(INDEX('DADOS_FORMAS'!$AS$2:$AS$21,MATCH(SUBSTITUTE(SUBSTITUTE(SUBSTITUTE($MU100,"~","~~"),"*","~*"),"?","~?"),'DADOS_FORMAS'!$AH$2:$AH$21,0)),""),"~","~~"),"*","~*"),"?","~?"),'DADOS_RESTRICOES'!$M$2:$Q$54,2,FALSE),"")="Tudo ou Nada",$OH100=0),"Tudo ou Nada exige TR",""),IF(AND(IFERROR(VLOOKUP(SUBSTITUTE(SUBSTITUTE(SUBSTITUTE(IFERROR(INDEX('DADOS_FORMAS'!$AS$2:$AS$21,MATCH(SUBSTITUTE(SUBSTITUTE(SUBSTITUTE($MU100,"~","~~"),"*","~*"),"?","~?"),'DADOS_FORMAS'!$AH$2:$AH$21,0)),""),"~","~~"),"*","~*"),"?","~?"),'DADOS_RESTRICOES'!$M$2:$Q$54,2,FALSE),"")="Corpo a Corpo",OR($RO100="Cone",$RO100="Linha")),"Corpo a Corpo não entra em Cone/Linha","")))</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dela",IF(COUNTIF($RQ100:$RS100,"Atrasar")&gt;0,"Sua Ação Completa",IF(COUNTIF($RK100:$RN100,"Rápido")&gt;0,"Sua Bônus",IF(COUNTIF($RK100:$RN100,"Reação")&gt;0,"Sua Reação","Sua Padrão")))&amp;" + a básica dela"&amp;IF(COUNTIF($RK100:$RN100,"Reação")&gt;0," e a coletiva","")&amp;IF(COUNTIF($RQ100:$RS100,"Carregar")&gt;0," · em dois turnos","")))</f>
        <v/>
      </c>
      <c r="QC100" s="161">
        <f>IF($MW100&lt;&gt;"",$MW100,IF($NJ100=0,"",INDEX('DADOS_FORMAS'!$GE$2:$GE$21,$NJ100)))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IF($NJ100=0,0,CHOOSE(1+INDEX('DADOS_FORMAS'!$GG$2:$GG$21,$NJ100),0,$QF100,$QG100,$QF100+$QG100))</f>
        <v/>
      </c>
      <c r="QI100" s="161">
        <f>IF($NJ100=0,0,CHOOSE(1+INDEX('DADOS_FORMAS'!$GH$2:$GH$21,$NJ100),0,$QF100,$QG100,$QF100+$QG100))</f>
        <v/>
      </c>
      <c r="QJ100" s="161">
        <f>IF(OR($ND100=0,$NJ100=0),"",INDEX('DADOS_FORMAS'!$HU$2:$HZ$81,($NJ100-1)*4+IF($MS100=0,1,IF($MS100&lt;=5,2,IF($MS100=6,3,4))),1+MIN(5,$QH100))&amp;INDEX('DADOS_FORMAS'!$IA$2:$IF$81,($NJ100-1)*4+IF($MS100=0,1,IF($MS100&lt;=5,2,IF($MS100=6,3,4))),1+MIN(5,$QI100))&amp;IF(INDEX('DADOS_FORMAS'!$GI$2:$GI$21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c r="RO100">
        <f>IFERROR(INDEX('DADOS_FORMAS'!$BJ$2:$BJ$21,MATCH(SUBSTITUTE(SUBSTITUTE(SUBSTITUTE($MU100,"~","~~"),"*","~*"),"?","~?"),'DADOS_FORMAS'!$AH$2:$AH$21,0)),"")</f>
        <v/>
      </c>
      <c r="RP100">
        <f>IFERROR(VLOOKUP(SUBSTITUTE(SUBSTITUTE(SUBSTITUTE(IFERROR(INDEX('DADOS_FORMAS'!$AS$2:$AS$21,MATCH(SUBSTITUTE(SUBSTITUTE(SUBSTITUTE($MU100,"~","~~"),"*","~*"),"?","~?"),'DADOS_FORMAS'!$AH$2:$AH$21,0)),""),"~","~~"),"*","~*"),"?","~?"),'DADOS_RESTRICOES'!$M$2:$Q$54,2,FALSE),"")</f>
        <v/>
      </c>
      <c r="RQ100">
        <f>$OK100</f>
        <v/>
      </c>
      <c r="RR100">
        <f>$OL100</f>
        <v/>
      </c>
      <c r="RS100">
        <f>$RP100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IFERROR(MATCH(SUBSTITUTE(SUBSTITUTE(SUBSTITUTE($MU101,"~","~~"),"*","~*"),"?","~?"),'DADOS_FORMAS'!$FZ$2:$FZ$21,0),0)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IF($MS101=0,0,IF($NJ101=0,0,INDEX('DADOS_FORMAS'!$GB$2:$GB$21,$NJ101)))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IF($NJ101=0,0,IF(INDEX('DADOS_FORMAS'!$GA$2:$GA$21,$NJ101)="",0,IF((COUNTIF(INDEX($EL$2:$EP$13,$MO101,0),INDEX('DADOS_FORMAS'!$GA$2:$GA$21,$NJ101))+COUNTIF(INDEX($QV$2:$QY$13,$MO101,0),INDEX('DADOS_FORMAS'!$GA$2:$GA$21,$NJ101)))=0,1,0)))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IFERROR(N(AND(INDEX('DADOS_FORMAS'!$AO$2:$AO$21,MATCH(SUBSTITUTE(SUBSTITUTE(SUBSTITUTE($MU101,"~","~~"),"*","~*"),"?","~?"),'DADOS_FORMAS'!$AH$2:$AH$21,0))="Acerto",$OH101=1)),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IF($NJ101=0,0,INDEX('DADOS_FORMAS'!$GC$2:$GC$21,$NJ101))</f>
        <v/>
      </c>
      <c r="OG101" s="161">
        <f>IF($NJ101=0,0,INDEX('DADOS_FORMAS'!$GD$2:$GD$21,$NJ101))</f>
        <v/>
      </c>
      <c r="OH101" s="161">
        <f>IF($NJ101=0,0,INDEX('DADOS_FORMAS'!$GF$2:$GF$21,$NJ101))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IF(IFERROR(INDEX('DADOS_FORMAS'!$AS$2:$AS$21,MATCH(SUBSTITUTE(SUBSTITUTE(SUBSTITUTE($MU101,"~","~~"),"*","~*"),"?","~?"),'DADOS_FORMAS'!$AH$2:$AH$21,0)),"")="",0,IFERROR(N(VLOOKUP(SUBSTITUTE(SUBSTITUTE(SUBSTITUTE(IFERROR(INDEX('DADOS_FORMAS'!$AS$2:$AS$21,MATCH(SUBSTITUTE(SUBSTITUTE(SUBSTITUTE($MU101,"~","~~"),"*","~*"),"?","~?"),'DADOS_FORMAS'!$AH$2:$AH$21,0)),""),"~","~~"),"*","~*"),"?","~?"),'DADOS_RESTRICOES'!$M$2:$Q$54,3,FALSE)=1),0))</f>
        <v/>
      </c>
      <c r="OT101" s="161">
        <f>COUNTIF($OI101:$OJ101,2)+IF(IFERROR(INDEX('DADOS_FORMAS'!$AS$2:$AS$21,MATCH(SUBSTITUTE(SUBSTITUTE(SUBSTITUTE($MU101,"~","~~"),"*","~*"),"?","~?"),'DADOS_FORMAS'!$AH$2:$AH$21,0)),"")="",0,IFERROR(N(VLOOKUP(SUBSTITUTE(SUBSTITUTE(SUBSTITUTE(IFERROR(INDEX('DADOS_FORMAS'!$AS$2:$AS$21,MATCH(SUBSTITUTE(SUBSTITUTE(SUBSTITUTE($MU101,"~","~~"),"*","~*"),"?","~?"),'DADOS_FORMAS'!$AH$2:$AH$21,0)),""),"~","~~"),"*","~*"),"?","~?"),'DADOS_RESTRICOES'!$M$2:$Q$54,3,FALSE)=2),0))</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",TRUE,IF($ND101=0,"",TEXTJOIN(" · ",TRUE,IF($MQ101&gt;$NE101,"Este lugar abre no nível "&amp;$MQ101,""),IF($MS101&gt;$NF101,"Classe "&amp;$MS101&amp;": o nível "&amp;$NE101&amp;" libera até a "&amp;$NF101,""),IF($NX101=1,"A Forma "&amp;$MU101&amp;" pede "&amp;INDEX('DADOS_FORMAS'!$GA$2:$GA$21,$NJ101)&amp;" aberta",""),IF(AND($MS101=0,$NJ101&gt;0,IF($NJ101=0,0,INDEX('DADOS_FORMAS'!$GJ$2:$GJ$21,$NJ101))=0),$MU101&amp;"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Corpo")&gt;0,$OF101=0,OR($RO101="Cone",$RO101="Linha")),"Corpo a Corpo não entra em "&amp;$MU101,""),IF(AND(COUNTIF($OK101:$OL101,"Corpo a Corpo")&gt;0,$RP101="Corpo a Corpo"),"A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"&amp;$NC101,""))),IF(AND($MU101&lt;&gt;"",COUNTIF('DADOS_FORMAS'!$AH$2:$AH$21,SUBSTITUTE(SUBSTITUTE(SUBSTITUTE($MU101,"~","~~"),"*","~*"),"?","~?"))=0),"Forma não cadastrada ou com erro: "&amp;$MU101,""),IF(AND(IFERROR(INDEX('DADOS_FORMAS'!$AS$2:$AS$21,MATCH(SUBSTITUTE(SUBSTITUTE(SUBSTITUTE($MU101,"~","~~"),"*","~*"),"?","~?"),'DADOS_FORMAS'!$AH$2:$AH$21,0)),"")&lt;&gt;"",OR(IFERROR(VLOOKUP(SUBSTITUTE(SUBSTITUTE(SUBSTITUTE(IFERROR(INDEX('DADOS_FORMAS'!$AS$2:$AS$21,MATCH(SUBSTITUTE(SUBSTITUTE(SUBSTITUTE($MU101,"~","~~"),"*","~*"),"?","~?"),'DADOS_FORMAS'!$AH$2:$AH$21,0)),""),"~","~~"),"*","~*"),"?","~?"),'DADOS_RESTRICOES'!$M$2:$Q$54,2,FALSE),"")=$OK101,IFERROR(VLOOKUP(SUBSTITUTE(SUBSTITUTE(SUBSTITUTE(IFERROR(INDEX('DADOS_FORMAS'!$AS$2:$AS$21,MATCH(SUBSTITUTE(SUBSTITUTE(SUBSTITUTE($MU101,"~","~~"),"*","~*"),"?","~?"),'DADOS_FORMAS'!$AH$2:$AH$21,0)),""),"~","~~"),"*","~*"),"?","~?"),'DADOS_RESTRICOES'!$M$2:$Q$54,2,FALSE),"")=$OL101)),"Restrição repetida, contando a embutida",""),IF(IF(IFERROR(INDEX('DADOS_FORMAS'!$AS$2:$AS$21,MATCH(SUBSTITUTE(SUBSTITUTE(SUBSTITUTE($MU101,"~","~~"),"*","~*"),"?","~?"),'DADOS_FORMAS'!$AH$2:$AH$21,0)),"")="",0,IFERROR(N(VLOOKUP(SUBSTITUTE(SUBSTITUTE(SUBSTITUTE(IFERROR(INDEX('DADOS_FORMAS'!$AS$2:$AS$21,MATCH(SUBSTITUTE(SUBSTITUTE(SUBSTITUTE($MU101,"~","~~"),"*","~*"),"?","~?"),'DADOS_FORMAS'!$AH$2:$AH$21,0)),""),"~","~~"),"*","~*"),"?","~?"),'DADOS_RESTRICOES'!$M$2:$Q$54,4,FALSE)=1),0))+IF($NB101="",0,IFERROR(N(VLOOKUP(SUBSTITUTE(SUBSTITUTE(SUBSTITUTE($NB101,"~","~~"),"*","~*"),"?","~?"),'DADOS_RESTRICOES'!$M$2:$Q$54,4,FALSE)=1),0))+IF($NC101="",0,IFERROR(N(VLOOKUP(SUBSTITUTE(SUBSTITUTE(SUBSTITUTE($NC101,"~","~~"),"*","~*"),"?","~?"),'DADOS_RESTRICOES'!$M$2:$Q$54,4,FALSE)=1),0))&gt;1,"Duas Restrições de frequência, contando a embutida",""),IF(AND(IFERROR(VLOOKUP(SUBSTITUTE(SUBSTITUTE(SUBSTITUTE(IFERROR(INDEX('DADOS_FORMAS'!$AS$2:$AS$21,MATCH(SUBSTITUTE(SUBSTITUTE(SUBSTITUTE($MU101,"~","~~"),"*","~*"),"?","~?"),'DADOS_FORMAS'!$AH$2:$AH$21,0)),""),"~","~~"),"*","~*"),"?","~?"),'DADOS_RESTRICOES'!$M$2:$Q$54,2,FALSE),"")="Tudo ou Nada",$OH101=0),"Tudo ou Nada exige TR",""),IF(AND(IFERROR(VLOOKUP(SUBSTITUTE(SUBSTITUTE(SUBSTITUTE(IFERROR(INDEX('DADOS_FORMAS'!$AS$2:$AS$21,MATCH(SUBSTITUTE(SUBSTITUTE(SUBSTITUTE($MU101,"~","~~"),"*","~*"),"?","~?"),'DADOS_FORMAS'!$AH$2:$AH$21,0)),""),"~","~~"),"*","~*"),"?","~?"),'DADOS_RESTRICOES'!$M$2:$Q$54,2,FALSE),"")="Corpo a Corpo",OR($RO101="Cone",$RO101="Linha")),"Corpo a Corpo não entra em Cone/Linha","")))</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dela",IF(COUNTIF($RQ101:$RS101,"Atrasar")&gt;0,"Sua Ação Completa",IF(COUNTIF($RK101:$RN101,"Rápido")&gt;0,"Sua Bônus",IF(COUNTIF($RK101:$RN101,"Reação")&gt;0,"Sua Reação","Sua Padrão")))&amp;" + a básica dela"&amp;IF(COUNTIF($RK101:$RN101,"Reação")&gt;0," e a coletiva","")&amp;IF(COUNTIF($RQ101:$RS101,"Carregar")&gt;0," · em dois turnos","")))</f>
        <v/>
      </c>
      <c r="QC101" s="161">
        <f>IF($MW101&lt;&gt;"",$MW101,IF($NJ101=0,"",INDEX('DADOS_FORMAS'!$GE$2:$GE$21,$NJ101)))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IF($NJ101=0,0,CHOOSE(1+INDEX('DADOS_FORMAS'!$GG$2:$GG$21,$NJ101),0,$QF101,$QG101,$QF101+$QG101))</f>
        <v/>
      </c>
      <c r="QI101" s="161">
        <f>IF($NJ101=0,0,CHOOSE(1+INDEX('DADOS_FORMAS'!$GH$2:$GH$21,$NJ101),0,$QF101,$QG101,$QF101+$QG101))</f>
        <v/>
      </c>
      <c r="QJ101" s="161">
        <f>IF(OR($ND101=0,$NJ101=0),"",INDEX('DADOS_FORMAS'!$HU$2:$HZ$81,($NJ101-1)*4+IF($MS101=0,1,IF($MS101&lt;=5,2,IF($MS101=6,3,4))),1+MIN(5,$QH101))&amp;INDEX('DADOS_FORMAS'!$IA$2:$IF$81,($NJ101-1)*4+IF($MS101=0,1,IF($MS101&lt;=5,2,IF($MS101=6,3,4))),1+MIN(5,$QI101))&amp;IF(INDEX('DADOS_FORMAS'!$GI$2:$GI$21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c r="RO101">
        <f>IFERROR(INDEX('DADOS_FORMAS'!$BJ$2:$BJ$21,MATCH(SUBSTITUTE(SUBSTITUTE(SUBSTITUTE($MU101,"~","~~"),"*","~*"),"?","~?"),'DADOS_FORMAS'!$AH$2:$AH$21,0)),"")</f>
        <v/>
      </c>
      <c r="RP101">
        <f>IFERROR(VLOOKUP(SUBSTITUTE(SUBSTITUTE(SUBSTITUTE(IFERROR(INDEX('DADOS_FORMAS'!$AS$2:$AS$21,MATCH(SUBSTITUTE(SUBSTITUTE(SUBSTITUTE($MU101,"~","~~"),"*","~*"),"?","~?"),'DADOS_FORMAS'!$AH$2:$AH$21,0)),""),"~","~~"),"*","~*"),"?","~?"),'DADOS_RESTRICOES'!$M$2:$Q$54,2,FALSE),"")</f>
        <v/>
      </c>
      <c r="RQ101">
        <f>$OK101</f>
        <v/>
      </c>
      <c r="RR101">
        <f>$OL101</f>
        <v/>
      </c>
      <c r="RS101">
        <f>$RP101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IFERROR(MATCH(SUBSTITUTE(SUBSTITUTE(SUBSTITUTE($MU102,"~","~~"),"*","~*"),"?","~?"),'DADOS_FORMAS'!$FZ$2:$FZ$21,0),0)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IF($MS102=0,0,IF($NJ102=0,0,INDEX('DADOS_FORMAS'!$GB$2:$GB$21,$NJ102)))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IF($NJ102=0,0,IF(INDEX('DADOS_FORMAS'!$GA$2:$GA$21,$NJ102)="",0,IF((COUNTIF(INDEX($EL$2:$EP$13,$MO102,0),INDEX('DADOS_FORMAS'!$GA$2:$GA$21,$NJ102))+COUNTIF(INDEX($QV$2:$QY$13,$MO102,0),INDEX('DADOS_FORMAS'!$GA$2:$GA$21,$NJ102)))=0,1,0)))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IFERROR(N(AND(INDEX('DADOS_FORMAS'!$AO$2:$AO$21,MATCH(SUBSTITUTE(SUBSTITUTE(SUBSTITUTE($MU102,"~","~~"),"*","~*"),"?","~?"),'DADOS_FORMAS'!$AH$2:$AH$21,0))="Acerto",$OH102=1)),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IF($NJ102=0,0,INDEX('DADOS_FORMAS'!$GC$2:$GC$21,$NJ102))</f>
        <v/>
      </c>
      <c r="OG102" s="161">
        <f>IF($NJ102=0,0,INDEX('DADOS_FORMAS'!$GD$2:$GD$21,$NJ102))</f>
        <v/>
      </c>
      <c r="OH102" s="161">
        <f>IF($NJ102=0,0,INDEX('DADOS_FORMAS'!$GF$2:$GF$21,$NJ102))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IF(IFERROR(INDEX('DADOS_FORMAS'!$AS$2:$AS$21,MATCH(SUBSTITUTE(SUBSTITUTE(SUBSTITUTE($MU102,"~","~~"),"*","~*"),"?","~?"),'DADOS_FORMAS'!$AH$2:$AH$21,0)),"")="",0,IFERROR(N(VLOOKUP(SUBSTITUTE(SUBSTITUTE(SUBSTITUTE(IFERROR(INDEX('DADOS_FORMAS'!$AS$2:$AS$21,MATCH(SUBSTITUTE(SUBSTITUTE(SUBSTITUTE($MU102,"~","~~"),"*","~*"),"?","~?"),'DADOS_FORMAS'!$AH$2:$AH$21,0)),""),"~","~~"),"*","~*"),"?","~?"),'DADOS_RESTRICOES'!$M$2:$Q$54,3,FALSE)=1),0))</f>
        <v/>
      </c>
      <c r="OT102" s="161">
        <f>COUNTIF($OI102:$OJ102,2)+IF(IFERROR(INDEX('DADOS_FORMAS'!$AS$2:$AS$21,MATCH(SUBSTITUTE(SUBSTITUTE(SUBSTITUTE($MU102,"~","~~"),"*","~*"),"?","~?"),'DADOS_FORMAS'!$AH$2:$AH$21,0)),"")="",0,IFERROR(N(VLOOKUP(SUBSTITUTE(SUBSTITUTE(SUBSTITUTE(IFERROR(INDEX('DADOS_FORMAS'!$AS$2:$AS$21,MATCH(SUBSTITUTE(SUBSTITUTE(SUBSTITUTE($MU102,"~","~~"),"*","~*"),"?","~?"),'DADOS_FORMAS'!$AH$2:$AH$21,0)),""),"~","~~"),"*","~*"),"?","~?"),'DADOS_RESTRICOES'!$M$2:$Q$54,3,FALSE)=2),0))</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",TRUE,IF($ND102=0,"",TEXTJOIN(" · ",TRUE,IF($MQ102&gt;$NE102,"Este lugar abre no nível "&amp;$MQ102,""),IF($MS102&gt;$NF102,"Classe "&amp;$MS102&amp;": o nível "&amp;$NE102&amp;" libera até a "&amp;$NF102,""),IF($NX102=1,"A Forma "&amp;$MU102&amp;" pede "&amp;INDEX('DADOS_FORMAS'!$GA$2:$GA$21,$NJ102)&amp;" aberta",""),IF(AND($MS102=0,$NJ102&gt;0,IF($NJ102=0,0,INDEX('DADOS_FORMAS'!$GJ$2:$GJ$21,$NJ102))=0),$MU102&amp;"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Corpo")&gt;0,$OF102=0,OR($RO102="Cone",$RO102="Linha")),"Corpo a Corpo não entra em "&amp;$MU102,""),IF(AND(COUNTIF($OK102:$OL102,"Corpo a Corpo")&gt;0,$RP102="Corpo a Corpo"),"A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"&amp;$NC102,""))),IF(AND($MU102&lt;&gt;"",COUNTIF('DADOS_FORMAS'!$AH$2:$AH$21,SUBSTITUTE(SUBSTITUTE(SUBSTITUTE($MU102,"~","~~"),"*","~*"),"?","~?"))=0),"Forma não cadastrada ou com erro: "&amp;$MU102,""),IF(AND(IFERROR(INDEX('DADOS_FORMAS'!$AS$2:$AS$21,MATCH(SUBSTITUTE(SUBSTITUTE(SUBSTITUTE($MU102,"~","~~"),"*","~*"),"?","~?"),'DADOS_FORMAS'!$AH$2:$AH$21,0)),"")&lt;&gt;"",OR(IFERROR(VLOOKUP(SUBSTITUTE(SUBSTITUTE(SUBSTITUTE(IFERROR(INDEX('DADOS_FORMAS'!$AS$2:$AS$21,MATCH(SUBSTITUTE(SUBSTITUTE(SUBSTITUTE($MU102,"~","~~"),"*","~*"),"?","~?"),'DADOS_FORMAS'!$AH$2:$AH$21,0)),""),"~","~~"),"*","~*"),"?","~?"),'DADOS_RESTRICOES'!$M$2:$Q$54,2,FALSE),"")=$OK102,IFERROR(VLOOKUP(SUBSTITUTE(SUBSTITUTE(SUBSTITUTE(IFERROR(INDEX('DADOS_FORMAS'!$AS$2:$AS$21,MATCH(SUBSTITUTE(SUBSTITUTE(SUBSTITUTE($MU102,"~","~~"),"*","~*"),"?","~?"),'DADOS_FORMAS'!$AH$2:$AH$21,0)),""),"~","~~"),"*","~*"),"?","~?"),'DADOS_RESTRICOES'!$M$2:$Q$54,2,FALSE),"")=$OL102)),"Restrição repetida, contando a embutida",""),IF(IF(IFERROR(INDEX('DADOS_FORMAS'!$AS$2:$AS$21,MATCH(SUBSTITUTE(SUBSTITUTE(SUBSTITUTE($MU102,"~","~~"),"*","~*"),"?","~?"),'DADOS_FORMAS'!$AH$2:$AH$21,0)),"")="",0,IFERROR(N(VLOOKUP(SUBSTITUTE(SUBSTITUTE(SUBSTITUTE(IFERROR(INDEX('DADOS_FORMAS'!$AS$2:$AS$21,MATCH(SUBSTITUTE(SUBSTITUTE(SUBSTITUTE($MU102,"~","~~"),"*","~*"),"?","~?"),'DADOS_FORMAS'!$AH$2:$AH$21,0)),""),"~","~~"),"*","~*"),"?","~?"),'DADOS_RESTRICOES'!$M$2:$Q$54,4,FALSE)=1),0))+IF($NB102="",0,IFERROR(N(VLOOKUP(SUBSTITUTE(SUBSTITUTE(SUBSTITUTE($NB102,"~","~~"),"*","~*"),"?","~?"),'DADOS_RESTRICOES'!$M$2:$Q$54,4,FALSE)=1),0))+IF($NC102="",0,IFERROR(N(VLOOKUP(SUBSTITUTE(SUBSTITUTE(SUBSTITUTE($NC102,"~","~~"),"*","~*"),"?","~?"),'DADOS_RESTRICOES'!$M$2:$Q$54,4,FALSE)=1),0))&gt;1,"Duas Restrições de frequência, contando a embutida",""),IF(AND(IFERROR(VLOOKUP(SUBSTITUTE(SUBSTITUTE(SUBSTITUTE(IFERROR(INDEX('DADOS_FORMAS'!$AS$2:$AS$21,MATCH(SUBSTITUTE(SUBSTITUTE(SUBSTITUTE($MU102,"~","~~"),"*","~*"),"?","~?"),'DADOS_FORMAS'!$AH$2:$AH$21,0)),""),"~","~~"),"*","~*"),"?","~?"),'DADOS_RESTRICOES'!$M$2:$Q$54,2,FALSE),"")="Tudo ou Nada",$OH102=0),"Tudo ou Nada exige TR",""),IF(AND(IFERROR(VLOOKUP(SUBSTITUTE(SUBSTITUTE(SUBSTITUTE(IFERROR(INDEX('DADOS_FORMAS'!$AS$2:$AS$21,MATCH(SUBSTITUTE(SUBSTITUTE(SUBSTITUTE($MU102,"~","~~"),"*","~*"),"?","~?"),'DADOS_FORMAS'!$AH$2:$AH$21,0)),""),"~","~~"),"*","~*"),"?","~?"),'DADOS_RESTRICOES'!$M$2:$Q$54,2,FALSE),"")="Corpo a Corpo",OR($RO102="Cone",$RO102="Linha")),"Corpo a Corpo não entra em Cone/Linha","")))</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dela",IF(COUNTIF($RQ102:$RS102,"Atrasar")&gt;0,"Sua Ação Completa",IF(COUNTIF($RK102:$RN102,"Rápido")&gt;0,"Sua Bônus",IF(COUNTIF($RK102:$RN102,"Reação")&gt;0,"Sua Reação","Sua Padrão")))&amp;" + a básica dela"&amp;IF(COUNTIF($RK102:$RN102,"Reação")&gt;0," e a coletiva","")&amp;IF(COUNTIF($RQ102:$RS102,"Carregar")&gt;0," · em dois turnos","")))</f>
        <v/>
      </c>
      <c r="QC102" s="161">
        <f>IF($MW102&lt;&gt;"",$MW102,IF($NJ102=0,"",INDEX('DADOS_FORMAS'!$GE$2:$GE$21,$NJ102)))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IF($NJ102=0,0,CHOOSE(1+INDEX('DADOS_FORMAS'!$GG$2:$GG$21,$NJ102),0,$QF102,$QG102,$QF102+$QG102))</f>
        <v/>
      </c>
      <c r="QI102" s="161">
        <f>IF($NJ102=0,0,CHOOSE(1+INDEX('DADOS_FORMAS'!$GH$2:$GH$21,$NJ102),0,$QF102,$QG102,$QF102+$QG102))</f>
        <v/>
      </c>
      <c r="QJ102" s="161">
        <f>IF(OR($ND102=0,$NJ102=0),"",INDEX('DADOS_FORMAS'!$HU$2:$HZ$81,($NJ102-1)*4+IF($MS102=0,1,IF($MS102&lt;=5,2,IF($MS102=6,3,4))),1+MIN(5,$QH102))&amp;INDEX('DADOS_FORMAS'!$IA$2:$IF$81,($NJ102-1)*4+IF($MS102=0,1,IF($MS102&lt;=5,2,IF($MS102=6,3,4))),1+MIN(5,$QI102))&amp;IF(INDEX('DADOS_FORMAS'!$GI$2:$GI$21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c r="RO102">
        <f>IFERROR(INDEX('DADOS_FORMAS'!$BJ$2:$BJ$21,MATCH(SUBSTITUTE(SUBSTITUTE(SUBSTITUTE($MU102,"~","~~"),"*","~*"),"?","~?"),'DADOS_FORMAS'!$AH$2:$AH$21,0)),"")</f>
        <v/>
      </c>
      <c r="RP102">
        <f>IFERROR(VLOOKUP(SUBSTITUTE(SUBSTITUTE(SUBSTITUTE(IFERROR(INDEX('DADOS_FORMAS'!$AS$2:$AS$21,MATCH(SUBSTITUTE(SUBSTITUTE(SUBSTITUTE($MU102,"~","~~"),"*","~*"),"?","~?"),'DADOS_FORMAS'!$AH$2:$AH$21,0)),""),"~","~~"),"*","~*"),"?","~?"),'DADOS_RESTRICOES'!$M$2:$Q$54,2,FALSE),"")</f>
        <v/>
      </c>
      <c r="RQ102">
        <f>$OK102</f>
        <v/>
      </c>
      <c r="RR102">
        <f>$OL102</f>
        <v/>
      </c>
      <c r="RS102">
        <f>$RP102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IFERROR(MATCH(SUBSTITUTE(SUBSTITUTE(SUBSTITUTE($MU103,"~","~~"),"*","~*"),"?","~?"),'DADOS_FORMAS'!$FZ$2:$FZ$21,0),0)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IF($MS103=0,0,IF($NJ103=0,0,INDEX('DADOS_FORMAS'!$GB$2:$GB$21,$NJ103)))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IF($NJ103=0,0,IF(INDEX('DADOS_FORMAS'!$GA$2:$GA$21,$NJ103)="",0,IF((COUNTIF(INDEX($EL$2:$EP$13,$MO103,0),INDEX('DADOS_FORMAS'!$GA$2:$GA$21,$NJ103))+COUNTIF(INDEX($QV$2:$QY$13,$MO103,0),INDEX('DADOS_FORMAS'!$GA$2:$GA$21,$NJ103)))=0,1,0)))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IFERROR(N(AND(INDEX('DADOS_FORMAS'!$AO$2:$AO$21,MATCH(SUBSTITUTE(SUBSTITUTE(SUBSTITUTE($MU103,"~","~~"),"*","~*"),"?","~?"),'DADOS_FORMAS'!$AH$2:$AH$21,0))="Acerto",$OH103=1)),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IF($NJ103=0,0,INDEX('DADOS_FORMAS'!$GC$2:$GC$21,$NJ103))</f>
        <v/>
      </c>
      <c r="OG103" s="161">
        <f>IF($NJ103=0,0,INDEX('DADOS_FORMAS'!$GD$2:$GD$21,$NJ103))</f>
        <v/>
      </c>
      <c r="OH103" s="161">
        <f>IF($NJ103=0,0,INDEX('DADOS_FORMAS'!$GF$2:$GF$21,$NJ103))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IF(IFERROR(INDEX('DADOS_FORMAS'!$AS$2:$AS$21,MATCH(SUBSTITUTE(SUBSTITUTE(SUBSTITUTE($MU103,"~","~~"),"*","~*"),"?","~?"),'DADOS_FORMAS'!$AH$2:$AH$21,0)),"")="",0,IFERROR(N(VLOOKUP(SUBSTITUTE(SUBSTITUTE(SUBSTITUTE(IFERROR(INDEX('DADOS_FORMAS'!$AS$2:$AS$21,MATCH(SUBSTITUTE(SUBSTITUTE(SUBSTITUTE($MU103,"~","~~"),"*","~*"),"?","~?"),'DADOS_FORMAS'!$AH$2:$AH$21,0)),""),"~","~~"),"*","~*"),"?","~?"),'DADOS_RESTRICOES'!$M$2:$Q$54,3,FALSE)=1),0))</f>
        <v/>
      </c>
      <c r="OT103" s="161">
        <f>COUNTIF($OI103:$OJ103,2)+IF(IFERROR(INDEX('DADOS_FORMAS'!$AS$2:$AS$21,MATCH(SUBSTITUTE(SUBSTITUTE(SUBSTITUTE($MU103,"~","~~"),"*","~*"),"?","~?"),'DADOS_FORMAS'!$AH$2:$AH$21,0)),"")="",0,IFERROR(N(VLOOKUP(SUBSTITUTE(SUBSTITUTE(SUBSTITUTE(IFERROR(INDEX('DADOS_FORMAS'!$AS$2:$AS$21,MATCH(SUBSTITUTE(SUBSTITUTE(SUBSTITUTE($MU103,"~","~~"),"*","~*"),"?","~?"),'DADOS_FORMAS'!$AH$2:$AH$21,0)),""),"~","~~"),"*","~*"),"?","~?"),'DADOS_RESTRICOES'!$M$2:$Q$54,3,FALSE)=2),0))</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",TRUE,IF($ND103=0,"",TEXTJOIN(" · ",TRUE,IF($MQ103&gt;$NE103,"Este lugar abre no nível "&amp;$MQ103,""),IF($MS103&gt;$NF103,"Classe "&amp;$MS103&amp;": o nível "&amp;$NE103&amp;" libera até a "&amp;$NF103,""),IF($NX103=1,"A Forma "&amp;$MU103&amp;" pede "&amp;INDEX('DADOS_FORMAS'!$GA$2:$GA$21,$NJ103)&amp;" aberta",""),IF(AND($MS103=0,$NJ103&gt;0,IF($NJ103=0,0,INDEX('DADOS_FORMAS'!$GJ$2:$GJ$21,$NJ103))=0),$MU103&amp;"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Corpo")&gt;0,$OF103=0,OR($RO103="Cone",$RO103="Linha")),"Corpo a Corpo não entra em "&amp;$MU103,""),IF(AND(COUNTIF($OK103:$OL103,"Corpo a Corpo")&gt;0,$RP103="Corpo a Corpo"),"A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"&amp;$NC103,""))),IF(AND($MU103&lt;&gt;"",COUNTIF('DADOS_FORMAS'!$AH$2:$AH$21,SUBSTITUTE(SUBSTITUTE(SUBSTITUTE($MU103,"~","~~"),"*","~*"),"?","~?"))=0),"Forma não cadastrada ou com erro: "&amp;$MU103,""),IF(AND(IFERROR(INDEX('DADOS_FORMAS'!$AS$2:$AS$21,MATCH(SUBSTITUTE(SUBSTITUTE(SUBSTITUTE($MU103,"~","~~"),"*","~*"),"?","~?"),'DADOS_FORMAS'!$AH$2:$AH$21,0)),"")&lt;&gt;"",OR(IFERROR(VLOOKUP(SUBSTITUTE(SUBSTITUTE(SUBSTITUTE(IFERROR(INDEX('DADOS_FORMAS'!$AS$2:$AS$21,MATCH(SUBSTITUTE(SUBSTITUTE(SUBSTITUTE($MU103,"~","~~"),"*","~*"),"?","~?"),'DADOS_FORMAS'!$AH$2:$AH$21,0)),""),"~","~~"),"*","~*"),"?","~?"),'DADOS_RESTRICOES'!$M$2:$Q$54,2,FALSE),"")=$OK103,IFERROR(VLOOKUP(SUBSTITUTE(SUBSTITUTE(SUBSTITUTE(IFERROR(INDEX('DADOS_FORMAS'!$AS$2:$AS$21,MATCH(SUBSTITUTE(SUBSTITUTE(SUBSTITUTE($MU103,"~","~~"),"*","~*"),"?","~?"),'DADOS_FORMAS'!$AH$2:$AH$21,0)),""),"~","~~"),"*","~*"),"?","~?"),'DADOS_RESTRICOES'!$M$2:$Q$54,2,FALSE),"")=$OL103)),"Restrição repetida, contando a embutida",""),IF(IF(IFERROR(INDEX('DADOS_FORMAS'!$AS$2:$AS$21,MATCH(SUBSTITUTE(SUBSTITUTE(SUBSTITUTE($MU103,"~","~~"),"*","~*"),"?","~?"),'DADOS_FORMAS'!$AH$2:$AH$21,0)),"")="",0,IFERROR(N(VLOOKUP(SUBSTITUTE(SUBSTITUTE(SUBSTITUTE(IFERROR(INDEX('DADOS_FORMAS'!$AS$2:$AS$21,MATCH(SUBSTITUTE(SUBSTITUTE(SUBSTITUTE($MU103,"~","~~"),"*","~*"),"?","~?"),'DADOS_FORMAS'!$AH$2:$AH$21,0)),""),"~","~~"),"*","~*"),"?","~?"),'DADOS_RESTRICOES'!$M$2:$Q$54,4,FALSE)=1),0))+IF($NB103="",0,IFERROR(N(VLOOKUP(SUBSTITUTE(SUBSTITUTE(SUBSTITUTE($NB103,"~","~~"),"*","~*"),"?","~?"),'DADOS_RESTRICOES'!$M$2:$Q$54,4,FALSE)=1),0))+IF($NC103="",0,IFERROR(N(VLOOKUP(SUBSTITUTE(SUBSTITUTE(SUBSTITUTE($NC103,"~","~~"),"*","~*"),"?","~?"),'DADOS_RESTRICOES'!$M$2:$Q$54,4,FALSE)=1),0))&gt;1,"Duas Restrições de frequência, contando a embutida",""),IF(AND(IFERROR(VLOOKUP(SUBSTITUTE(SUBSTITUTE(SUBSTITUTE(IFERROR(INDEX('DADOS_FORMAS'!$AS$2:$AS$21,MATCH(SUBSTITUTE(SUBSTITUTE(SUBSTITUTE($MU103,"~","~~"),"*","~*"),"?","~?"),'DADOS_FORMAS'!$AH$2:$AH$21,0)),""),"~","~~"),"*","~*"),"?","~?"),'DADOS_RESTRICOES'!$M$2:$Q$54,2,FALSE),"")="Tudo ou Nada",$OH103=0),"Tudo ou Nada exige TR",""),IF(AND(IFERROR(VLOOKUP(SUBSTITUTE(SUBSTITUTE(SUBSTITUTE(IFERROR(INDEX('DADOS_FORMAS'!$AS$2:$AS$21,MATCH(SUBSTITUTE(SUBSTITUTE(SUBSTITUTE($MU103,"~","~~"),"*","~*"),"?","~?"),'DADOS_FORMAS'!$AH$2:$AH$21,0)),""),"~","~~"),"*","~*"),"?","~?"),'DADOS_RESTRICOES'!$M$2:$Q$54,2,FALSE),"")="Corpo a Corpo",OR($RO103="Cone",$RO103="Linha")),"Corpo a Corpo não entra em Cone/Linha","")))</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dela",IF(COUNTIF($RQ103:$RS103,"Atrasar")&gt;0,"Sua Ação Completa",IF(COUNTIF($RK103:$RN103,"Rápido")&gt;0,"Sua Bônus",IF(COUNTIF($RK103:$RN103,"Reação")&gt;0,"Sua Reação","Sua Padrão")))&amp;" + a básica dela"&amp;IF(COUNTIF($RK103:$RN103,"Reação")&gt;0," e a coletiva","")&amp;IF(COUNTIF($RQ103:$RS103,"Carregar")&gt;0," · em dois turnos","")))</f>
        <v/>
      </c>
      <c r="QC103" s="161">
        <f>IF($MW103&lt;&gt;"",$MW103,IF($NJ103=0,"",INDEX('DADOS_FORMAS'!$GE$2:$GE$21,$NJ103)))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IF($NJ103=0,0,CHOOSE(1+INDEX('DADOS_FORMAS'!$GG$2:$GG$21,$NJ103),0,$QF103,$QG103,$QF103+$QG103))</f>
        <v/>
      </c>
      <c r="QI103" s="161">
        <f>IF($NJ103=0,0,CHOOSE(1+INDEX('DADOS_FORMAS'!$GH$2:$GH$21,$NJ103),0,$QF103,$QG103,$QF103+$QG103))</f>
        <v/>
      </c>
      <c r="QJ103" s="161">
        <f>IF(OR($ND103=0,$NJ103=0),"",INDEX('DADOS_FORMAS'!$HU$2:$HZ$81,($NJ103-1)*4+IF($MS103=0,1,IF($MS103&lt;=5,2,IF($MS103=6,3,4))),1+MIN(5,$QH103))&amp;INDEX('DADOS_FORMAS'!$IA$2:$IF$81,($NJ103-1)*4+IF($MS103=0,1,IF($MS103&lt;=5,2,IF($MS103=6,3,4))),1+MIN(5,$QI103))&amp;IF(INDEX('DADOS_FORMAS'!$GI$2:$GI$21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c r="RO103">
        <f>IFERROR(INDEX('DADOS_FORMAS'!$BJ$2:$BJ$21,MATCH(SUBSTITUTE(SUBSTITUTE(SUBSTITUTE($MU103,"~","~~"),"*","~*"),"?","~?"),'DADOS_FORMAS'!$AH$2:$AH$21,0)),"")</f>
        <v/>
      </c>
      <c r="RP103">
        <f>IFERROR(VLOOKUP(SUBSTITUTE(SUBSTITUTE(SUBSTITUTE(IFERROR(INDEX('DADOS_FORMAS'!$AS$2:$AS$21,MATCH(SUBSTITUTE(SUBSTITUTE(SUBSTITUTE($MU103,"~","~~"),"*","~*"),"?","~?"),'DADOS_FORMAS'!$AH$2:$AH$21,0)),""),"~","~~"),"*","~*"),"?","~?"),'DADOS_RESTRICOES'!$M$2:$Q$54,2,FALSE),"")</f>
        <v/>
      </c>
      <c r="RQ103">
        <f>$OK103</f>
        <v/>
      </c>
      <c r="RR103">
        <f>$OL103</f>
        <v/>
      </c>
      <c r="RS103">
        <f>$RP103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IFERROR(MATCH(SUBSTITUTE(SUBSTITUTE(SUBSTITUTE($MU104,"~","~~"),"*","~*"),"?","~?"),'DADOS_FORMAS'!$FZ$2:$FZ$21,0),0)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IF($MS104=0,0,IF($NJ104=0,0,INDEX('DADOS_FORMAS'!$GB$2:$GB$21,$NJ104)))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IF($NJ104=0,0,IF(INDEX('DADOS_FORMAS'!$GA$2:$GA$21,$NJ104)="",0,IF((COUNTIF(INDEX($EL$2:$EP$13,$MO104,0),INDEX('DADOS_FORMAS'!$GA$2:$GA$21,$NJ104))+COUNTIF(INDEX($QV$2:$QY$13,$MO104,0),INDEX('DADOS_FORMAS'!$GA$2:$GA$21,$NJ104)))=0,1,0)))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IFERROR(N(AND(INDEX('DADOS_FORMAS'!$AO$2:$AO$21,MATCH(SUBSTITUTE(SUBSTITUTE(SUBSTITUTE($MU104,"~","~~"),"*","~*"),"?","~?"),'DADOS_FORMAS'!$AH$2:$AH$21,0))="Acerto",$OH104=1)),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IF($NJ104=0,0,INDEX('DADOS_FORMAS'!$GC$2:$GC$21,$NJ104))</f>
        <v/>
      </c>
      <c r="OG104" s="161">
        <f>IF($NJ104=0,0,INDEX('DADOS_FORMAS'!$GD$2:$GD$21,$NJ104))</f>
        <v/>
      </c>
      <c r="OH104" s="161">
        <f>IF($NJ104=0,0,INDEX('DADOS_FORMAS'!$GF$2:$GF$21,$NJ104))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IF(IFERROR(INDEX('DADOS_FORMAS'!$AS$2:$AS$21,MATCH(SUBSTITUTE(SUBSTITUTE(SUBSTITUTE($MU104,"~","~~"),"*","~*"),"?","~?"),'DADOS_FORMAS'!$AH$2:$AH$21,0)),"")="",0,IFERROR(N(VLOOKUP(SUBSTITUTE(SUBSTITUTE(SUBSTITUTE(IFERROR(INDEX('DADOS_FORMAS'!$AS$2:$AS$21,MATCH(SUBSTITUTE(SUBSTITUTE(SUBSTITUTE($MU104,"~","~~"),"*","~*"),"?","~?"),'DADOS_FORMAS'!$AH$2:$AH$21,0)),""),"~","~~"),"*","~*"),"?","~?"),'DADOS_RESTRICOES'!$M$2:$Q$54,3,FALSE)=1),0))</f>
        <v/>
      </c>
      <c r="OT104" s="161">
        <f>COUNTIF($OI104:$OJ104,2)+IF(IFERROR(INDEX('DADOS_FORMAS'!$AS$2:$AS$21,MATCH(SUBSTITUTE(SUBSTITUTE(SUBSTITUTE($MU104,"~","~~"),"*","~*"),"?","~?"),'DADOS_FORMAS'!$AH$2:$AH$21,0)),"")="",0,IFERROR(N(VLOOKUP(SUBSTITUTE(SUBSTITUTE(SUBSTITUTE(IFERROR(INDEX('DADOS_FORMAS'!$AS$2:$AS$21,MATCH(SUBSTITUTE(SUBSTITUTE(SUBSTITUTE($MU104,"~","~~"),"*","~*"),"?","~?"),'DADOS_FORMAS'!$AH$2:$AH$21,0)),""),"~","~~"),"*","~*"),"?","~?"),'DADOS_RESTRICOES'!$M$2:$Q$54,3,FALSE)=2),0))</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",TRUE,IF($ND104=0,"",TEXTJOIN(" · ",TRUE,IF($MQ104&gt;$NE104,"Este lugar abre no nível "&amp;$MQ104,""),IF($MS104&gt;$NF104,"Classe "&amp;$MS104&amp;": o nível "&amp;$NE104&amp;" libera até a "&amp;$NF104,""),IF($NX104=1,"A Forma "&amp;$MU104&amp;" pede "&amp;INDEX('DADOS_FORMAS'!$GA$2:$GA$21,$NJ104)&amp;" aberta",""),IF(AND($MS104=0,$NJ104&gt;0,IF($NJ104=0,0,INDEX('DADOS_FORMAS'!$GJ$2:$GJ$21,$NJ104))=0),$MU104&amp;"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Corpo")&gt;0,$OF104=0,OR($RO104="Cone",$RO104="Linha")),"Corpo a Corpo não entra em "&amp;$MU104,""),IF(AND(COUNTIF($OK104:$OL104,"Corpo a Corpo")&gt;0,$RP104="Corpo a Corpo"),"A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"&amp;$NC104,""))),IF(AND($MU104&lt;&gt;"",COUNTIF('DADOS_FORMAS'!$AH$2:$AH$21,SUBSTITUTE(SUBSTITUTE(SUBSTITUTE($MU104,"~","~~"),"*","~*"),"?","~?"))=0),"Forma não cadastrada ou com erro: "&amp;$MU104,""),IF(AND(IFERROR(INDEX('DADOS_FORMAS'!$AS$2:$AS$21,MATCH(SUBSTITUTE(SUBSTITUTE(SUBSTITUTE($MU104,"~","~~"),"*","~*"),"?","~?"),'DADOS_FORMAS'!$AH$2:$AH$21,0)),"")&lt;&gt;"",OR(IFERROR(VLOOKUP(SUBSTITUTE(SUBSTITUTE(SUBSTITUTE(IFERROR(INDEX('DADOS_FORMAS'!$AS$2:$AS$21,MATCH(SUBSTITUTE(SUBSTITUTE(SUBSTITUTE($MU104,"~","~~"),"*","~*"),"?","~?"),'DADOS_FORMAS'!$AH$2:$AH$21,0)),""),"~","~~"),"*","~*"),"?","~?"),'DADOS_RESTRICOES'!$M$2:$Q$54,2,FALSE),"")=$OK104,IFERROR(VLOOKUP(SUBSTITUTE(SUBSTITUTE(SUBSTITUTE(IFERROR(INDEX('DADOS_FORMAS'!$AS$2:$AS$21,MATCH(SUBSTITUTE(SUBSTITUTE(SUBSTITUTE($MU104,"~","~~"),"*","~*"),"?","~?"),'DADOS_FORMAS'!$AH$2:$AH$21,0)),""),"~","~~"),"*","~*"),"?","~?"),'DADOS_RESTRICOES'!$M$2:$Q$54,2,FALSE),"")=$OL104)),"Restrição repetida, contando a embutida",""),IF(IF(IFERROR(INDEX('DADOS_FORMAS'!$AS$2:$AS$21,MATCH(SUBSTITUTE(SUBSTITUTE(SUBSTITUTE($MU104,"~","~~"),"*","~*"),"?","~?"),'DADOS_FORMAS'!$AH$2:$AH$21,0)),"")="",0,IFERROR(N(VLOOKUP(SUBSTITUTE(SUBSTITUTE(SUBSTITUTE(IFERROR(INDEX('DADOS_FORMAS'!$AS$2:$AS$21,MATCH(SUBSTITUTE(SUBSTITUTE(SUBSTITUTE($MU104,"~","~~"),"*","~*"),"?","~?"),'DADOS_FORMAS'!$AH$2:$AH$21,0)),""),"~","~~"),"*","~*"),"?","~?"),'DADOS_RESTRICOES'!$M$2:$Q$54,4,FALSE)=1),0))+IF($NB104="",0,IFERROR(N(VLOOKUP(SUBSTITUTE(SUBSTITUTE(SUBSTITUTE($NB104,"~","~~"),"*","~*"),"?","~?"),'DADOS_RESTRICOES'!$M$2:$Q$54,4,FALSE)=1),0))+IF($NC104="",0,IFERROR(N(VLOOKUP(SUBSTITUTE(SUBSTITUTE(SUBSTITUTE($NC104,"~","~~"),"*","~*"),"?","~?"),'DADOS_RESTRICOES'!$M$2:$Q$54,4,FALSE)=1),0))&gt;1,"Duas Restrições de frequência, contando a embutida",""),IF(AND(IFERROR(VLOOKUP(SUBSTITUTE(SUBSTITUTE(SUBSTITUTE(IFERROR(INDEX('DADOS_FORMAS'!$AS$2:$AS$21,MATCH(SUBSTITUTE(SUBSTITUTE(SUBSTITUTE($MU104,"~","~~"),"*","~*"),"?","~?"),'DADOS_FORMAS'!$AH$2:$AH$21,0)),""),"~","~~"),"*","~*"),"?","~?"),'DADOS_RESTRICOES'!$M$2:$Q$54,2,FALSE),"")="Tudo ou Nada",$OH104=0),"Tudo ou Nada exige TR",""),IF(AND(IFERROR(VLOOKUP(SUBSTITUTE(SUBSTITUTE(SUBSTITUTE(IFERROR(INDEX('DADOS_FORMAS'!$AS$2:$AS$21,MATCH(SUBSTITUTE(SUBSTITUTE(SUBSTITUTE($MU104,"~","~~"),"*","~*"),"?","~?"),'DADOS_FORMAS'!$AH$2:$AH$21,0)),""),"~","~~"),"*","~*"),"?","~?"),'DADOS_RESTRICOES'!$M$2:$Q$54,2,FALSE),"")="Corpo a Corpo",OR($RO104="Cone",$RO104="Linha")),"Corpo a Corpo não entra em Cone/Linha","")))</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dela",IF(COUNTIF($RQ104:$RS104,"Atrasar")&gt;0,"Sua Ação Completa",IF(COUNTIF($RK104:$RN104,"Rápido")&gt;0,"Sua Bônus",IF(COUNTIF($RK104:$RN104,"Reação")&gt;0,"Sua Reação","Sua Padrão")))&amp;" + a básica dela"&amp;IF(COUNTIF($RK104:$RN104,"Reação")&gt;0," e a coletiva","")&amp;IF(COUNTIF($RQ104:$RS104,"Carregar")&gt;0," · em dois turnos","")))</f>
        <v/>
      </c>
      <c r="QC104" s="161">
        <f>IF($MW104&lt;&gt;"",$MW104,IF($NJ104=0,"",INDEX('DADOS_FORMAS'!$GE$2:$GE$21,$NJ104)))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IF($NJ104=0,0,CHOOSE(1+INDEX('DADOS_FORMAS'!$GG$2:$GG$21,$NJ104),0,$QF104,$QG104,$QF104+$QG104))</f>
        <v/>
      </c>
      <c r="QI104" s="161">
        <f>IF($NJ104=0,0,CHOOSE(1+INDEX('DADOS_FORMAS'!$GH$2:$GH$21,$NJ104),0,$QF104,$QG104,$QF104+$QG104))</f>
        <v/>
      </c>
      <c r="QJ104" s="161">
        <f>IF(OR($ND104=0,$NJ104=0),"",INDEX('DADOS_FORMAS'!$HU$2:$HZ$81,($NJ104-1)*4+IF($MS104=0,1,IF($MS104&lt;=5,2,IF($MS104=6,3,4))),1+MIN(5,$QH104))&amp;INDEX('DADOS_FORMAS'!$IA$2:$IF$81,($NJ104-1)*4+IF($MS104=0,1,IF($MS104&lt;=5,2,IF($MS104=6,3,4))),1+MIN(5,$QI104))&amp;IF(INDEX('DADOS_FORMAS'!$GI$2:$GI$21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c r="RO104">
        <f>IFERROR(INDEX('DADOS_FORMAS'!$BJ$2:$BJ$21,MATCH(SUBSTITUTE(SUBSTITUTE(SUBSTITUTE($MU104,"~","~~"),"*","~*"),"?","~?"),'DADOS_FORMAS'!$AH$2:$AH$21,0)),"")</f>
        <v/>
      </c>
      <c r="RP104">
        <f>IFERROR(VLOOKUP(SUBSTITUTE(SUBSTITUTE(SUBSTITUTE(IFERROR(INDEX('DADOS_FORMAS'!$AS$2:$AS$21,MATCH(SUBSTITUTE(SUBSTITUTE(SUBSTITUTE($MU104,"~","~~"),"*","~*"),"?","~?"),'DADOS_FORMAS'!$AH$2:$AH$21,0)),""),"~","~~"),"*","~*"),"?","~?"),'DADOS_RESTRICOES'!$M$2:$Q$54,2,FALSE),"")</f>
        <v/>
      </c>
      <c r="RQ104">
        <f>$OK104</f>
        <v/>
      </c>
      <c r="RR104">
        <f>$OL104</f>
        <v/>
      </c>
      <c r="RS104">
        <f>$RP104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IFERROR(MATCH(SUBSTITUTE(SUBSTITUTE(SUBSTITUTE($MU105,"~","~~"),"*","~*"),"?","~?"),'DADOS_FORMAS'!$FZ$2:$FZ$21,0),0)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IF($MS105=0,0,IF($NJ105=0,0,INDEX('DADOS_FORMAS'!$GB$2:$GB$21,$NJ105)))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IF($NJ105=0,0,IF(INDEX('DADOS_FORMAS'!$GA$2:$GA$21,$NJ105)="",0,IF((COUNTIF(INDEX($EL$2:$EP$13,$MO105,0),INDEX('DADOS_FORMAS'!$GA$2:$GA$21,$NJ105))+COUNTIF(INDEX($QV$2:$QY$13,$MO105,0),INDEX('DADOS_FORMAS'!$GA$2:$GA$21,$NJ105)))=0,1,0)))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IFERROR(N(AND(INDEX('DADOS_FORMAS'!$AO$2:$AO$21,MATCH(SUBSTITUTE(SUBSTITUTE(SUBSTITUTE($MU105,"~","~~"),"*","~*"),"?","~?"),'DADOS_FORMAS'!$AH$2:$AH$21,0))="Acerto",$OH105=1)),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IF($NJ105=0,0,INDEX('DADOS_FORMAS'!$GC$2:$GC$21,$NJ105))</f>
        <v/>
      </c>
      <c r="OG105" s="161">
        <f>IF($NJ105=0,0,INDEX('DADOS_FORMAS'!$GD$2:$GD$21,$NJ105))</f>
        <v/>
      </c>
      <c r="OH105" s="161">
        <f>IF($NJ105=0,0,INDEX('DADOS_FORMAS'!$GF$2:$GF$21,$NJ105))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IF(IFERROR(INDEX('DADOS_FORMAS'!$AS$2:$AS$21,MATCH(SUBSTITUTE(SUBSTITUTE(SUBSTITUTE($MU105,"~","~~"),"*","~*"),"?","~?"),'DADOS_FORMAS'!$AH$2:$AH$21,0)),"")="",0,IFERROR(N(VLOOKUP(SUBSTITUTE(SUBSTITUTE(SUBSTITUTE(IFERROR(INDEX('DADOS_FORMAS'!$AS$2:$AS$21,MATCH(SUBSTITUTE(SUBSTITUTE(SUBSTITUTE($MU105,"~","~~"),"*","~*"),"?","~?"),'DADOS_FORMAS'!$AH$2:$AH$21,0)),""),"~","~~"),"*","~*"),"?","~?"),'DADOS_RESTRICOES'!$M$2:$Q$54,3,FALSE)=1),0))</f>
        <v/>
      </c>
      <c r="OT105" s="161">
        <f>COUNTIF($OI105:$OJ105,2)+IF(IFERROR(INDEX('DADOS_FORMAS'!$AS$2:$AS$21,MATCH(SUBSTITUTE(SUBSTITUTE(SUBSTITUTE($MU105,"~","~~"),"*","~*"),"?","~?"),'DADOS_FORMAS'!$AH$2:$AH$21,0)),"")="",0,IFERROR(N(VLOOKUP(SUBSTITUTE(SUBSTITUTE(SUBSTITUTE(IFERROR(INDEX('DADOS_FORMAS'!$AS$2:$AS$21,MATCH(SUBSTITUTE(SUBSTITUTE(SUBSTITUTE($MU105,"~","~~"),"*","~*"),"?","~?"),'DADOS_FORMAS'!$AH$2:$AH$21,0)),""),"~","~~"),"*","~*"),"?","~?"),'DADOS_RESTRICOES'!$M$2:$Q$54,3,FALSE)=2),0))</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",TRUE,IF($ND105=0,"",TEXTJOIN(" · ",TRUE,IF($MQ105&gt;$NE105,"Este lugar abre no nível "&amp;$MQ105,""),IF($MS105&gt;$NF105,"Classe "&amp;$MS105&amp;": o nível "&amp;$NE105&amp;" libera até a "&amp;$NF105,""),IF($NX105=1,"A Forma "&amp;$MU105&amp;" pede "&amp;INDEX('DADOS_FORMAS'!$GA$2:$GA$21,$NJ105)&amp;" aberta",""),IF(AND($MS105=0,$NJ105&gt;0,IF($NJ105=0,0,INDEX('DADOS_FORMAS'!$GJ$2:$GJ$21,$NJ105))=0),$MU105&amp;"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Corpo")&gt;0,$OF105=0,OR($RO105="Cone",$RO105="Linha")),"Corpo a Corpo não entra em "&amp;$MU105,""),IF(AND(COUNTIF($OK105:$OL105,"Corpo a Corpo")&gt;0,$RP105="Corpo a Corpo"),"A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"&amp;$NC105,""))),IF(AND($MU105&lt;&gt;"",COUNTIF('DADOS_FORMAS'!$AH$2:$AH$21,SUBSTITUTE(SUBSTITUTE(SUBSTITUTE($MU105,"~","~~"),"*","~*"),"?","~?"))=0),"Forma não cadastrada ou com erro: "&amp;$MU105,""),IF(AND(IFERROR(INDEX('DADOS_FORMAS'!$AS$2:$AS$21,MATCH(SUBSTITUTE(SUBSTITUTE(SUBSTITUTE($MU105,"~","~~"),"*","~*"),"?","~?"),'DADOS_FORMAS'!$AH$2:$AH$21,0)),"")&lt;&gt;"",OR(IFERROR(VLOOKUP(SUBSTITUTE(SUBSTITUTE(SUBSTITUTE(IFERROR(INDEX('DADOS_FORMAS'!$AS$2:$AS$21,MATCH(SUBSTITUTE(SUBSTITUTE(SUBSTITUTE($MU105,"~","~~"),"*","~*"),"?","~?"),'DADOS_FORMAS'!$AH$2:$AH$21,0)),""),"~","~~"),"*","~*"),"?","~?"),'DADOS_RESTRICOES'!$M$2:$Q$54,2,FALSE),"")=$OK105,IFERROR(VLOOKUP(SUBSTITUTE(SUBSTITUTE(SUBSTITUTE(IFERROR(INDEX('DADOS_FORMAS'!$AS$2:$AS$21,MATCH(SUBSTITUTE(SUBSTITUTE(SUBSTITUTE($MU105,"~","~~"),"*","~*"),"?","~?"),'DADOS_FORMAS'!$AH$2:$AH$21,0)),""),"~","~~"),"*","~*"),"?","~?"),'DADOS_RESTRICOES'!$M$2:$Q$54,2,FALSE),"")=$OL105)),"Restrição repetida, contando a embutida",""),IF(IF(IFERROR(INDEX('DADOS_FORMAS'!$AS$2:$AS$21,MATCH(SUBSTITUTE(SUBSTITUTE(SUBSTITUTE($MU105,"~","~~"),"*","~*"),"?","~?"),'DADOS_FORMAS'!$AH$2:$AH$21,0)),"")="",0,IFERROR(N(VLOOKUP(SUBSTITUTE(SUBSTITUTE(SUBSTITUTE(IFERROR(INDEX('DADOS_FORMAS'!$AS$2:$AS$21,MATCH(SUBSTITUTE(SUBSTITUTE(SUBSTITUTE($MU105,"~","~~"),"*","~*"),"?","~?"),'DADOS_FORMAS'!$AH$2:$AH$21,0)),""),"~","~~"),"*","~*"),"?","~?"),'DADOS_RESTRICOES'!$M$2:$Q$54,4,FALSE)=1),0))+IF($NB105="",0,IFERROR(N(VLOOKUP(SUBSTITUTE(SUBSTITUTE(SUBSTITUTE($NB105,"~","~~"),"*","~*"),"?","~?"),'DADOS_RESTRICOES'!$M$2:$Q$54,4,FALSE)=1),0))+IF($NC105="",0,IFERROR(N(VLOOKUP(SUBSTITUTE(SUBSTITUTE(SUBSTITUTE($NC105,"~","~~"),"*","~*"),"?","~?"),'DADOS_RESTRICOES'!$M$2:$Q$54,4,FALSE)=1),0))&gt;1,"Duas Restrições de frequência, contando a embutida",""),IF(AND(IFERROR(VLOOKUP(SUBSTITUTE(SUBSTITUTE(SUBSTITUTE(IFERROR(INDEX('DADOS_FORMAS'!$AS$2:$AS$21,MATCH(SUBSTITUTE(SUBSTITUTE(SUBSTITUTE($MU105,"~","~~"),"*","~*"),"?","~?"),'DADOS_FORMAS'!$AH$2:$AH$21,0)),""),"~","~~"),"*","~*"),"?","~?"),'DADOS_RESTRICOES'!$M$2:$Q$54,2,FALSE),"")="Tudo ou Nada",$OH105=0),"Tudo ou Nada exige TR",""),IF(AND(IFERROR(VLOOKUP(SUBSTITUTE(SUBSTITUTE(SUBSTITUTE(IFERROR(INDEX('DADOS_FORMAS'!$AS$2:$AS$21,MATCH(SUBSTITUTE(SUBSTITUTE(SUBSTITUTE($MU105,"~","~~"),"*","~*"),"?","~?"),'DADOS_FORMAS'!$AH$2:$AH$21,0)),""),"~","~~"),"*","~*"),"?","~?"),'DADOS_RESTRICOES'!$M$2:$Q$54,2,FALSE),"")="Corpo a Corpo",OR($RO105="Cone",$RO105="Linha")),"Corpo a Corpo não entra em Cone/Linha","")))</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dela",IF(COUNTIF($RQ105:$RS105,"Atrasar")&gt;0,"Sua Ação Completa",IF(COUNTIF($RK105:$RN105,"Rápido")&gt;0,"Sua Bônus",IF(COUNTIF($RK105:$RN105,"Reação")&gt;0,"Sua Reação","Sua Padrão")))&amp;" + a básica dela"&amp;IF(COUNTIF($RK105:$RN105,"Reação")&gt;0," e a coletiva","")&amp;IF(COUNTIF($RQ105:$RS105,"Carregar")&gt;0," · em dois turnos","")))</f>
        <v/>
      </c>
      <c r="QC105" s="161">
        <f>IF($MW105&lt;&gt;"",$MW105,IF($NJ105=0,"",INDEX('DADOS_FORMAS'!$GE$2:$GE$21,$NJ105)))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IF($NJ105=0,0,CHOOSE(1+INDEX('DADOS_FORMAS'!$GG$2:$GG$21,$NJ105),0,$QF105,$QG105,$QF105+$QG105))</f>
        <v/>
      </c>
      <c r="QI105" s="161">
        <f>IF($NJ105=0,0,CHOOSE(1+INDEX('DADOS_FORMAS'!$GH$2:$GH$21,$NJ105),0,$QF105,$QG105,$QF105+$QG105))</f>
        <v/>
      </c>
      <c r="QJ105" s="161">
        <f>IF(OR($ND105=0,$NJ105=0),"",INDEX('DADOS_FORMAS'!$HU$2:$HZ$81,($NJ105-1)*4+IF($MS105=0,1,IF($MS105&lt;=5,2,IF($MS105=6,3,4))),1+MIN(5,$QH105))&amp;INDEX('DADOS_FORMAS'!$IA$2:$IF$81,($NJ105-1)*4+IF($MS105=0,1,IF($MS105&lt;=5,2,IF($MS105=6,3,4))),1+MIN(5,$QI105))&amp;IF(INDEX('DADOS_FORMAS'!$GI$2:$GI$21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c r="RO105">
        <f>IFERROR(INDEX('DADOS_FORMAS'!$BJ$2:$BJ$21,MATCH(SUBSTITUTE(SUBSTITUTE(SUBSTITUTE($MU105,"~","~~"),"*","~*"),"?","~?"),'DADOS_FORMAS'!$AH$2:$AH$21,0)),"")</f>
        <v/>
      </c>
      <c r="RP105">
        <f>IFERROR(VLOOKUP(SUBSTITUTE(SUBSTITUTE(SUBSTITUTE(IFERROR(INDEX('DADOS_FORMAS'!$AS$2:$AS$21,MATCH(SUBSTITUTE(SUBSTITUTE(SUBSTITUTE($MU105,"~","~~"),"*","~*"),"?","~?"),'DADOS_FORMAS'!$AH$2:$AH$21,0)),""),"~","~~"),"*","~*"),"?","~?"),'DADOS_RESTRICOES'!$M$2:$Q$54,2,FALSE),"")</f>
        <v/>
      </c>
      <c r="RQ105">
        <f>$OK105</f>
        <v/>
      </c>
      <c r="RR105">
        <f>$OL105</f>
        <v/>
      </c>
      <c r="RS105">
        <f>$RP105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IFERROR(MATCH(SUBSTITUTE(SUBSTITUTE(SUBSTITUTE($MU106,"~","~~"),"*","~*"),"?","~?"),'DADOS_FORMAS'!$FZ$2:$FZ$21,0),0)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IF($MS106=0,0,IF($NJ106=0,0,INDEX('DADOS_FORMAS'!$GB$2:$GB$21,$NJ106)))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IF($NJ106=0,0,IF(INDEX('DADOS_FORMAS'!$GA$2:$GA$21,$NJ106)="",0,IF((COUNTIF(INDEX($EL$2:$EP$13,$MO106,0),INDEX('DADOS_FORMAS'!$GA$2:$GA$21,$NJ106))+COUNTIF(INDEX($QV$2:$QY$13,$MO106,0),INDEX('DADOS_FORMAS'!$GA$2:$GA$21,$NJ106)))=0,1,0)))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IFERROR(N(AND(INDEX('DADOS_FORMAS'!$AO$2:$AO$21,MATCH(SUBSTITUTE(SUBSTITUTE(SUBSTITUTE($MU106,"~","~~"),"*","~*"),"?","~?"),'DADOS_FORMAS'!$AH$2:$AH$21,0))="Acerto",$OH106=1)),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IF($NJ106=0,0,INDEX('DADOS_FORMAS'!$GC$2:$GC$21,$NJ106))</f>
        <v/>
      </c>
      <c r="OG106" s="161">
        <f>IF($NJ106=0,0,INDEX('DADOS_FORMAS'!$GD$2:$GD$21,$NJ106))</f>
        <v/>
      </c>
      <c r="OH106" s="161">
        <f>IF($NJ106=0,0,INDEX('DADOS_FORMAS'!$GF$2:$GF$21,$NJ106))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IF(IFERROR(INDEX('DADOS_FORMAS'!$AS$2:$AS$21,MATCH(SUBSTITUTE(SUBSTITUTE(SUBSTITUTE($MU106,"~","~~"),"*","~*"),"?","~?"),'DADOS_FORMAS'!$AH$2:$AH$21,0)),"")="",0,IFERROR(N(VLOOKUP(SUBSTITUTE(SUBSTITUTE(SUBSTITUTE(IFERROR(INDEX('DADOS_FORMAS'!$AS$2:$AS$21,MATCH(SUBSTITUTE(SUBSTITUTE(SUBSTITUTE($MU106,"~","~~"),"*","~*"),"?","~?"),'DADOS_FORMAS'!$AH$2:$AH$21,0)),""),"~","~~"),"*","~*"),"?","~?"),'DADOS_RESTRICOES'!$M$2:$Q$54,3,FALSE)=1),0))</f>
        <v/>
      </c>
      <c r="OT106" s="161">
        <f>COUNTIF($OI106:$OJ106,2)+IF(IFERROR(INDEX('DADOS_FORMAS'!$AS$2:$AS$21,MATCH(SUBSTITUTE(SUBSTITUTE(SUBSTITUTE($MU106,"~","~~"),"*","~*"),"?","~?"),'DADOS_FORMAS'!$AH$2:$AH$21,0)),"")="",0,IFERROR(N(VLOOKUP(SUBSTITUTE(SUBSTITUTE(SUBSTITUTE(IFERROR(INDEX('DADOS_FORMAS'!$AS$2:$AS$21,MATCH(SUBSTITUTE(SUBSTITUTE(SUBSTITUTE($MU106,"~","~~"),"*","~*"),"?","~?"),'DADOS_FORMAS'!$AH$2:$AH$21,0)),""),"~","~~"),"*","~*"),"?","~?"),'DADOS_RESTRICOES'!$M$2:$Q$54,3,FALSE)=2),0))</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",TRUE,IF($ND106=0,"",TEXTJOIN(" · ",TRUE,IF($MQ106&gt;$NE106,"Este lugar abre no nível "&amp;$MQ106,""),IF($MS106&gt;$NF106,"Classe "&amp;$MS106&amp;": o nível "&amp;$NE106&amp;" libera até a "&amp;$NF106,""),IF($NX106=1,"A Forma "&amp;$MU106&amp;" pede "&amp;INDEX('DADOS_FORMAS'!$GA$2:$GA$21,$NJ106)&amp;" aberta",""),IF(AND($MS106=0,$NJ106&gt;0,IF($NJ106=0,0,INDEX('DADOS_FORMAS'!$GJ$2:$GJ$21,$NJ106))=0),$MU106&amp;"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Corpo")&gt;0,$OF106=0,OR($RO106="Cone",$RO106="Linha")),"Corpo a Corpo não entra em "&amp;$MU106,""),IF(AND(COUNTIF($OK106:$OL106,"Corpo a Corpo")&gt;0,$RP106="Corpo a Corpo"),"A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"&amp;$NC106,""))),IF(AND($MU106&lt;&gt;"",COUNTIF('DADOS_FORMAS'!$AH$2:$AH$21,SUBSTITUTE(SUBSTITUTE(SUBSTITUTE($MU106,"~","~~"),"*","~*"),"?","~?"))=0),"Forma não cadastrada ou com erro: "&amp;$MU106,""),IF(AND(IFERROR(INDEX('DADOS_FORMAS'!$AS$2:$AS$21,MATCH(SUBSTITUTE(SUBSTITUTE(SUBSTITUTE($MU106,"~","~~"),"*","~*"),"?","~?"),'DADOS_FORMAS'!$AH$2:$AH$21,0)),"")&lt;&gt;"",OR(IFERROR(VLOOKUP(SUBSTITUTE(SUBSTITUTE(SUBSTITUTE(IFERROR(INDEX('DADOS_FORMAS'!$AS$2:$AS$21,MATCH(SUBSTITUTE(SUBSTITUTE(SUBSTITUTE($MU106,"~","~~"),"*","~*"),"?","~?"),'DADOS_FORMAS'!$AH$2:$AH$21,0)),""),"~","~~"),"*","~*"),"?","~?"),'DADOS_RESTRICOES'!$M$2:$Q$54,2,FALSE),"")=$OK106,IFERROR(VLOOKUP(SUBSTITUTE(SUBSTITUTE(SUBSTITUTE(IFERROR(INDEX('DADOS_FORMAS'!$AS$2:$AS$21,MATCH(SUBSTITUTE(SUBSTITUTE(SUBSTITUTE($MU106,"~","~~"),"*","~*"),"?","~?"),'DADOS_FORMAS'!$AH$2:$AH$21,0)),""),"~","~~"),"*","~*"),"?","~?"),'DADOS_RESTRICOES'!$M$2:$Q$54,2,FALSE),"")=$OL106)),"Restrição repetida, contando a embutida",""),IF(IF(IFERROR(INDEX('DADOS_FORMAS'!$AS$2:$AS$21,MATCH(SUBSTITUTE(SUBSTITUTE(SUBSTITUTE($MU106,"~","~~"),"*","~*"),"?","~?"),'DADOS_FORMAS'!$AH$2:$AH$21,0)),"")="",0,IFERROR(N(VLOOKUP(SUBSTITUTE(SUBSTITUTE(SUBSTITUTE(IFERROR(INDEX('DADOS_FORMAS'!$AS$2:$AS$21,MATCH(SUBSTITUTE(SUBSTITUTE(SUBSTITUTE($MU106,"~","~~"),"*","~*"),"?","~?"),'DADOS_FORMAS'!$AH$2:$AH$21,0)),""),"~","~~"),"*","~*"),"?","~?"),'DADOS_RESTRICOES'!$M$2:$Q$54,4,FALSE)=1),0))+IF($NB106="",0,IFERROR(N(VLOOKUP(SUBSTITUTE(SUBSTITUTE(SUBSTITUTE($NB106,"~","~~"),"*","~*"),"?","~?"),'DADOS_RESTRICOES'!$M$2:$Q$54,4,FALSE)=1),0))+IF($NC106="",0,IFERROR(N(VLOOKUP(SUBSTITUTE(SUBSTITUTE(SUBSTITUTE($NC106,"~","~~"),"*","~*"),"?","~?"),'DADOS_RESTRICOES'!$M$2:$Q$54,4,FALSE)=1),0))&gt;1,"Duas Restrições de frequência, contando a embutida",""),IF(AND(IFERROR(VLOOKUP(SUBSTITUTE(SUBSTITUTE(SUBSTITUTE(IFERROR(INDEX('DADOS_FORMAS'!$AS$2:$AS$21,MATCH(SUBSTITUTE(SUBSTITUTE(SUBSTITUTE($MU106,"~","~~"),"*","~*"),"?","~?"),'DADOS_FORMAS'!$AH$2:$AH$21,0)),""),"~","~~"),"*","~*"),"?","~?"),'DADOS_RESTRICOES'!$M$2:$Q$54,2,FALSE),"")="Tudo ou Nada",$OH106=0),"Tudo ou Nada exige TR",""),IF(AND(IFERROR(VLOOKUP(SUBSTITUTE(SUBSTITUTE(SUBSTITUTE(IFERROR(INDEX('DADOS_FORMAS'!$AS$2:$AS$21,MATCH(SUBSTITUTE(SUBSTITUTE(SUBSTITUTE($MU106,"~","~~"),"*","~*"),"?","~?"),'DADOS_FORMAS'!$AH$2:$AH$21,0)),""),"~","~~"),"*","~*"),"?","~?"),'DADOS_RESTRICOES'!$M$2:$Q$54,2,FALSE),"")="Corpo a Corpo",OR($RO106="Cone",$RO106="Linha")),"Corpo a Corpo não entra em Cone/Linha","")))</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dela",IF(COUNTIF($RQ106:$RS106,"Atrasar")&gt;0,"Sua Ação Completa",IF(COUNTIF($RK106:$RN106,"Rápido")&gt;0,"Sua Bônus",IF(COUNTIF($RK106:$RN106,"Reação")&gt;0,"Sua Reação","Sua Padrão")))&amp;" + a básica dela"&amp;IF(COUNTIF($RK106:$RN106,"Reação")&gt;0," e a coletiva","")&amp;IF(COUNTIF($RQ106:$RS106,"Carregar")&gt;0," · em dois turnos","")))</f>
        <v/>
      </c>
      <c r="QC106" s="161">
        <f>IF($MW106&lt;&gt;"",$MW106,IF($NJ106=0,"",INDEX('DADOS_FORMAS'!$GE$2:$GE$21,$NJ106)))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IF($NJ106=0,0,CHOOSE(1+INDEX('DADOS_FORMAS'!$GG$2:$GG$21,$NJ106),0,$QF106,$QG106,$QF106+$QG106))</f>
        <v/>
      </c>
      <c r="QI106" s="161">
        <f>IF($NJ106=0,0,CHOOSE(1+INDEX('DADOS_FORMAS'!$GH$2:$GH$21,$NJ106),0,$QF106,$QG106,$QF106+$QG106))</f>
        <v/>
      </c>
      <c r="QJ106" s="161">
        <f>IF(OR($ND106=0,$NJ106=0),"",INDEX('DADOS_FORMAS'!$HU$2:$HZ$81,($NJ106-1)*4+IF($MS106=0,1,IF($MS106&lt;=5,2,IF($MS106=6,3,4))),1+MIN(5,$QH106))&amp;INDEX('DADOS_FORMAS'!$IA$2:$IF$81,($NJ106-1)*4+IF($MS106=0,1,IF($MS106&lt;=5,2,IF($MS106=6,3,4))),1+MIN(5,$QI106))&amp;IF(INDEX('DADOS_FORMAS'!$GI$2:$GI$21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c r="RO106">
        <f>IFERROR(INDEX('DADOS_FORMAS'!$BJ$2:$BJ$21,MATCH(SUBSTITUTE(SUBSTITUTE(SUBSTITUTE($MU106,"~","~~"),"*","~*"),"?","~?"),'DADOS_FORMAS'!$AH$2:$AH$21,0)),"")</f>
        <v/>
      </c>
      <c r="RP106">
        <f>IFERROR(VLOOKUP(SUBSTITUTE(SUBSTITUTE(SUBSTITUTE(IFERROR(INDEX('DADOS_FORMAS'!$AS$2:$AS$21,MATCH(SUBSTITUTE(SUBSTITUTE(SUBSTITUTE($MU106,"~","~~"),"*","~*"),"?","~?"),'DADOS_FORMAS'!$AH$2:$AH$21,0)),""),"~","~~"),"*","~*"),"?","~?"),'DADOS_RESTRICOES'!$M$2:$Q$54,2,FALSE),"")</f>
        <v/>
      </c>
      <c r="RQ106">
        <f>$OK106</f>
        <v/>
      </c>
      <c r="RR106">
        <f>$OL106</f>
        <v/>
      </c>
      <c r="RS106">
        <f>$RP106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IFERROR(MATCH(SUBSTITUTE(SUBSTITUTE(SUBSTITUTE($MU107,"~","~~"),"*","~*"),"?","~?"),'DADOS_FORMAS'!$FZ$2:$FZ$21,0),0)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IF($MS107=0,0,IF($NJ107=0,0,INDEX('DADOS_FORMAS'!$GB$2:$GB$21,$NJ107)))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IF($NJ107=0,0,IF(INDEX('DADOS_FORMAS'!$GA$2:$GA$21,$NJ107)="",0,IF((COUNTIF(INDEX($EL$2:$EP$13,$MO107,0),INDEX('DADOS_FORMAS'!$GA$2:$GA$21,$NJ107))+COUNTIF(INDEX($QV$2:$QY$13,$MO107,0),INDEX('DADOS_FORMAS'!$GA$2:$GA$21,$NJ107)))=0,1,0)))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IFERROR(N(AND(INDEX('DADOS_FORMAS'!$AO$2:$AO$21,MATCH(SUBSTITUTE(SUBSTITUTE(SUBSTITUTE($MU107,"~","~~"),"*","~*"),"?","~?"),'DADOS_FORMAS'!$AH$2:$AH$21,0))="Acerto",$OH107=1)),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IF($NJ107=0,0,INDEX('DADOS_FORMAS'!$GC$2:$GC$21,$NJ107))</f>
        <v/>
      </c>
      <c r="OG107" s="161">
        <f>IF($NJ107=0,0,INDEX('DADOS_FORMAS'!$GD$2:$GD$21,$NJ107))</f>
        <v/>
      </c>
      <c r="OH107" s="161">
        <f>IF($NJ107=0,0,INDEX('DADOS_FORMAS'!$GF$2:$GF$21,$NJ107))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IF(IFERROR(INDEX('DADOS_FORMAS'!$AS$2:$AS$21,MATCH(SUBSTITUTE(SUBSTITUTE(SUBSTITUTE($MU107,"~","~~"),"*","~*"),"?","~?"),'DADOS_FORMAS'!$AH$2:$AH$21,0)),"")="",0,IFERROR(N(VLOOKUP(SUBSTITUTE(SUBSTITUTE(SUBSTITUTE(IFERROR(INDEX('DADOS_FORMAS'!$AS$2:$AS$21,MATCH(SUBSTITUTE(SUBSTITUTE(SUBSTITUTE($MU107,"~","~~"),"*","~*"),"?","~?"),'DADOS_FORMAS'!$AH$2:$AH$21,0)),""),"~","~~"),"*","~*"),"?","~?"),'DADOS_RESTRICOES'!$M$2:$Q$54,3,FALSE)=1),0))</f>
        <v/>
      </c>
      <c r="OT107" s="161">
        <f>COUNTIF($OI107:$OJ107,2)+IF(IFERROR(INDEX('DADOS_FORMAS'!$AS$2:$AS$21,MATCH(SUBSTITUTE(SUBSTITUTE(SUBSTITUTE($MU107,"~","~~"),"*","~*"),"?","~?"),'DADOS_FORMAS'!$AH$2:$AH$21,0)),"")="",0,IFERROR(N(VLOOKUP(SUBSTITUTE(SUBSTITUTE(SUBSTITUTE(IFERROR(INDEX('DADOS_FORMAS'!$AS$2:$AS$21,MATCH(SUBSTITUTE(SUBSTITUTE(SUBSTITUTE($MU107,"~","~~"),"*","~*"),"?","~?"),'DADOS_FORMAS'!$AH$2:$AH$21,0)),""),"~","~~"),"*","~*"),"?","~?"),'DADOS_RESTRICOES'!$M$2:$Q$54,3,FALSE)=2),0))</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",TRUE,IF($ND107=0,"",TEXTJOIN(" · ",TRUE,IF($MQ107&gt;$NE107,"Este lugar abre no nível "&amp;$MQ107,""),IF($MS107&gt;$NF107,"Classe "&amp;$MS107&amp;": o nível "&amp;$NE107&amp;" libera até a "&amp;$NF107,""),IF($NX107=1,"A Forma "&amp;$MU107&amp;" pede "&amp;INDEX('DADOS_FORMAS'!$GA$2:$GA$21,$NJ107)&amp;" aberta",""),IF(AND($MS107=0,$NJ107&gt;0,IF($NJ107=0,0,INDEX('DADOS_FORMAS'!$GJ$2:$GJ$21,$NJ107))=0),$MU107&amp;"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Corpo")&gt;0,$OF107=0,OR($RO107="Cone",$RO107="Linha")),"Corpo a Corpo não entra em "&amp;$MU107,""),IF(AND(COUNTIF($OK107:$OL107,"Corpo a Corpo")&gt;0,$RP107="Corpo a Corpo"),"A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"&amp;$NC107,""))),IF(AND($MU107&lt;&gt;"",COUNTIF('DADOS_FORMAS'!$AH$2:$AH$21,SUBSTITUTE(SUBSTITUTE(SUBSTITUTE($MU107,"~","~~"),"*","~*"),"?","~?"))=0),"Forma não cadastrada ou com erro: "&amp;$MU107,""),IF(AND(IFERROR(INDEX('DADOS_FORMAS'!$AS$2:$AS$21,MATCH(SUBSTITUTE(SUBSTITUTE(SUBSTITUTE($MU107,"~","~~"),"*","~*"),"?","~?"),'DADOS_FORMAS'!$AH$2:$AH$21,0)),"")&lt;&gt;"",OR(IFERROR(VLOOKUP(SUBSTITUTE(SUBSTITUTE(SUBSTITUTE(IFERROR(INDEX('DADOS_FORMAS'!$AS$2:$AS$21,MATCH(SUBSTITUTE(SUBSTITUTE(SUBSTITUTE($MU107,"~","~~"),"*","~*"),"?","~?"),'DADOS_FORMAS'!$AH$2:$AH$21,0)),""),"~","~~"),"*","~*"),"?","~?"),'DADOS_RESTRICOES'!$M$2:$Q$54,2,FALSE),"")=$OK107,IFERROR(VLOOKUP(SUBSTITUTE(SUBSTITUTE(SUBSTITUTE(IFERROR(INDEX('DADOS_FORMAS'!$AS$2:$AS$21,MATCH(SUBSTITUTE(SUBSTITUTE(SUBSTITUTE($MU107,"~","~~"),"*","~*"),"?","~?"),'DADOS_FORMAS'!$AH$2:$AH$21,0)),""),"~","~~"),"*","~*"),"?","~?"),'DADOS_RESTRICOES'!$M$2:$Q$54,2,FALSE),"")=$OL107)),"Restrição repetida, contando a embutida",""),IF(IF(IFERROR(INDEX('DADOS_FORMAS'!$AS$2:$AS$21,MATCH(SUBSTITUTE(SUBSTITUTE(SUBSTITUTE($MU107,"~","~~"),"*","~*"),"?","~?"),'DADOS_FORMAS'!$AH$2:$AH$21,0)),"")="",0,IFERROR(N(VLOOKUP(SUBSTITUTE(SUBSTITUTE(SUBSTITUTE(IFERROR(INDEX('DADOS_FORMAS'!$AS$2:$AS$21,MATCH(SUBSTITUTE(SUBSTITUTE(SUBSTITUTE($MU107,"~","~~"),"*","~*"),"?","~?"),'DADOS_FORMAS'!$AH$2:$AH$21,0)),""),"~","~~"),"*","~*"),"?","~?"),'DADOS_RESTRICOES'!$M$2:$Q$54,4,FALSE)=1),0))+IF($NB107="",0,IFERROR(N(VLOOKUP(SUBSTITUTE(SUBSTITUTE(SUBSTITUTE($NB107,"~","~~"),"*","~*"),"?","~?"),'DADOS_RESTRICOES'!$M$2:$Q$54,4,FALSE)=1),0))+IF($NC107="",0,IFERROR(N(VLOOKUP(SUBSTITUTE(SUBSTITUTE(SUBSTITUTE($NC107,"~","~~"),"*","~*"),"?","~?"),'DADOS_RESTRICOES'!$M$2:$Q$54,4,FALSE)=1),0))&gt;1,"Duas Restrições de frequência, contando a embutida",""),IF(AND(IFERROR(VLOOKUP(SUBSTITUTE(SUBSTITUTE(SUBSTITUTE(IFERROR(INDEX('DADOS_FORMAS'!$AS$2:$AS$21,MATCH(SUBSTITUTE(SUBSTITUTE(SUBSTITUTE($MU107,"~","~~"),"*","~*"),"?","~?"),'DADOS_FORMAS'!$AH$2:$AH$21,0)),""),"~","~~"),"*","~*"),"?","~?"),'DADOS_RESTRICOES'!$M$2:$Q$54,2,FALSE),"")="Tudo ou Nada",$OH107=0),"Tudo ou Nada exige TR",""),IF(AND(IFERROR(VLOOKUP(SUBSTITUTE(SUBSTITUTE(SUBSTITUTE(IFERROR(INDEX('DADOS_FORMAS'!$AS$2:$AS$21,MATCH(SUBSTITUTE(SUBSTITUTE(SUBSTITUTE($MU107,"~","~~"),"*","~*"),"?","~?"),'DADOS_FORMAS'!$AH$2:$AH$21,0)),""),"~","~~"),"*","~*"),"?","~?"),'DADOS_RESTRICOES'!$M$2:$Q$54,2,FALSE),"")="Corpo a Corpo",OR($RO107="Cone",$RO107="Linha")),"Corpo a Corpo não entra em Cone/Linha","")))</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dela",IF(COUNTIF($RQ107:$RS107,"Atrasar")&gt;0,"Sua Ação Completa",IF(COUNTIF($RK107:$RN107,"Rápido")&gt;0,"Sua Bônus",IF(COUNTIF($RK107:$RN107,"Reação")&gt;0,"Sua Reação","Sua Padrão")))&amp;" + a básica dela"&amp;IF(COUNTIF($RK107:$RN107,"Reação")&gt;0," e a coletiva","")&amp;IF(COUNTIF($RQ107:$RS107,"Carregar")&gt;0," · em dois turnos","")))</f>
        <v/>
      </c>
      <c r="QC107" s="161">
        <f>IF($MW107&lt;&gt;"",$MW107,IF($NJ107=0,"",INDEX('DADOS_FORMAS'!$GE$2:$GE$21,$NJ107)))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IF($NJ107=0,0,CHOOSE(1+INDEX('DADOS_FORMAS'!$GG$2:$GG$21,$NJ107),0,$QF107,$QG107,$QF107+$QG107))</f>
        <v/>
      </c>
      <c r="QI107" s="161">
        <f>IF($NJ107=0,0,CHOOSE(1+INDEX('DADOS_FORMAS'!$GH$2:$GH$21,$NJ107),0,$QF107,$QG107,$QF107+$QG107))</f>
        <v/>
      </c>
      <c r="QJ107" s="161">
        <f>IF(OR($ND107=0,$NJ107=0),"",INDEX('DADOS_FORMAS'!$HU$2:$HZ$81,($NJ107-1)*4+IF($MS107=0,1,IF($MS107&lt;=5,2,IF($MS107=6,3,4))),1+MIN(5,$QH107))&amp;INDEX('DADOS_FORMAS'!$IA$2:$IF$81,($NJ107-1)*4+IF($MS107=0,1,IF($MS107&lt;=5,2,IF($MS107=6,3,4))),1+MIN(5,$QI107))&amp;IF(INDEX('DADOS_FORMAS'!$GI$2:$GI$21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c r="RO107">
        <f>IFERROR(INDEX('DADOS_FORMAS'!$BJ$2:$BJ$21,MATCH(SUBSTITUTE(SUBSTITUTE(SUBSTITUTE($MU107,"~","~~"),"*","~*"),"?","~?"),'DADOS_FORMAS'!$AH$2:$AH$21,0)),"")</f>
        <v/>
      </c>
      <c r="RP107">
        <f>IFERROR(VLOOKUP(SUBSTITUTE(SUBSTITUTE(SUBSTITUTE(IFERROR(INDEX('DADOS_FORMAS'!$AS$2:$AS$21,MATCH(SUBSTITUTE(SUBSTITUTE(SUBSTITUTE($MU107,"~","~~"),"*","~*"),"?","~?"),'DADOS_FORMAS'!$AH$2:$AH$21,0)),""),"~","~~"),"*","~*"),"?","~?"),'DADOS_RESTRICOES'!$M$2:$Q$54,2,FALSE),"")</f>
        <v/>
      </c>
      <c r="RQ107">
        <f>$OK107</f>
        <v/>
      </c>
      <c r="RR107">
        <f>$OL107</f>
        <v/>
      </c>
      <c r="RS107">
        <f>$RP107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IFERROR(MATCH(SUBSTITUTE(SUBSTITUTE(SUBSTITUTE($MU108,"~","~~"),"*","~*"),"?","~?"),'DADOS_FORMAS'!$FZ$2:$FZ$21,0),0)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IF($MS108=0,0,IF($NJ108=0,0,INDEX('DADOS_FORMAS'!$GB$2:$GB$21,$NJ108)))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IF($NJ108=0,0,IF(INDEX('DADOS_FORMAS'!$GA$2:$GA$21,$NJ108)="",0,IF((COUNTIF(INDEX($EL$2:$EP$13,$MO108,0),INDEX('DADOS_FORMAS'!$GA$2:$GA$21,$NJ108))+COUNTIF(INDEX($QV$2:$QY$13,$MO108,0),INDEX('DADOS_FORMAS'!$GA$2:$GA$21,$NJ108)))=0,1,0)))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IFERROR(N(AND(INDEX('DADOS_FORMAS'!$AO$2:$AO$21,MATCH(SUBSTITUTE(SUBSTITUTE(SUBSTITUTE($MU108,"~","~~"),"*","~*"),"?","~?"),'DADOS_FORMAS'!$AH$2:$AH$21,0))="Acerto",$OH108=1)),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IF($NJ108=0,0,INDEX('DADOS_FORMAS'!$GC$2:$GC$21,$NJ108))</f>
        <v/>
      </c>
      <c r="OG108" s="161">
        <f>IF($NJ108=0,0,INDEX('DADOS_FORMAS'!$GD$2:$GD$21,$NJ108))</f>
        <v/>
      </c>
      <c r="OH108" s="161">
        <f>IF($NJ108=0,0,INDEX('DADOS_FORMAS'!$GF$2:$GF$21,$NJ108))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IF(IFERROR(INDEX('DADOS_FORMAS'!$AS$2:$AS$21,MATCH(SUBSTITUTE(SUBSTITUTE(SUBSTITUTE($MU108,"~","~~"),"*","~*"),"?","~?"),'DADOS_FORMAS'!$AH$2:$AH$21,0)),"")="",0,IFERROR(N(VLOOKUP(SUBSTITUTE(SUBSTITUTE(SUBSTITUTE(IFERROR(INDEX('DADOS_FORMAS'!$AS$2:$AS$21,MATCH(SUBSTITUTE(SUBSTITUTE(SUBSTITUTE($MU108,"~","~~"),"*","~*"),"?","~?"),'DADOS_FORMAS'!$AH$2:$AH$21,0)),""),"~","~~"),"*","~*"),"?","~?"),'DADOS_RESTRICOES'!$M$2:$Q$54,3,FALSE)=1),0))</f>
        <v/>
      </c>
      <c r="OT108" s="161">
        <f>COUNTIF($OI108:$OJ108,2)+IF(IFERROR(INDEX('DADOS_FORMAS'!$AS$2:$AS$21,MATCH(SUBSTITUTE(SUBSTITUTE(SUBSTITUTE($MU108,"~","~~"),"*","~*"),"?","~?"),'DADOS_FORMAS'!$AH$2:$AH$21,0)),"")="",0,IFERROR(N(VLOOKUP(SUBSTITUTE(SUBSTITUTE(SUBSTITUTE(IFERROR(INDEX('DADOS_FORMAS'!$AS$2:$AS$21,MATCH(SUBSTITUTE(SUBSTITUTE(SUBSTITUTE($MU108,"~","~~"),"*","~*"),"?","~?"),'DADOS_FORMAS'!$AH$2:$AH$21,0)),""),"~","~~"),"*","~*"),"?","~?"),'DADOS_RESTRICOES'!$M$2:$Q$54,3,FALSE)=2),0))</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",TRUE,IF($ND108=0,"",TEXTJOIN(" · ",TRUE,IF($MQ108&gt;$NE108,"Este lugar abre no nível "&amp;$MQ108,""),IF($MS108&gt;$NF108,"Classe "&amp;$MS108&amp;": o nível "&amp;$NE108&amp;" libera até a "&amp;$NF108,""),IF($NX108=1,"A Forma "&amp;$MU108&amp;" pede "&amp;INDEX('DADOS_FORMAS'!$GA$2:$GA$21,$NJ108)&amp;" aberta",""),IF(AND($MS108=0,$NJ108&gt;0,IF($NJ108=0,0,INDEX('DADOS_FORMAS'!$GJ$2:$GJ$21,$NJ108))=0),$MU108&amp;"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Corpo")&gt;0,$OF108=0,OR($RO108="Cone",$RO108="Linha")),"Corpo a Corpo não entra em "&amp;$MU108,""),IF(AND(COUNTIF($OK108:$OL108,"Corpo a Corpo")&gt;0,$RP108="Corpo a Corpo"),"A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"&amp;$NC108,""))),IF(AND($MU108&lt;&gt;"",COUNTIF('DADOS_FORMAS'!$AH$2:$AH$21,SUBSTITUTE(SUBSTITUTE(SUBSTITUTE($MU108,"~","~~"),"*","~*"),"?","~?"))=0),"Forma não cadastrada ou com erro: "&amp;$MU108,""),IF(AND(IFERROR(INDEX('DADOS_FORMAS'!$AS$2:$AS$21,MATCH(SUBSTITUTE(SUBSTITUTE(SUBSTITUTE($MU108,"~","~~"),"*","~*"),"?","~?"),'DADOS_FORMAS'!$AH$2:$AH$21,0)),"")&lt;&gt;"",OR(IFERROR(VLOOKUP(SUBSTITUTE(SUBSTITUTE(SUBSTITUTE(IFERROR(INDEX('DADOS_FORMAS'!$AS$2:$AS$21,MATCH(SUBSTITUTE(SUBSTITUTE(SUBSTITUTE($MU108,"~","~~"),"*","~*"),"?","~?"),'DADOS_FORMAS'!$AH$2:$AH$21,0)),""),"~","~~"),"*","~*"),"?","~?"),'DADOS_RESTRICOES'!$M$2:$Q$54,2,FALSE),"")=$OK108,IFERROR(VLOOKUP(SUBSTITUTE(SUBSTITUTE(SUBSTITUTE(IFERROR(INDEX('DADOS_FORMAS'!$AS$2:$AS$21,MATCH(SUBSTITUTE(SUBSTITUTE(SUBSTITUTE($MU108,"~","~~"),"*","~*"),"?","~?"),'DADOS_FORMAS'!$AH$2:$AH$21,0)),""),"~","~~"),"*","~*"),"?","~?"),'DADOS_RESTRICOES'!$M$2:$Q$54,2,FALSE),"")=$OL108)),"Restrição repetida, contando a embutida",""),IF(IF(IFERROR(INDEX('DADOS_FORMAS'!$AS$2:$AS$21,MATCH(SUBSTITUTE(SUBSTITUTE(SUBSTITUTE($MU108,"~","~~"),"*","~*"),"?","~?"),'DADOS_FORMAS'!$AH$2:$AH$21,0)),"")="",0,IFERROR(N(VLOOKUP(SUBSTITUTE(SUBSTITUTE(SUBSTITUTE(IFERROR(INDEX('DADOS_FORMAS'!$AS$2:$AS$21,MATCH(SUBSTITUTE(SUBSTITUTE(SUBSTITUTE($MU108,"~","~~"),"*","~*"),"?","~?"),'DADOS_FORMAS'!$AH$2:$AH$21,0)),""),"~","~~"),"*","~*"),"?","~?"),'DADOS_RESTRICOES'!$M$2:$Q$54,4,FALSE)=1),0))+IF($NB108="",0,IFERROR(N(VLOOKUP(SUBSTITUTE(SUBSTITUTE(SUBSTITUTE($NB108,"~","~~"),"*","~*"),"?","~?"),'DADOS_RESTRICOES'!$M$2:$Q$54,4,FALSE)=1),0))+IF($NC108="",0,IFERROR(N(VLOOKUP(SUBSTITUTE(SUBSTITUTE(SUBSTITUTE($NC108,"~","~~"),"*","~*"),"?","~?"),'DADOS_RESTRICOES'!$M$2:$Q$54,4,FALSE)=1),0))&gt;1,"Duas Restrições de frequência, contando a embutida",""),IF(AND(IFERROR(VLOOKUP(SUBSTITUTE(SUBSTITUTE(SUBSTITUTE(IFERROR(INDEX('DADOS_FORMAS'!$AS$2:$AS$21,MATCH(SUBSTITUTE(SUBSTITUTE(SUBSTITUTE($MU108,"~","~~"),"*","~*"),"?","~?"),'DADOS_FORMAS'!$AH$2:$AH$21,0)),""),"~","~~"),"*","~*"),"?","~?"),'DADOS_RESTRICOES'!$M$2:$Q$54,2,FALSE),"")="Tudo ou Nada",$OH108=0),"Tudo ou Nada exige TR",""),IF(AND(IFERROR(VLOOKUP(SUBSTITUTE(SUBSTITUTE(SUBSTITUTE(IFERROR(INDEX('DADOS_FORMAS'!$AS$2:$AS$21,MATCH(SUBSTITUTE(SUBSTITUTE(SUBSTITUTE($MU108,"~","~~"),"*","~*"),"?","~?"),'DADOS_FORMAS'!$AH$2:$AH$21,0)),""),"~","~~"),"*","~*"),"?","~?"),'DADOS_RESTRICOES'!$M$2:$Q$54,2,FALSE),"")="Corpo a Corpo",OR($RO108="Cone",$RO108="Linha")),"Corpo a Corpo não entra em Cone/Linha","")))</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dela",IF(COUNTIF($RQ108:$RS108,"Atrasar")&gt;0,"Sua Ação Completa",IF(COUNTIF($RK108:$RN108,"Rápido")&gt;0,"Sua Bônus",IF(COUNTIF($RK108:$RN108,"Reação")&gt;0,"Sua Reação","Sua Padrão")))&amp;" + a básica dela"&amp;IF(COUNTIF($RK108:$RN108,"Reação")&gt;0," e a coletiva","")&amp;IF(COUNTIF($RQ108:$RS108,"Carregar")&gt;0," · em dois turnos","")))</f>
        <v/>
      </c>
      <c r="QC108" s="161">
        <f>IF($MW108&lt;&gt;"",$MW108,IF($NJ108=0,"",INDEX('DADOS_FORMAS'!$GE$2:$GE$21,$NJ108)))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IF($NJ108=0,0,CHOOSE(1+INDEX('DADOS_FORMAS'!$GG$2:$GG$21,$NJ108),0,$QF108,$QG108,$QF108+$QG108))</f>
        <v/>
      </c>
      <c r="QI108" s="161">
        <f>IF($NJ108=0,0,CHOOSE(1+INDEX('DADOS_FORMAS'!$GH$2:$GH$21,$NJ108),0,$QF108,$QG108,$QF108+$QG108))</f>
        <v/>
      </c>
      <c r="QJ108" s="161">
        <f>IF(OR($ND108=0,$NJ108=0),"",INDEX('DADOS_FORMAS'!$HU$2:$HZ$81,($NJ108-1)*4+IF($MS108=0,1,IF($MS108&lt;=5,2,IF($MS108=6,3,4))),1+MIN(5,$QH108))&amp;INDEX('DADOS_FORMAS'!$IA$2:$IF$81,($NJ108-1)*4+IF($MS108=0,1,IF($MS108&lt;=5,2,IF($MS108=6,3,4))),1+MIN(5,$QI108))&amp;IF(INDEX('DADOS_FORMAS'!$GI$2:$GI$21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c r="RO108">
        <f>IFERROR(INDEX('DADOS_FORMAS'!$BJ$2:$BJ$21,MATCH(SUBSTITUTE(SUBSTITUTE(SUBSTITUTE($MU108,"~","~~"),"*","~*"),"?","~?"),'DADOS_FORMAS'!$AH$2:$AH$21,0)),"")</f>
        <v/>
      </c>
      <c r="RP108">
        <f>IFERROR(VLOOKUP(SUBSTITUTE(SUBSTITUTE(SUBSTITUTE(IFERROR(INDEX('DADOS_FORMAS'!$AS$2:$AS$21,MATCH(SUBSTITUTE(SUBSTITUTE(SUBSTITUTE($MU108,"~","~~"),"*","~*"),"?","~?"),'DADOS_FORMAS'!$AH$2:$AH$21,0)),""),"~","~~"),"*","~*"),"?","~?"),'DADOS_RESTRICOES'!$M$2:$Q$54,2,FALSE),"")</f>
        <v/>
      </c>
      <c r="RQ108">
        <f>$OK108</f>
        <v/>
      </c>
      <c r="RR108">
        <f>$OL108</f>
        <v/>
      </c>
      <c r="RS108">
        <f>$RP108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IFERROR(MATCH(SUBSTITUTE(SUBSTITUTE(SUBSTITUTE($MU109,"~","~~"),"*","~*"),"?","~?"),'DADOS_FORMAS'!$FZ$2:$FZ$21,0),0)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IF($MS109=0,0,IF($NJ109=0,0,INDEX('DADOS_FORMAS'!$GB$2:$GB$21,$NJ109)))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IF($NJ109=0,0,IF(INDEX('DADOS_FORMAS'!$GA$2:$GA$21,$NJ109)="",0,IF((COUNTIF(INDEX($EL$2:$EP$13,$MO109,0),INDEX('DADOS_FORMAS'!$GA$2:$GA$21,$NJ109))+COUNTIF(INDEX($QV$2:$QY$13,$MO109,0),INDEX('DADOS_FORMAS'!$GA$2:$GA$21,$NJ109)))=0,1,0)))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IFERROR(N(AND(INDEX('DADOS_FORMAS'!$AO$2:$AO$21,MATCH(SUBSTITUTE(SUBSTITUTE(SUBSTITUTE($MU109,"~","~~"),"*","~*"),"?","~?"),'DADOS_FORMAS'!$AH$2:$AH$21,0))="Acerto",$OH109=1)),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IF($NJ109=0,0,INDEX('DADOS_FORMAS'!$GC$2:$GC$21,$NJ109))</f>
        <v/>
      </c>
      <c r="OG109" s="161">
        <f>IF($NJ109=0,0,INDEX('DADOS_FORMAS'!$GD$2:$GD$21,$NJ109))</f>
        <v/>
      </c>
      <c r="OH109" s="161">
        <f>IF($NJ109=0,0,INDEX('DADOS_FORMAS'!$GF$2:$GF$21,$NJ109))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IF(IFERROR(INDEX('DADOS_FORMAS'!$AS$2:$AS$21,MATCH(SUBSTITUTE(SUBSTITUTE(SUBSTITUTE($MU109,"~","~~"),"*","~*"),"?","~?"),'DADOS_FORMAS'!$AH$2:$AH$21,0)),"")="",0,IFERROR(N(VLOOKUP(SUBSTITUTE(SUBSTITUTE(SUBSTITUTE(IFERROR(INDEX('DADOS_FORMAS'!$AS$2:$AS$21,MATCH(SUBSTITUTE(SUBSTITUTE(SUBSTITUTE($MU109,"~","~~"),"*","~*"),"?","~?"),'DADOS_FORMAS'!$AH$2:$AH$21,0)),""),"~","~~"),"*","~*"),"?","~?"),'DADOS_RESTRICOES'!$M$2:$Q$54,3,FALSE)=1),0))</f>
        <v/>
      </c>
      <c r="OT109" s="161">
        <f>COUNTIF($OI109:$OJ109,2)+IF(IFERROR(INDEX('DADOS_FORMAS'!$AS$2:$AS$21,MATCH(SUBSTITUTE(SUBSTITUTE(SUBSTITUTE($MU109,"~","~~"),"*","~*"),"?","~?"),'DADOS_FORMAS'!$AH$2:$AH$21,0)),"")="",0,IFERROR(N(VLOOKUP(SUBSTITUTE(SUBSTITUTE(SUBSTITUTE(IFERROR(INDEX('DADOS_FORMAS'!$AS$2:$AS$21,MATCH(SUBSTITUTE(SUBSTITUTE(SUBSTITUTE($MU109,"~","~~"),"*","~*"),"?","~?"),'DADOS_FORMAS'!$AH$2:$AH$21,0)),""),"~","~~"),"*","~*"),"?","~?"),'DADOS_RESTRICOES'!$M$2:$Q$54,3,FALSE)=2),0))</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",TRUE,IF($ND109=0,"",TEXTJOIN(" · ",TRUE,IF($MQ109&gt;$NE109,"Este lugar abre no nível "&amp;$MQ109,""),IF($MS109&gt;$NF109,"Classe "&amp;$MS109&amp;": o nível "&amp;$NE109&amp;" libera até a "&amp;$NF109,""),IF($NX109=1,"A Forma "&amp;$MU109&amp;" pede "&amp;INDEX('DADOS_FORMAS'!$GA$2:$GA$21,$NJ109)&amp;" aberta",""),IF(AND($MS109=0,$NJ109&gt;0,IF($NJ109=0,0,INDEX('DADOS_FORMAS'!$GJ$2:$GJ$21,$NJ109))=0),$MU109&amp;"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Corpo")&gt;0,$OF109=0,OR($RO109="Cone",$RO109="Linha")),"Corpo a Corpo não entra em "&amp;$MU109,""),IF(AND(COUNTIF($OK109:$OL109,"Corpo a Corpo")&gt;0,$RP109="Corpo a Corpo"),"A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"&amp;$NC109,""))),IF(AND($MU109&lt;&gt;"",COUNTIF('DADOS_FORMAS'!$AH$2:$AH$21,SUBSTITUTE(SUBSTITUTE(SUBSTITUTE($MU109,"~","~~"),"*","~*"),"?","~?"))=0),"Forma não cadastrada ou com erro: "&amp;$MU109,""),IF(AND(IFERROR(INDEX('DADOS_FORMAS'!$AS$2:$AS$21,MATCH(SUBSTITUTE(SUBSTITUTE(SUBSTITUTE($MU109,"~","~~"),"*","~*"),"?","~?"),'DADOS_FORMAS'!$AH$2:$AH$21,0)),"")&lt;&gt;"",OR(IFERROR(VLOOKUP(SUBSTITUTE(SUBSTITUTE(SUBSTITUTE(IFERROR(INDEX('DADOS_FORMAS'!$AS$2:$AS$21,MATCH(SUBSTITUTE(SUBSTITUTE(SUBSTITUTE($MU109,"~","~~"),"*","~*"),"?","~?"),'DADOS_FORMAS'!$AH$2:$AH$21,0)),""),"~","~~"),"*","~*"),"?","~?"),'DADOS_RESTRICOES'!$M$2:$Q$54,2,FALSE),"")=$OK109,IFERROR(VLOOKUP(SUBSTITUTE(SUBSTITUTE(SUBSTITUTE(IFERROR(INDEX('DADOS_FORMAS'!$AS$2:$AS$21,MATCH(SUBSTITUTE(SUBSTITUTE(SUBSTITUTE($MU109,"~","~~"),"*","~*"),"?","~?"),'DADOS_FORMAS'!$AH$2:$AH$21,0)),""),"~","~~"),"*","~*"),"?","~?"),'DADOS_RESTRICOES'!$M$2:$Q$54,2,FALSE),"")=$OL109)),"Restrição repetida, contando a embutida",""),IF(IF(IFERROR(INDEX('DADOS_FORMAS'!$AS$2:$AS$21,MATCH(SUBSTITUTE(SUBSTITUTE(SUBSTITUTE($MU109,"~","~~"),"*","~*"),"?","~?"),'DADOS_FORMAS'!$AH$2:$AH$21,0)),"")="",0,IFERROR(N(VLOOKUP(SUBSTITUTE(SUBSTITUTE(SUBSTITUTE(IFERROR(INDEX('DADOS_FORMAS'!$AS$2:$AS$21,MATCH(SUBSTITUTE(SUBSTITUTE(SUBSTITUTE($MU109,"~","~~"),"*","~*"),"?","~?"),'DADOS_FORMAS'!$AH$2:$AH$21,0)),""),"~","~~"),"*","~*"),"?","~?"),'DADOS_RESTRICOES'!$M$2:$Q$54,4,FALSE)=1),0))+IF($NB109="",0,IFERROR(N(VLOOKUP(SUBSTITUTE(SUBSTITUTE(SUBSTITUTE($NB109,"~","~~"),"*","~*"),"?","~?"),'DADOS_RESTRICOES'!$M$2:$Q$54,4,FALSE)=1),0))+IF($NC109="",0,IFERROR(N(VLOOKUP(SUBSTITUTE(SUBSTITUTE(SUBSTITUTE($NC109,"~","~~"),"*","~*"),"?","~?"),'DADOS_RESTRICOES'!$M$2:$Q$54,4,FALSE)=1),0))&gt;1,"Duas Restrições de frequência, contando a embutida",""),IF(AND(IFERROR(VLOOKUP(SUBSTITUTE(SUBSTITUTE(SUBSTITUTE(IFERROR(INDEX('DADOS_FORMAS'!$AS$2:$AS$21,MATCH(SUBSTITUTE(SUBSTITUTE(SUBSTITUTE($MU109,"~","~~"),"*","~*"),"?","~?"),'DADOS_FORMAS'!$AH$2:$AH$21,0)),""),"~","~~"),"*","~*"),"?","~?"),'DADOS_RESTRICOES'!$M$2:$Q$54,2,FALSE),"")="Tudo ou Nada",$OH109=0),"Tudo ou Nada exige TR",""),IF(AND(IFERROR(VLOOKUP(SUBSTITUTE(SUBSTITUTE(SUBSTITUTE(IFERROR(INDEX('DADOS_FORMAS'!$AS$2:$AS$21,MATCH(SUBSTITUTE(SUBSTITUTE(SUBSTITUTE($MU109,"~","~~"),"*","~*"),"?","~?"),'DADOS_FORMAS'!$AH$2:$AH$21,0)),""),"~","~~"),"*","~*"),"?","~?"),'DADOS_RESTRICOES'!$M$2:$Q$54,2,FALSE),"")="Corpo a Corpo",OR($RO109="Cone",$RO109="Linha")),"Corpo a Corpo não entra em Cone/Linha","")))</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dela",IF(COUNTIF($RQ109:$RS109,"Atrasar")&gt;0,"Sua Ação Completa",IF(COUNTIF($RK109:$RN109,"Rápido")&gt;0,"Sua Bônus",IF(COUNTIF($RK109:$RN109,"Reação")&gt;0,"Sua Reação","Sua Padrão")))&amp;" + a básica dela"&amp;IF(COUNTIF($RK109:$RN109,"Reação")&gt;0," e a coletiva","")&amp;IF(COUNTIF($RQ109:$RS109,"Carregar")&gt;0," · em dois turnos","")))</f>
        <v/>
      </c>
      <c r="QC109" s="161">
        <f>IF($MW109&lt;&gt;"",$MW109,IF($NJ109=0,"",INDEX('DADOS_FORMAS'!$GE$2:$GE$21,$NJ109)))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IF($NJ109=0,0,CHOOSE(1+INDEX('DADOS_FORMAS'!$GG$2:$GG$21,$NJ109),0,$QF109,$QG109,$QF109+$QG109))</f>
        <v/>
      </c>
      <c r="QI109" s="161">
        <f>IF($NJ109=0,0,CHOOSE(1+INDEX('DADOS_FORMAS'!$GH$2:$GH$21,$NJ109),0,$QF109,$QG109,$QF109+$QG109))</f>
        <v/>
      </c>
      <c r="QJ109" s="161">
        <f>IF(OR($ND109=0,$NJ109=0),"",INDEX('DADOS_FORMAS'!$HU$2:$HZ$81,($NJ109-1)*4+IF($MS109=0,1,IF($MS109&lt;=5,2,IF($MS109=6,3,4))),1+MIN(5,$QH109))&amp;INDEX('DADOS_FORMAS'!$IA$2:$IF$81,($NJ109-1)*4+IF($MS109=0,1,IF($MS109&lt;=5,2,IF($MS109=6,3,4))),1+MIN(5,$QI109))&amp;IF(INDEX('DADOS_FORMAS'!$GI$2:$GI$21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c r="RO109">
        <f>IFERROR(INDEX('DADOS_FORMAS'!$BJ$2:$BJ$21,MATCH(SUBSTITUTE(SUBSTITUTE(SUBSTITUTE($MU109,"~","~~"),"*","~*"),"?","~?"),'DADOS_FORMAS'!$AH$2:$AH$21,0)),"")</f>
        <v/>
      </c>
      <c r="RP109">
        <f>IFERROR(VLOOKUP(SUBSTITUTE(SUBSTITUTE(SUBSTITUTE(IFERROR(INDEX('DADOS_FORMAS'!$AS$2:$AS$21,MATCH(SUBSTITUTE(SUBSTITUTE(SUBSTITUTE($MU109,"~","~~"),"*","~*"),"?","~?"),'DADOS_FORMAS'!$AH$2:$AH$21,0)),""),"~","~~"),"*","~*"),"?","~?"),'DADOS_RESTRICOES'!$M$2:$Q$54,2,FALSE),"")</f>
        <v/>
      </c>
      <c r="RQ109">
        <f>$OK109</f>
        <v/>
      </c>
      <c r="RR109">
        <f>$OL109</f>
        <v/>
      </c>
      <c r="RS109">
        <f>$RP109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IFERROR(MATCH(SUBSTITUTE(SUBSTITUTE(SUBSTITUTE($MU110,"~","~~"),"*","~*"),"?","~?"),'DADOS_FORMAS'!$FZ$2:$FZ$21,0),0)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IF($MS110=0,0,IF($NJ110=0,0,INDEX('DADOS_FORMAS'!$GB$2:$GB$21,$NJ110)))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IF($NJ110=0,0,IF(INDEX('DADOS_FORMAS'!$GA$2:$GA$21,$NJ110)="",0,IF((COUNTIF(INDEX($EL$2:$EP$13,$MO110,0),INDEX('DADOS_FORMAS'!$GA$2:$GA$21,$NJ110))+COUNTIF(INDEX($QV$2:$QY$13,$MO110,0),INDEX('DADOS_FORMAS'!$GA$2:$GA$21,$NJ110)))=0,1,0)))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IFERROR(N(AND(INDEX('DADOS_FORMAS'!$AO$2:$AO$21,MATCH(SUBSTITUTE(SUBSTITUTE(SUBSTITUTE($MU110,"~","~~"),"*","~*"),"?","~?"),'DADOS_FORMAS'!$AH$2:$AH$21,0))="Acerto",$OH110=1)),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IF($NJ110=0,0,INDEX('DADOS_FORMAS'!$GC$2:$GC$21,$NJ110))</f>
        <v/>
      </c>
      <c r="OG110" s="161">
        <f>IF($NJ110=0,0,INDEX('DADOS_FORMAS'!$GD$2:$GD$21,$NJ110))</f>
        <v/>
      </c>
      <c r="OH110" s="161">
        <f>IF($NJ110=0,0,INDEX('DADOS_FORMAS'!$GF$2:$GF$21,$NJ110))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IF(IFERROR(INDEX('DADOS_FORMAS'!$AS$2:$AS$21,MATCH(SUBSTITUTE(SUBSTITUTE(SUBSTITUTE($MU110,"~","~~"),"*","~*"),"?","~?"),'DADOS_FORMAS'!$AH$2:$AH$21,0)),"")="",0,IFERROR(N(VLOOKUP(SUBSTITUTE(SUBSTITUTE(SUBSTITUTE(IFERROR(INDEX('DADOS_FORMAS'!$AS$2:$AS$21,MATCH(SUBSTITUTE(SUBSTITUTE(SUBSTITUTE($MU110,"~","~~"),"*","~*"),"?","~?"),'DADOS_FORMAS'!$AH$2:$AH$21,0)),""),"~","~~"),"*","~*"),"?","~?"),'DADOS_RESTRICOES'!$M$2:$Q$54,3,FALSE)=1),0))</f>
        <v/>
      </c>
      <c r="OT110" s="161">
        <f>COUNTIF($OI110:$OJ110,2)+IF(IFERROR(INDEX('DADOS_FORMAS'!$AS$2:$AS$21,MATCH(SUBSTITUTE(SUBSTITUTE(SUBSTITUTE($MU110,"~","~~"),"*","~*"),"?","~?"),'DADOS_FORMAS'!$AH$2:$AH$21,0)),"")="",0,IFERROR(N(VLOOKUP(SUBSTITUTE(SUBSTITUTE(SUBSTITUTE(IFERROR(INDEX('DADOS_FORMAS'!$AS$2:$AS$21,MATCH(SUBSTITUTE(SUBSTITUTE(SUBSTITUTE($MU110,"~","~~"),"*","~*"),"?","~?"),'DADOS_FORMAS'!$AH$2:$AH$21,0)),""),"~","~~"),"*","~*"),"?","~?"),'DADOS_RESTRICOES'!$M$2:$Q$54,3,FALSE)=2),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",TRUE,IF($ND110=0,"",TEXTJOIN(" · ",TRUE,IF($MQ110&gt;$NE110,"Este lugar abre no nível "&amp;$MQ110,""),IF($MS110&gt;$NF110,"Classe "&amp;$MS110&amp;": o nível "&amp;$NE110&amp;" libera até a "&amp;$NF110,""),IF($NX110=1,"A Forma "&amp;$MU110&amp;" pede "&amp;INDEX('DADOS_FORMAS'!$GA$2:$GA$21,$NJ110)&amp;" aberta",""),IF(AND($MS110=0,$NJ110&gt;0,IF($NJ110=0,0,INDEX('DADOS_FORMAS'!$GJ$2:$GJ$21,$NJ110))=0),$MU110&amp;"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Corpo")&gt;0,$OF110=0,OR($RO110="Cone",$RO110="Linha")),"Corpo a Corpo não entra em "&amp;$MU110,""),IF(AND(COUNTIF($OK110:$OL110,"Corpo a Corpo")&gt;0,$RP110="Corpo a Corpo"),"A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"&amp;$NC110,""))),IF(AND($MU110&lt;&gt;"",COUNTIF('DADOS_FORMAS'!$AH$2:$AH$21,SUBSTITUTE(SUBSTITUTE(SUBSTITUTE($MU110,"~","~~"),"*","~*"),"?","~?"))=0),"Forma não cadastrada ou com erro: "&amp;$MU110,""),IF(AND(IFERROR(INDEX('DADOS_FORMAS'!$AS$2:$AS$21,MATCH(SUBSTITUTE(SUBSTITUTE(SUBSTITUTE($MU110,"~","~~"),"*","~*"),"?","~?"),'DADOS_FORMAS'!$AH$2:$AH$21,0)),"")&lt;&gt;"",OR(IFERROR(VLOOKUP(SUBSTITUTE(SUBSTITUTE(SUBSTITUTE(IFERROR(INDEX('DADOS_FORMAS'!$AS$2:$AS$21,MATCH(SUBSTITUTE(SUBSTITUTE(SUBSTITUTE($MU110,"~","~~"),"*","~*"),"?","~?"),'DADOS_FORMAS'!$AH$2:$AH$21,0)),""),"~","~~"),"*","~*"),"?","~?"),'DADOS_RESTRICOES'!$M$2:$Q$54,2,FALSE),"")=$OK110,IFERROR(VLOOKUP(SUBSTITUTE(SUBSTITUTE(SUBSTITUTE(IFERROR(INDEX('DADOS_FORMAS'!$AS$2:$AS$21,MATCH(SUBSTITUTE(SUBSTITUTE(SUBSTITUTE($MU110,"~","~~"),"*","~*"),"?","~?"),'DADOS_FORMAS'!$AH$2:$AH$21,0)),""),"~","~~"),"*","~*"),"?","~?"),'DADOS_RESTRICOES'!$M$2:$Q$54,2,FALSE),"")=$OL110)),"Restrição repetida, contando a embutida",""),IF(IF(IFERROR(INDEX('DADOS_FORMAS'!$AS$2:$AS$21,MATCH(SUBSTITUTE(SUBSTITUTE(SUBSTITUTE($MU110,"~","~~"),"*","~*"),"?","~?"),'DADOS_FORMAS'!$AH$2:$AH$21,0)),"")="",0,IFERROR(N(VLOOKUP(SUBSTITUTE(SUBSTITUTE(SUBSTITUTE(IFERROR(INDEX('DADOS_FORMAS'!$AS$2:$AS$21,MATCH(SUBSTITUTE(SUBSTITUTE(SUBSTITUTE($MU110,"~","~~"),"*","~*"),"?","~?"),'DADOS_FORMAS'!$AH$2:$AH$21,0)),""),"~","~~"),"*","~*"),"?","~?"),'DADOS_RESTRICOES'!$M$2:$Q$54,4,FALSE)=1),0))+IF($NB110="",0,IFERROR(N(VLOOKUP(SUBSTITUTE(SUBSTITUTE(SUBSTITUTE($NB110,"~","~~"),"*","~*"),"?","~?"),'DADOS_RESTRICOES'!$M$2:$Q$54,4,FALSE)=1),0))+IF($NC110="",0,IFERROR(N(VLOOKUP(SUBSTITUTE(SUBSTITUTE(SUBSTITUTE($NC110,"~","~~"),"*","~*"),"?","~?"),'DADOS_RESTRICOES'!$M$2:$Q$54,4,FALSE)=1),0))&gt;1,"Duas Restrições de frequência, contando a embutida",""),IF(AND(IFERROR(VLOOKUP(SUBSTITUTE(SUBSTITUTE(SUBSTITUTE(IFERROR(INDEX('DADOS_FORMAS'!$AS$2:$AS$21,MATCH(SUBSTITUTE(SUBSTITUTE(SUBSTITUTE($MU110,"~","~~"),"*","~*"),"?","~?"),'DADOS_FORMAS'!$AH$2:$AH$21,0)),""),"~","~~"),"*","~*"),"?","~?"),'DADOS_RESTRICOES'!$M$2:$Q$54,2,FALSE),"")="Tudo ou Nada",$OH110=0),"Tudo ou Nada exige TR",""),IF(AND(IFERROR(VLOOKUP(SUBSTITUTE(SUBSTITUTE(SUBSTITUTE(IFERROR(INDEX('DADOS_FORMAS'!$AS$2:$AS$21,MATCH(SUBSTITUTE(SUBSTITUTE(SUBSTITUTE($MU110,"~","~~"),"*","~*"),"?","~?"),'DADOS_FORMAS'!$AH$2:$AH$21,0)),""),"~","~~"),"*","~*"),"?","~?"),'DADOS_RESTRICOES'!$M$2:$Q$54,2,FALSE),"")="Corpo a Corpo",OR($RO110="Cone",$RO110="Linha")),"Corpo a Corpo não entra em Cone/Linha","")))</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dela",IF(COUNTIF($RQ110:$RS110,"Atrasar")&gt;0,"Sua Ação Completa",IF(COUNTIF($RK110:$RN110,"Rápido")&gt;0,"Sua Bônus",IF(COUNTIF($RK110:$RN110,"Reação")&gt;0,"Sua Reação","Sua Padrão")))&amp;" + a básica dela"&amp;IF(COUNTIF($RK110:$RN110,"Reação")&gt;0," e a coletiva","")&amp;IF(COUNTIF($RQ110:$RS110,"Carregar")&gt;0," · em dois turnos","")))</f>
        <v/>
      </c>
      <c r="QC110" s="161">
        <f>IF($MW110&lt;&gt;"",$MW110,IF($NJ110=0,"",INDEX('DADOS_FORMAS'!$GE$2:$GE$21,$NJ110)))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IF($NJ110=0,0,CHOOSE(1+INDEX('DADOS_FORMAS'!$GG$2:$GG$21,$NJ110),0,$QF110,$QG110,$QF110+$QG110))</f>
        <v/>
      </c>
      <c r="QI110" s="161">
        <f>IF($NJ110=0,0,CHOOSE(1+INDEX('DADOS_FORMAS'!$GH$2:$GH$21,$NJ110),0,$QF110,$QG110,$QF110+$QG110))</f>
        <v/>
      </c>
      <c r="QJ110" s="161">
        <f>IF(OR($ND110=0,$NJ110=0),"",INDEX('DADOS_FORMAS'!$HU$2:$HZ$81,($NJ110-1)*4+IF($MS110=0,1,IF($MS110&lt;=5,2,IF($MS110=6,3,4))),1+MIN(5,$QH110))&amp;INDEX('DADOS_FORMAS'!$IA$2:$IF$81,($NJ110-1)*4+IF($MS110=0,1,IF($MS110&lt;=5,2,IF($MS110=6,3,4))),1+MIN(5,$QI110))&amp;IF(INDEX('DADOS_FORMAS'!$GI$2:$GI$21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c r="RO110">
        <f>IFERROR(INDEX('DADOS_FORMAS'!$BJ$2:$BJ$21,MATCH(SUBSTITUTE(SUBSTITUTE(SUBSTITUTE($MU110,"~","~~"),"*","~*"),"?","~?"),'DADOS_FORMAS'!$AH$2:$AH$21,0)),"")</f>
        <v/>
      </c>
      <c r="RP110">
        <f>IFERROR(VLOOKUP(SUBSTITUTE(SUBSTITUTE(SUBSTITUTE(IFERROR(INDEX('DADOS_FORMAS'!$AS$2:$AS$21,MATCH(SUBSTITUTE(SUBSTITUTE(SUBSTITUTE($MU110,"~","~~"),"*","~*"),"?","~?"),'DADOS_FORMAS'!$AH$2:$AH$21,0)),""),"~","~~"),"*","~*"),"?","~?"),'DADOS_RESTRICOES'!$M$2:$Q$54,2,FALSE),"")</f>
        <v/>
      </c>
      <c r="RQ110">
        <f>$OK110</f>
        <v/>
      </c>
      <c r="RR110">
        <f>$OL110</f>
        <v/>
      </c>
      <c r="RS110">
        <f>$RP110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IFERROR(MATCH(SUBSTITUTE(SUBSTITUTE(SUBSTITUTE($MU111,"~","~~"),"*","~*"),"?","~?"),'DADOS_FORMAS'!$FZ$2:$FZ$21,0),0)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IF($MS111=0,0,IF($NJ111=0,0,INDEX('DADOS_FORMAS'!$GB$2:$GB$21,$NJ111)))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IF($NJ111=0,0,IF(INDEX('DADOS_FORMAS'!$GA$2:$GA$21,$NJ111)="",0,IF((COUNTIF(INDEX($EL$2:$EP$13,$MO111,0),INDEX('DADOS_FORMAS'!$GA$2:$GA$21,$NJ111))+COUNTIF(INDEX($QV$2:$QY$13,$MO111,0),INDEX('DADOS_FORMAS'!$GA$2:$GA$21,$NJ111)))=0,1,0)))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IFERROR(N(AND(INDEX('DADOS_FORMAS'!$AO$2:$AO$21,MATCH(SUBSTITUTE(SUBSTITUTE(SUBSTITUTE($MU111,"~","~~"),"*","~*"),"?","~?"),'DADOS_FORMAS'!$AH$2:$AH$21,0))="Acerto",$OH111=1)),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IF($NJ111=0,0,INDEX('DADOS_FORMAS'!$GC$2:$GC$21,$NJ111))</f>
        <v/>
      </c>
      <c r="OG111" s="161">
        <f>IF($NJ111=0,0,INDEX('DADOS_FORMAS'!$GD$2:$GD$21,$NJ111))</f>
        <v/>
      </c>
      <c r="OH111" s="161">
        <f>IF($NJ111=0,0,INDEX('DADOS_FORMAS'!$GF$2:$GF$21,$NJ111))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IF(IFERROR(INDEX('DADOS_FORMAS'!$AS$2:$AS$21,MATCH(SUBSTITUTE(SUBSTITUTE(SUBSTITUTE($MU111,"~","~~"),"*","~*"),"?","~?"),'DADOS_FORMAS'!$AH$2:$AH$21,0)),"")="",0,IFERROR(N(VLOOKUP(SUBSTITUTE(SUBSTITUTE(SUBSTITUTE(IFERROR(INDEX('DADOS_FORMAS'!$AS$2:$AS$21,MATCH(SUBSTITUTE(SUBSTITUTE(SUBSTITUTE($MU111,"~","~~"),"*","~*"),"?","~?"),'DADOS_FORMAS'!$AH$2:$AH$21,0)),""),"~","~~"),"*","~*"),"?","~?"),'DADOS_RESTRICOES'!$M$2:$Q$54,3,FALSE)=1),0))</f>
        <v/>
      </c>
      <c r="OT111" s="161">
        <f>COUNTIF($OI111:$OJ111,2)+IF(IFERROR(INDEX('DADOS_FORMAS'!$AS$2:$AS$21,MATCH(SUBSTITUTE(SUBSTITUTE(SUBSTITUTE($MU111,"~","~~"),"*","~*"),"?","~?"),'DADOS_FORMAS'!$AH$2:$AH$21,0)),"")="",0,IFERROR(N(VLOOKUP(SUBSTITUTE(SUBSTITUTE(SUBSTITUTE(IFERROR(INDEX('DADOS_FORMAS'!$AS$2:$AS$21,MATCH(SUBSTITUTE(SUBSTITUTE(SUBSTITUTE($MU111,"~","~~"),"*","~*"),"?","~?"),'DADOS_FORMAS'!$AH$2:$AH$21,0)),""),"~","~~"),"*","~*"),"?","~?"),'DADOS_RESTRICOES'!$M$2:$Q$54,3,FALSE)=2),0))</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",TRUE,IF($ND111=0,"",TEXTJOIN(" · ",TRUE,IF($MQ111&gt;$NE111,"Este lugar abre no nível "&amp;$MQ111,""),IF($MS111&gt;$NF111,"Classe "&amp;$MS111&amp;": o nível "&amp;$NE111&amp;" libera até a "&amp;$NF111,""),IF($NX111=1,"A Forma "&amp;$MU111&amp;" pede "&amp;INDEX('DADOS_FORMAS'!$GA$2:$GA$21,$NJ111)&amp;" aberta",""),IF(AND($MS111=0,$NJ111&gt;0,IF($NJ111=0,0,INDEX('DADOS_FORMAS'!$GJ$2:$GJ$21,$NJ111))=0),$MU111&amp;"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Corpo")&gt;0,$OF111=0,OR($RO111="Cone",$RO111="Linha")),"Corpo a Corpo não entra em "&amp;$MU111,""),IF(AND(COUNTIF($OK111:$OL111,"Corpo a Corpo")&gt;0,$RP111="Corpo a Corpo"),"A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"&amp;$NC111,""))),IF(AND($MU111&lt;&gt;"",COUNTIF('DADOS_FORMAS'!$AH$2:$AH$21,SUBSTITUTE(SUBSTITUTE(SUBSTITUTE($MU111,"~","~~"),"*","~*"),"?","~?"))=0),"Forma não cadastrada ou com erro: "&amp;$MU111,""),IF(AND(IFERROR(INDEX('DADOS_FORMAS'!$AS$2:$AS$21,MATCH(SUBSTITUTE(SUBSTITUTE(SUBSTITUTE($MU111,"~","~~"),"*","~*"),"?","~?"),'DADOS_FORMAS'!$AH$2:$AH$21,0)),"")&lt;&gt;"",OR(IFERROR(VLOOKUP(SUBSTITUTE(SUBSTITUTE(SUBSTITUTE(IFERROR(INDEX('DADOS_FORMAS'!$AS$2:$AS$21,MATCH(SUBSTITUTE(SUBSTITUTE(SUBSTITUTE($MU111,"~","~~"),"*","~*"),"?","~?"),'DADOS_FORMAS'!$AH$2:$AH$21,0)),""),"~","~~"),"*","~*"),"?","~?"),'DADOS_RESTRICOES'!$M$2:$Q$54,2,FALSE),"")=$OK111,IFERROR(VLOOKUP(SUBSTITUTE(SUBSTITUTE(SUBSTITUTE(IFERROR(INDEX('DADOS_FORMAS'!$AS$2:$AS$21,MATCH(SUBSTITUTE(SUBSTITUTE(SUBSTITUTE($MU111,"~","~~"),"*","~*"),"?","~?"),'DADOS_FORMAS'!$AH$2:$AH$21,0)),""),"~","~~"),"*","~*"),"?","~?"),'DADOS_RESTRICOES'!$M$2:$Q$54,2,FALSE),"")=$OL111)),"Restrição repetida, contando a embutida",""),IF(IF(IFERROR(INDEX('DADOS_FORMAS'!$AS$2:$AS$21,MATCH(SUBSTITUTE(SUBSTITUTE(SUBSTITUTE($MU111,"~","~~"),"*","~*"),"?","~?"),'DADOS_FORMAS'!$AH$2:$AH$21,0)),"")="",0,IFERROR(N(VLOOKUP(SUBSTITUTE(SUBSTITUTE(SUBSTITUTE(IFERROR(INDEX('DADOS_FORMAS'!$AS$2:$AS$21,MATCH(SUBSTITUTE(SUBSTITUTE(SUBSTITUTE($MU111,"~","~~"),"*","~*"),"?","~?"),'DADOS_FORMAS'!$AH$2:$AH$21,0)),""),"~","~~"),"*","~*"),"?","~?"),'DADOS_RESTRICOES'!$M$2:$Q$54,4,FALSE)=1),0))+IF($NB111="",0,IFERROR(N(VLOOKUP(SUBSTITUTE(SUBSTITUTE(SUBSTITUTE($NB111,"~","~~"),"*","~*"),"?","~?"),'DADOS_RESTRICOES'!$M$2:$Q$54,4,FALSE)=1),0))+IF($NC111="",0,IFERROR(N(VLOOKUP(SUBSTITUTE(SUBSTITUTE(SUBSTITUTE($NC111,"~","~~"),"*","~*"),"?","~?"),'DADOS_RESTRICOES'!$M$2:$Q$54,4,FALSE)=1),0))&gt;1,"Duas Restrições de frequência, contando a embutida",""),IF(AND(IFERROR(VLOOKUP(SUBSTITUTE(SUBSTITUTE(SUBSTITUTE(IFERROR(INDEX('DADOS_FORMAS'!$AS$2:$AS$21,MATCH(SUBSTITUTE(SUBSTITUTE(SUBSTITUTE($MU111,"~","~~"),"*","~*"),"?","~?"),'DADOS_FORMAS'!$AH$2:$AH$21,0)),""),"~","~~"),"*","~*"),"?","~?"),'DADOS_RESTRICOES'!$M$2:$Q$54,2,FALSE),"")="Tudo ou Nada",$OH111=0),"Tudo ou Nada exige TR",""),IF(AND(IFERROR(VLOOKUP(SUBSTITUTE(SUBSTITUTE(SUBSTITUTE(IFERROR(INDEX('DADOS_FORMAS'!$AS$2:$AS$21,MATCH(SUBSTITUTE(SUBSTITUTE(SUBSTITUTE($MU111,"~","~~"),"*","~*"),"?","~?"),'DADOS_FORMAS'!$AH$2:$AH$21,0)),""),"~","~~"),"*","~*"),"?","~?"),'DADOS_RESTRICOES'!$M$2:$Q$54,2,FALSE),"")="Corpo a Corpo",OR($RO111="Cone",$RO111="Linha")),"Corpo a Corpo não entra em Cone/Linha","")))</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dela",IF(COUNTIF($RQ111:$RS111,"Atrasar")&gt;0,"Sua Ação Completa",IF(COUNTIF($RK111:$RN111,"Rápido")&gt;0,"Sua Bônus",IF(COUNTIF($RK111:$RN111,"Reação")&gt;0,"Sua Reação","Sua Padrão")))&amp;" + a básica dela"&amp;IF(COUNTIF($RK111:$RN111,"Reação")&gt;0," e a coletiva","")&amp;IF(COUNTIF($RQ111:$RS111,"Carregar")&gt;0," · em dois turnos","")))</f>
        <v/>
      </c>
      <c r="QC111" s="161">
        <f>IF($MW111&lt;&gt;"",$MW111,IF($NJ111=0,"",INDEX('DADOS_FORMAS'!$GE$2:$GE$21,$NJ111)))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IF($NJ111=0,0,CHOOSE(1+INDEX('DADOS_FORMAS'!$GG$2:$GG$21,$NJ111),0,$QF111,$QG111,$QF111+$QG111))</f>
        <v/>
      </c>
      <c r="QI111" s="161">
        <f>IF($NJ111=0,0,CHOOSE(1+INDEX('DADOS_FORMAS'!$GH$2:$GH$21,$NJ111),0,$QF111,$QG111,$QF111+$QG111))</f>
        <v/>
      </c>
      <c r="QJ111" s="161">
        <f>IF(OR($ND111=0,$NJ111=0),"",INDEX('DADOS_FORMAS'!$HU$2:$HZ$81,($NJ111-1)*4+IF($MS111=0,1,IF($MS111&lt;=5,2,IF($MS111=6,3,4))),1+MIN(5,$QH111))&amp;INDEX('DADOS_FORMAS'!$IA$2:$IF$81,($NJ111-1)*4+IF($MS111=0,1,IF($MS111&lt;=5,2,IF($MS111=6,3,4))),1+MIN(5,$QI111))&amp;IF(INDEX('DADOS_FORMAS'!$GI$2:$GI$21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c r="RO111">
        <f>IFERROR(INDEX('DADOS_FORMAS'!$BJ$2:$BJ$21,MATCH(SUBSTITUTE(SUBSTITUTE(SUBSTITUTE($MU111,"~","~~"),"*","~*"),"?","~?"),'DADOS_FORMAS'!$AH$2:$AH$21,0)),"")</f>
        <v/>
      </c>
      <c r="RP111">
        <f>IFERROR(VLOOKUP(SUBSTITUTE(SUBSTITUTE(SUBSTITUTE(IFERROR(INDEX('DADOS_FORMAS'!$AS$2:$AS$21,MATCH(SUBSTITUTE(SUBSTITUTE(SUBSTITUTE($MU111,"~","~~"),"*","~*"),"?","~?"),'DADOS_FORMAS'!$AH$2:$AH$21,0)),""),"~","~~"),"*","~*"),"?","~?"),'DADOS_RESTRICOES'!$M$2:$Q$54,2,FALSE),"")</f>
        <v/>
      </c>
      <c r="RQ111">
        <f>$OK111</f>
        <v/>
      </c>
      <c r="RR111">
        <f>$OL111</f>
        <v/>
      </c>
      <c r="RS111">
        <f>$RP111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IFERROR(MATCH(SUBSTITUTE(SUBSTITUTE(SUBSTITUTE($MU112,"~","~~"),"*","~*"),"?","~?"),'DADOS_FORMAS'!$FZ$2:$FZ$21,0),0)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IF($MS112=0,0,IF($NJ112=0,0,INDEX('DADOS_FORMAS'!$GB$2:$GB$21,$NJ112)))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IF($NJ112=0,0,IF(INDEX('DADOS_FORMAS'!$GA$2:$GA$21,$NJ112)="",0,IF((COUNTIF(INDEX($EL$2:$EP$13,$MO112,0),INDEX('DADOS_FORMAS'!$GA$2:$GA$21,$NJ112))+COUNTIF(INDEX($QV$2:$QY$13,$MO112,0),INDEX('DADOS_FORMAS'!$GA$2:$GA$21,$NJ112)))=0,1,0)))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IFERROR(N(AND(INDEX('DADOS_FORMAS'!$AO$2:$AO$21,MATCH(SUBSTITUTE(SUBSTITUTE(SUBSTITUTE($MU112,"~","~~"),"*","~*"),"?","~?"),'DADOS_FORMAS'!$AH$2:$AH$21,0))="Acerto",$OH112=1)),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IF($NJ112=0,0,INDEX('DADOS_FORMAS'!$GC$2:$GC$21,$NJ112))</f>
        <v/>
      </c>
      <c r="OG112" s="161">
        <f>IF($NJ112=0,0,INDEX('DADOS_FORMAS'!$GD$2:$GD$21,$NJ112))</f>
        <v/>
      </c>
      <c r="OH112" s="161">
        <f>IF($NJ112=0,0,INDEX('DADOS_FORMAS'!$GF$2:$GF$21,$NJ112))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IF(IFERROR(INDEX('DADOS_FORMAS'!$AS$2:$AS$21,MATCH(SUBSTITUTE(SUBSTITUTE(SUBSTITUTE($MU112,"~","~~"),"*","~*"),"?","~?"),'DADOS_FORMAS'!$AH$2:$AH$21,0)),"")="",0,IFERROR(N(VLOOKUP(SUBSTITUTE(SUBSTITUTE(SUBSTITUTE(IFERROR(INDEX('DADOS_FORMAS'!$AS$2:$AS$21,MATCH(SUBSTITUTE(SUBSTITUTE(SUBSTITUTE($MU112,"~","~~"),"*","~*"),"?","~?"),'DADOS_FORMAS'!$AH$2:$AH$21,0)),""),"~","~~"),"*","~*"),"?","~?"),'DADOS_RESTRICOES'!$M$2:$Q$54,3,FALSE)=1),0))</f>
        <v/>
      </c>
      <c r="OT112" s="161">
        <f>COUNTIF($OI112:$OJ112,2)+IF(IFERROR(INDEX('DADOS_FORMAS'!$AS$2:$AS$21,MATCH(SUBSTITUTE(SUBSTITUTE(SUBSTITUTE($MU112,"~","~~"),"*","~*"),"?","~?"),'DADOS_FORMAS'!$AH$2:$AH$21,0)),"")="",0,IFERROR(N(VLOOKUP(SUBSTITUTE(SUBSTITUTE(SUBSTITUTE(IFERROR(INDEX('DADOS_FORMAS'!$AS$2:$AS$21,MATCH(SUBSTITUTE(SUBSTITUTE(SUBSTITUTE($MU112,"~","~~"),"*","~*"),"?","~?"),'DADOS_FORMAS'!$AH$2:$AH$21,0)),""),"~","~~"),"*","~*"),"?","~?"),'DADOS_RESTRICOES'!$M$2:$Q$54,3,FALSE)=2),0))</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",TRUE,IF($ND112=0,"",TEXTJOIN(" · ",TRUE,IF($MQ112&gt;$NE112,"Este lugar abre no nível "&amp;$MQ112,""),IF($MS112&gt;$NF112,"Classe "&amp;$MS112&amp;": o nível "&amp;$NE112&amp;" libera até a "&amp;$NF112,""),IF($NX112=1,"A Forma "&amp;$MU112&amp;" pede "&amp;INDEX('DADOS_FORMAS'!$GA$2:$GA$21,$NJ112)&amp;" aberta",""),IF(AND($MS112=0,$NJ112&gt;0,IF($NJ112=0,0,INDEX('DADOS_FORMAS'!$GJ$2:$GJ$21,$NJ112))=0),$MU112&amp;"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Corpo")&gt;0,$OF112=0,OR($RO112="Cone",$RO112="Linha")),"Corpo a Corpo não entra em "&amp;$MU112,""),IF(AND(COUNTIF($OK112:$OL112,"Corpo a Corpo")&gt;0,$RP112="Corpo a Corpo"),"A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"&amp;$NC112,""))),IF(AND($MU112&lt;&gt;"",COUNTIF('DADOS_FORMAS'!$AH$2:$AH$21,SUBSTITUTE(SUBSTITUTE(SUBSTITUTE($MU112,"~","~~"),"*","~*"),"?","~?"))=0),"Forma não cadastrada ou com erro: "&amp;$MU112,""),IF(AND(IFERROR(INDEX('DADOS_FORMAS'!$AS$2:$AS$21,MATCH(SUBSTITUTE(SUBSTITUTE(SUBSTITUTE($MU112,"~","~~"),"*","~*"),"?","~?"),'DADOS_FORMAS'!$AH$2:$AH$21,0)),"")&lt;&gt;"",OR(IFERROR(VLOOKUP(SUBSTITUTE(SUBSTITUTE(SUBSTITUTE(IFERROR(INDEX('DADOS_FORMAS'!$AS$2:$AS$21,MATCH(SUBSTITUTE(SUBSTITUTE(SUBSTITUTE($MU112,"~","~~"),"*","~*"),"?","~?"),'DADOS_FORMAS'!$AH$2:$AH$21,0)),""),"~","~~"),"*","~*"),"?","~?"),'DADOS_RESTRICOES'!$M$2:$Q$54,2,FALSE),"")=$OK112,IFERROR(VLOOKUP(SUBSTITUTE(SUBSTITUTE(SUBSTITUTE(IFERROR(INDEX('DADOS_FORMAS'!$AS$2:$AS$21,MATCH(SUBSTITUTE(SUBSTITUTE(SUBSTITUTE($MU112,"~","~~"),"*","~*"),"?","~?"),'DADOS_FORMAS'!$AH$2:$AH$21,0)),""),"~","~~"),"*","~*"),"?","~?"),'DADOS_RESTRICOES'!$M$2:$Q$54,2,FALSE),"")=$OL112)),"Restrição repetida, contando a embutida",""),IF(IF(IFERROR(INDEX('DADOS_FORMAS'!$AS$2:$AS$21,MATCH(SUBSTITUTE(SUBSTITUTE(SUBSTITUTE($MU112,"~","~~"),"*","~*"),"?","~?"),'DADOS_FORMAS'!$AH$2:$AH$21,0)),"")="",0,IFERROR(N(VLOOKUP(SUBSTITUTE(SUBSTITUTE(SUBSTITUTE(IFERROR(INDEX('DADOS_FORMAS'!$AS$2:$AS$21,MATCH(SUBSTITUTE(SUBSTITUTE(SUBSTITUTE($MU112,"~","~~"),"*","~*"),"?","~?"),'DADOS_FORMAS'!$AH$2:$AH$21,0)),""),"~","~~"),"*","~*"),"?","~?"),'DADOS_RESTRICOES'!$M$2:$Q$54,4,FALSE)=1),0))+IF($NB112="",0,IFERROR(N(VLOOKUP(SUBSTITUTE(SUBSTITUTE(SUBSTITUTE($NB112,"~","~~"),"*","~*"),"?","~?"),'DADOS_RESTRICOES'!$M$2:$Q$54,4,FALSE)=1),0))+IF($NC112="",0,IFERROR(N(VLOOKUP(SUBSTITUTE(SUBSTITUTE(SUBSTITUTE($NC112,"~","~~"),"*","~*"),"?","~?"),'DADOS_RESTRICOES'!$M$2:$Q$54,4,FALSE)=1),0))&gt;1,"Duas Restrições de frequência, contando a embutida",""),IF(AND(IFERROR(VLOOKUP(SUBSTITUTE(SUBSTITUTE(SUBSTITUTE(IFERROR(INDEX('DADOS_FORMAS'!$AS$2:$AS$21,MATCH(SUBSTITUTE(SUBSTITUTE(SUBSTITUTE($MU112,"~","~~"),"*","~*"),"?","~?"),'DADOS_FORMAS'!$AH$2:$AH$21,0)),""),"~","~~"),"*","~*"),"?","~?"),'DADOS_RESTRICOES'!$M$2:$Q$54,2,FALSE),"")="Tudo ou Nada",$OH112=0),"Tudo ou Nada exige TR",""),IF(AND(IFERROR(VLOOKUP(SUBSTITUTE(SUBSTITUTE(SUBSTITUTE(IFERROR(INDEX('DADOS_FORMAS'!$AS$2:$AS$21,MATCH(SUBSTITUTE(SUBSTITUTE(SUBSTITUTE($MU112,"~","~~"),"*","~*"),"?","~?"),'DADOS_FORMAS'!$AH$2:$AH$21,0)),""),"~","~~"),"*","~*"),"?","~?"),'DADOS_RESTRICOES'!$M$2:$Q$54,2,FALSE),"")="Corpo a Corpo",OR($RO112="Cone",$RO112="Linha")),"Corpo a Corpo não entra em Cone/Linha","")))</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dela",IF(COUNTIF($RQ112:$RS112,"Atrasar")&gt;0,"Sua Ação Completa",IF(COUNTIF($RK112:$RN112,"Rápido")&gt;0,"Sua Bônus",IF(COUNTIF($RK112:$RN112,"Reação")&gt;0,"Sua Reação","Sua Padrão")))&amp;" + a básica dela"&amp;IF(COUNTIF($RK112:$RN112,"Reação")&gt;0," e a coletiva","")&amp;IF(COUNTIF($RQ112:$RS112,"Carregar")&gt;0," · em dois turnos","")))</f>
        <v/>
      </c>
      <c r="QC112" s="161">
        <f>IF($MW112&lt;&gt;"",$MW112,IF($NJ112=0,"",INDEX('DADOS_FORMAS'!$GE$2:$GE$21,$NJ112)))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IF($NJ112=0,0,CHOOSE(1+INDEX('DADOS_FORMAS'!$GG$2:$GG$21,$NJ112),0,$QF112,$QG112,$QF112+$QG112))</f>
        <v/>
      </c>
      <c r="QI112" s="161">
        <f>IF($NJ112=0,0,CHOOSE(1+INDEX('DADOS_FORMAS'!$GH$2:$GH$21,$NJ112),0,$QF112,$QG112,$QF112+$QG112))</f>
        <v/>
      </c>
      <c r="QJ112" s="161">
        <f>IF(OR($ND112=0,$NJ112=0),"",INDEX('DADOS_FORMAS'!$HU$2:$HZ$81,($NJ112-1)*4+IF($MS112=0,1,IF($MS112&lt;=5,2,IF($MS112=6,3,4))),1+MIN(5,$QH112))&amp;INDEX('DADOS_FORMAS'!$IA$2:$IF$81,($NJ112-1)*4+IF($MS112=0,1,IF($MS112&lt;=5,2,IF($MS112=6,3,4))),1+MIN(5,$QI112))&amp;IF(INDEX('DADOS_FORMAS'!$GI$2:$GI$21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c r="RO112">
        <f>IFERROR(INDEX('DADOS_FORMAS'!$BJ$2:$BJ$21,MATCH(SUBSTITUTE(SUBSTITUTE(SUBSTITUTE($MU112,"~","~~"),"*","~*"),"?","~?"),'DADOS_FORMAS'!$AH$2:$AH$21,0)),"")</f>
        <v/>
      </c>
      <c r="RP112">
        <f>IFERROR(VLOOKUP(SUBSTITUTE(SUBSTITUTE(SUBSTITUTE(IFERROR(INDEX('DADOS_FORMAS'!$AS$2:$AS$21,MATCH(SUBSTITUTE(SUBSTITUTE(SUBSTITUTE($MU112,"~","~~"),"*","~*"),"?","~?"),'DADOS_FORMAS'!$AH$2:$AH$21,0)),""),"~","~~"),"*","~*"),"?","~?"),'DADOS_RESTRICOES'!$M$2:$Q$54,2,FALSE),"")</f>
        <v/>
      </c>
      <c r="RQ112">
        <f>$OK112</f>
        <v/>
      </c>
      <c r="RR112">
        <f>$OL112</f>
        <v/>
      </c>
      <c r="RS112">
        <f>$RP112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IFERROR(MATCH(SUBSTITUTE(SUBSTITUTE(SUBSTITUTE($MU113,"~","~~"),"*","~*"),"?","~?"),'DADOS_FORMAS'!$FZ$2:$FZ$21,0),0)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IF($MS113=0,0,IF($NJ113=0,0,INDEX('DADOS_FORMAS'!$GB$2:$GB$21,$NJ113)))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IF($NJ113=0,0,IF(INDEX('DADOS_FORMAS'!$GA$2:$GA$21,$NJ113)="",0,IF((COUNTIF(INDEX($EL$2:$EP$13,$MO113,0),INDEX('DADOS_FORMAS'!$GA$2:$GA$21,$NJ113))+COUNTIF(INDEX($QV$2:$QY$13,$MO113,0),INDEX('DADOS_FORMAS'!$GA$2:$GA$21,$NJ113)))=0,1,0)))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IFERROR(N(AND(INDEX('DADOS_FORMAS'!$AO$2:$AO$21,MATCH(SUBSTITUTE(SUBSTITUTE(SUBSTITUTE($MU113,"~","~~"),"*","~*"),"?","~?"),'DADOS_FORMAS'!$AH$2:$AH$21,0))="Acerto",$OH113=1)),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IF($NJ113=0,0,INDEX('DADOS_FORMAS'!$GC$2:$GC$21,$NJ113))</f>
        <v/>
      </c>
      <c r="OG113" s="161">
        <f>IF($NJ113=0,0,INDEX('DADOS_FORMAS'!$GD$2:$GD$21,$NJ113))</f>
        <v/>
      </c>
      <c r="OH113" s="161">
        <f>IF($NJ113=0,0,INDEX('DADOS_FORMAS'!$GF$2:$GF$21,$NJ113))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IF(IFERROR(INDEX('DADOS_FORMAS'!$AS$2:$AS$21,MATCH(SUBSTITUTE(SUBSTITUTE(SUBSTITUTE($MU113,"~","~~"),"*","~*"),"?","~?"),'DADOS_FORMAS'!$AH$2:$AH$21,0)),"")="",0,IFERROR(N(VLOOKUP(SUBSTITUTE(SUBSTITUTE(SUBSTITUTE(IFERROR(INDEX('DADOS_FORMAS'!$AS$2:$AS$21,MATCH(SUBSTITUTE(SUBSTITUTE(SUBSTITUTE($MU113,"~","~~"),"*","~*"),"?","~?"),'DADOS_FORMAS'!$AH$2:$AH$21,0)),""),"~","~~"),"*","~*"),"?","~?"),'DADOS_RESTRICOES'!$M$2:$Q$54,3,FALSE)=1),0))</f>
        <v/>
      </c>
      <c r="OT113" s="161">
        <f>COUNTIF($OI113:$OJ113,2)+IF(IFERROR(INDEX('DADOS_FORMAS'!$AS$2:$AS$21,MATCH(SUBSTITUTE(SUBSTITUTE(SUBSTITUTE($MU113,"~","~~"),"*","~*"),"?","~?"),'DADOS_FORMAS'!$AH$2:$AH$21,0)),"")="",0,IFERROR(N(VLOOKUP(SUBSTITUTE(SUBSTITUTE(SUBSTITUTE(IFERROR(INDEX('DADOS_FORMAS'!$AS$2:$AS$21,MATCH(SUBSTITUTE(SUBSTITUTE(SUBSTITUTE($MU113,"~","~~"),"*","~*"),"?","~?"),'DADOS_FORMAS'!$AH$2:$AH$21,0)),""),"~","~~"),"*","~*"),"?","~?"),'DADOS_RESTRICOES'!$M$2:$Q$54,3,FALSE)=2),0))</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",TRUE,IF($ND113=0,"",TEXTJOIN(" · ",TRUE,IF($MQ113&gt;$NE113,"Este lugar abre no nível "&amp;$MQ113,""),IF($MS113&gt;$NF113,"Classe "&amp;$MS113&amp;": o nível "&amp;$NE113&amp;" libera até a "&amp;$NF113,""),IF($NX113=1,"A Forma "&amp;$MU113&amp;" pede "&amp;INDEX('DADOS_FORMAS'!$GA$2:$GA$21,$NJ113)&amp;" aberta",""),IF(AND($MS113=0,$NJ113&gt;0,IF($NJ113=0,0,INDEX('DADOS_FORMAS'!$GJ$2:$GJ$21,$NJ113))=0),$MU113&amp;"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Corpo")&gt;0,$OF113=0,OR($RO113="Cone",$RO113="Linha")),"Corpo a Corpo não entra em "&amp;$MU113,""),IF(AND(COUNTIF($OK113:$OL113,"Corpo a Corpo")&gt;0,$RP113="Corpo a Corpo"),"A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"&amp;$NC113,""))),IF(AND($MU113&lt;&gt;"",COUNTIF('DADOS_FORMAS'!$AH$2:$AH$21,SUBSTITUTE(SUBSTITUTE(SUBSTITUTE($MU113,"~","~~"),"*","~*"),"?","~?"))=0),"Forma não cadastrada ou com erro: "&amp;$MU113,""),IF(AND(IFERROR(INDEX('DADOS_FORMAS'!$AS$2:$AS$21,MATCH(SUBSTITUTE(SUBSTITUTE(SUBSTITUTE($MU113,"~","~~"),"*","~*"),"?","~?"),'DADOS_FORMAS'!$AH$2:$AH$21,0)),"")&lt;&gt;"",OR(IFERROR(VLOOKUP(SUBSTITUTE(SUBSTITUTE(SUBSTITUTE(IFERROR(INDEX('DADOS_FORMAS'!$AS$2:$AS$21,MATCH(SUBSTITUTE(SUBSTITUTE(SUBSTITUTE($MU113,"~","~~"),"*","~*"),"?","~?"),'DADOS_FORMAS'!$AH$2:$AH$21,0)),""),"~","~~"),"*","~*"),"?","~?"),'DADOS_RESTRICOES'!$M$2:$Q$54,2,FALSE),"")=$OK113,IFERROR(VLOOKUP(SUBSTITUTE(SUBSTITUTE(SUBSTITUTE(IFERROR(INDEX('DADOS_FORMAS'!$AS$2:$AS$21,MATCH(SUBSTITUTE(SUBSTITUTE(SUBSTITUTE($MU113,"~","~~"),"*","~*"),"?","~?"),'DADOS_FORMAS'!$AH$2:$AH$21,0)),""),"~","~~"),"*","~*"),"?","~?"),'DADOS_RESTRICOES'!$M$2:$Q$54,2,FALSE),"")=$OL113)),"Restrição repetida, contando a embutida",""),IF(IF(IFERROR(INDEX('DADOS_FORMAS'!$AS$2:$AS$21,MATCH(SUBSTITUTE(SUBSTITUTE(SUBSTITUTE($MU113,"~","~~"),"*","~*"),"?","~?"),'DADOS_FORMAS'!$AH$2:$AH$21,0)),"")="",0,IFERROR(N(VLOOKUP(SUBSTITUTE(SUBSTITUTE(SUBSTITUTE(IFERROR(INDEX('DADOS_FORMAS'!$AS$2:$AS$21,MATCH(SUBSTITUTE(SUBSTITUTE(SUBSTITUTE($MU113,"~","~~"),"*","~*"),"?","~?"),'DADOS_FORMAS'!$AH$2:$AH$21,0)),""),"~","~~"),"*","~*"),"?","~?"),'DADOS_RESTRICOES'!$M$2:$Q$54,4,FALSE)=1),0))+IF($NB113="",0,IFERROR(N(VLOOKUP(SUBSTITUTE(SUBSTITUTE(SUBSTITUTE($NB113,"~","~~"),"*","~*"),"?","~?"),'DADOS_RESTRICOES'!$M$2:$Q$54,4,FALSE)=1),0))+IF($NC113="",0,IFERROR(N(VLOOKUP(SUBSTITUTE(SUBSTITUTE(SUBSTITUTE($NC113,"~","~~"),"*","~*"),"?","~?"),'DADOS_RESTRICOES'!$M$2:$Q$54,4,FALSE)=1),0))&gt;1,"Duas Restrições de frequência, contando a embutida",""),IF(AND(IFERROR(VLOOKUP(SUBSTITUTE(SUBSTITUTE(SUBSTITUTE(IFERROR(INDEX('DADOS_FORMAS'!$AS$2:$AS$21,MATCH(SUBSTITUTE(SUBSTITUTE(SUBSTITUTE($MU113,"~","~~"),"*","~*"),"?","~?"),'DADOS_FORMAS'!$AH$2:$AH$21,0)),""),"~","~~"),"*","~*"),"?","~?"),'DADOS_RESTRICOES'!$M$2:$Q$54,2,FALSE),"")="Tudo ou Nada",$OH113=0),"Tudo ou Nada exige TR",""),IF(AND(IFERROR(VLOOKUP(SUBSTITUTE(SUBSTITUTE(SUBSTITUTE(IFERROR(INDEX('DADOS_FORMAS'!$AS$2:$AS$21,MATCH(SUBSTITUTE(SUBSTITUTE(SUBSTITUTE($MU113,"~","~~"),"*","~*"),"?","~?"),'DADOS_FORMAS'!$AH$2:$AH$21,0)),""),"~","~~"),"*","~*"),"?","~?"),'DADOS_RESTRICOES'!$M$2:$Q$54,2,FALSE),"")="Corpo a Corpo",OR($RO113="Cone",$RO113="Linha")),"Corpo a Corpo não entra em Cone/Linha","")))</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dela",IF(COUNTIF($RQ113:$RS113,"Atrasar")&gt;0,"Sua Ação Completa",IF(COUNTIF($RK113:$RN113,"Rápido")&gt;0,"Sua Bônus",IF(COUNTIF($RK113:$RN113,"Reação")&gt;0,"Sua Reação","Sua Padrão")))&amp;" + a básica dela"&amp;IF(COUNTIF($RK113:$RN113,"Reação")&gt;0," e a coletiva","")&amp;IF(COUNTIF($RQ113:$RS113,"Carregar")&gt;0," · em dois turnos","")))</f>
        <v/>
      </c>
      <c r="QC113" s="161">
        <f>IF($MW113&lt;&gt;"",$MW113,IF($NJ113=0,"",INDEX('DADOS_FORMAS'!$GE$2:$GE$21,$NJ113)))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IF($NJ113=0,0,CHOOSE(1+INDEX('DADOS_FORMAS'!$GG$2:$GG$21,$NJ113),0,$QF113,$QG113,$QF113+$QG113))</f>
        <v/>
      </c>
      <c r="QI113" s="161">
        <f>IF($NJ113=0,0,CHOOSE(1+INDEX('DADOS_FORMAS'!$GH$2:$GH$21,$NJ113),0,$QF113,$QG113,$QF113+$QG113))</f>
        <v/>
      </c>
      <c r="QJ113" s="161">
        <f>IF(OR($ND113=0,$NJ113=0),"",INDEX('DADOS_FORMAS'!$HU$2:$HZ$81,($NJ113-1)*4+IF($MS113=0,1,IF($MS113&lt;=5,2,IF($MS113=6,3,4))),1+MIN(5,$QH113))&amp;INDEX('DADOS_FORMAS'!$IA$2:$IF$81,($NJ113-1)*4+IF($MS113=0,1,IF($MS113&lt;=5,2,IF($MS113=6,3,4))),1+MIN(5,$QI113))&amp;IF(INDEX('DADOS_FORMAS'!$GI$2:$GI$21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c r="RO113">
        <f>IFERROR(INDEX('DADOS_FORMAS'!$BJ$2:$BJ$21,MATCH(SUBSTITUTE(SUBSTITUTE(SUBSTITUTE($MU113,"~","~~"),"*","~*"),"?","~?"),'DADOS_FORMAS'!$AH$2:$AH$21,0)),"")</f>
        <v/>
      </c>
      <c r="RP113">
        <f>IFERROR(VLOOKUP(SUBSTITUTE(SUBSTITUTE(SUBSTITUTE(IFERROR(INDEX('DADOS_FORMAS'!$AS$2:$AS$21,MATCH(SUBSTITUTE(SUBSTITUTE(SUBSTITUTE($MU113,"~","~~"),"*","~*"),"?","~?"),'DADOS_FORMAS'!$AH$2:$AH$21,0)),""),"~","~~"),"*","~*"),"?","~?"),'DADOS_RESTRICOES'!$M$2:$Q$54,2,FALSE),"")</f>
        <v/>
      </c>
      <c r="RQ113">
        <f>$OK113</f>
        <v/>
      </c>
      <c r="RR113">
        <f>$OL113</f>
        <v/>
      </c>
      <c r="RS113">
        <f>$RP113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IFERROR(MATCH(SUBSTITUTE(SUBSTITUTE(SUBSTITUTE($MU114,"~","~~"),"*","~*"),"?","~?"),'DADOS_FORMAS'!$FZ$2:$FZ$21,0),0)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IF($MS114=0,0,IF($NJ114=0,0,INDEX('DADOS_FORMAS'!$GB$2:$GB$21,$NJ114)))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IF($NJ114=0,0,IF(INDEX('DADOS_FORMAS'!$GA$2:$GA$21,$NJ114)="",0,IF((COUNTIF(INDEX($EL$2:$EP$13,$MO114,0),INDEX('DADOS_FORMAS'!$GA$2:$GA$21,$NJ114))+COUNTIF(INDEX($QV$2:$QY$13,$MO114,0),INDEX('DADOS_FORMAS'!$GA$2:$GA$21,$NJ114)))=0,1,0)))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IFERROR(N(AND(INDEX('DADOS_FORMAS'!$AO$2:$AO$21,MATCH(SUBSTITUTE(SUBSTITUTE(SUBSTITUTE($MU114,"~","~~"),"*","~*"),"?","~?"),'DADOS_FORMAS'!$AH$2:$AH$21,0))="Acerto",$OH114=1)),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IF($NJ114=0,0,INDEX('DADOS_FORMAS'!$GC$2:$GC$21,$NJ114))</f>
        <v/>
      </c>
      <c r="OG114" s="161">
        <f>IF($NJ114=0,0,INDEX('DADOS_FORMAS'!$GD$2:$GD$21,$NJ114))</f>
        <v/>
      </c>
      <c r="OH114" s="161">
        <f>IF($NJ114=0,0,INDEX('DADOS_FORMAS'!$GF$2:$GF$21,$NJ114))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IF(IFERROR(INDEX('DADOS_FORMAS'!$AS$2:$AS$21,MATCH(SUBSTITUTE(SUBSTITUTE(SUBSTITUTE($MU114,"~","~~"),"*","~*"),"?","~?"),'DADOS_FORMAS'!$AH$2:$AH$21,0)),"")="",0,IFERROR(N(VLOOKUP(SUBSTITUTE(SUBSTITUTE(SUBSTITUTE(IFERROR(INDEX('DADOS_FORMAS'!$AS$2:$AS$21,MATCH(SUBSTITUTE(SUBSTITUTE(SUBSTITUTE($MU114,"~","~~"),"*","~*"),"?","~?"),'DADOS_FORMAS'!$AH$2:$AH$21,0)),""),"~","~~"),"*","~*"),"?","~?"),'DADOS_RESTRICOES'!$M$2:$Q$54,3,FALSE)=1),0))</f>
        <v/>
      </c>
      <c r="OT114" s="161">
        <f>COUNTIF($OI114:$OJ114,2)+IF(IFERROR(INDEX('DADOS_FORMAS'!$AS$2:$AS$21,MATCH(SUBSTITUTE(SUBSTITUTE(SUBSTITUTE($MU114,"~","~~"),"*","~*"),"?","~?"),'DADOS_FORMAS'!$AH$2:$AH$21,0)),"")="",0,IFERROR(N(VLOOKUP(SUBSTITUTE(SUBSTITUTE(SUBSTITUTE(IFERROR(INDEX('DADOS_FORMAS'!$AS$2:$AS$21,MATCH(SUBSTITUTE(SUBSTITUTE(SUBSTITUTE($MU114,"~","~~"),"*","~*"),"?","~?"),'DADOS_FORMAS'!$AH$2:$AH$21,0)),""),"~","~~"),"*","~*"),"?","~?"),'DADOS_RESTRICOES'!$M$2:$Q$54,3,FALSE)=2),0))</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",TRUE,IF($ND114=0,"",TEXTJOIN(" · ",TRUE,IF($MQ114&gt;$NE114,"Este lugar abre no nível "&amp;$MQ114,""),IF($MS114&gt;$NF114,"Classe "&amp;$MS114&amp;": o nível "&amp;$NE114&amp;" libera até a "&amp;$NF114,""),IF($NX114=1,"A Forma "&amp;$MU114&amp;" pede "&amp;INDEX('DADOS_FORMAS'!$GA$2:$GA$21,$NJ114)&amp;" aberta",""),IF(AND($MS114=0,$NJ114&gt;0,IF($NJ114=0,0,INDEX('DADOS_FORMAS'!$GJ$2:$GJ$21,$NJ114))=0),$MU114&amp;"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Corpo")&gt;0,$OF114=0,OR($RO114="Cone",$RO114="Linha")),"Corpo a Corpo não entra em "&amp;$MU114,""),IF(AND(COUNTIF($OK114:$OL114,"Corpo a Corpo")&gt;0,$RP114="Corpo a Corpo"),"A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"&amp;$NC114,""))),IF(AND($MU114&lt;&gt;"",COUNTIF('DADOS_FORMAS'!$AH$2:$AH$21,SUBSTITUTE(SUBSTITUTE(SUBSTITUTE($MU114,"~","~~"),"*","~*"),"?","~?"))=0),"Forma não cadastrada ou com erro: "&amp;$MU114,""),IF(AND(IFERROR(INDEX('DADOS_FORMAS'!$AS$2:$AS$21,MATCH(SUBSTITUTE(SUBSTITUTE(SUBSTITUTE($MU114,"~","~~"),"*","~*"),"?","~?"),'DADOS_FORMAS'!$AH$2:$AH$21,0)),"")&lt;&gt;"",OR(IFERROR(VLOOKUP(SUBSTITUTE(SUBSTITUTE(SUBSTITUTE(IFERROR(INDEX('DADOS_FORMAS'!$AS$2:$AS$21,MATCH(SUBSTITUTE(SUBSTITUTE(SUBSTITUTE($MU114,"~","~~"),"*","~*"),"?","~?"),'DADOS_FORMAS'!$AH$2:$AH$21,0)),""),"~","~~"),"*","~*"),"?","~?"),'DADOS_RESTRICOES'!$M$2:$Q$54,2,FALSE),"")=$OK114,IFERROR(VLOOKUP(SUBSTITUTE(SUBSTITUTE(SUBSTITUTE(IFERROR(INDEX('DADOS_FORMAS'!$AS$2:$AS$21,MATCH(SUBSTITUTE(SUBSTITUTE(SUBSTITUTE($MU114,"~","~~"),"*","~*"),"?","~?"),'DADOS_FORMAS'!$AH$2:$AH$21,0)),""),"~","~~"),"*","~*"),"?","~?"),'DADOS_RESTRICOES'!$M$2:$Q$54,2,FALSE),"")=$OL114)),"Restrição repetida, contando a embutida",""),IF(IF(IFERROR(INDEX('DADOS_FORMAS'!$AS$2:$AS$21,MATCH(SUBSTITUTE(SUBSTITUTE(SUBSTITUTE($MU114,"~","~~"),"*","~*"),"?","~?"),'DADOS_FORMAS'!$AH$2:$AH$21,0)),"")="",0,IFERROR(N(VLOOKUP(SUBSTITUTE(SUBSTITUTE(SUBSTITUTE(IFERROR(INDEX('DADOS_FORMAS'!$AS$2:$AS$21,MATCH(SUBSTITUTE(SUBSTITUTE(SUBSTITUTE($MU114,"~","~~"),"*","~*"),"?","~?"),'DADOS_FORMAS'!$AH$2:$AH$21,0)),""),"~","~~"),"*","~*"),"?","~?"),'DADOS_RESTRICOES'!$M$2:$Q$54,4,FALSE)=1),0))+IF($NB114="",0,IFERROR(N(VLOOKUP(SUBSTITUTE(SUBSTITUTE(SUBSTITUTE($NB114,"~","~~"),"*","~*"),"?","~?"),'DADOS_RESTRICOES'!$M$2:$Q$54,4,FALSE)=1),0))+IF($NC114="",0,IFERROR(N(VLOOKUP(SUBSTITUTE(SUBSTITUTE(SUBSTITUTE($NC114,"~","~~"),"*","~*"),"?","~?"),'DADOS_RESTRICOES'!$M$2:$Q$54,4,FALSE)=1),0))&gt;1,"Duas Restrições de frequência, contando a embutida",""),IF(AND(IFERROR(VLOOKUP(SUBSTITUTE(SUBSTITUTE(SUBSTITUTE(IFERROR(INDEX('DADOS_FORMAS'!$AS$2:$AS$21,MATCH(SUBSTITUTE(SUBSTITUTE(SUBSTITUTE($MU114,"~","~~"),"*","~*"),"?","~?"),'DADOS_FORMAS'!$AH$2:$AH$21,0)),""),"~","~~"),"*","~*"),"?","~?"),'DADOS_RESTRICOES'!$M$2:$Q$54,2,FALSE),"")="Tudo ou Nada",$OH114=0),"Tudo ou Nada exige TR",""),IF(AND(IFERROR(VLOOKUP(SUBSTITUTE(SUBSTITUTE(SUBSTITUTE(IFERROR(INDEX('DADOS_FORMAS'!$AS$2:$AS$21,MATCH(SUBSTITUTE(SUBSTITUTE(SUBSTITUTE($MU114,"~","~~"),"*","~*"),"?","~?"),'DADOS_FORMAS'!$AH$2:$AH$21,0)),""),"~","~~"),"*","~*"),"?","~?"),'DADOS_RESTRICOES'!$M$2:$Q$54,2,FALSE),"")="Corpo a Corpo",OR($RO114="Cone",$RO114="Linha")),"Corpo a Corpo não entra em Cone/Linha","")))</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dela",IF(COUNTIF($RQ114:$RS114,"Atrasar")&gt;0,"Sua Ação Completa",IF(COUNTIF($RK114:$RN114,"Rápido")&gt;0,"Sua Bônus",IF(COUNTIF($RK114:$RN114,"Reação")&gt;0,"Sua Reação","Sua Padrão")))&amp;" + a básica dela"&amp;IF(COUNTIF($RK114:$RN114,"Reação")&gt;0," e a coletiva","")&amp;IF(COUNTIF($RQ114:$RS114,"Carregar")&gt;0," · em dois turnos","")))</f>
        <v/>
      </c>
      <c r="QC114" s="161">
        <f>IF($MW114&lt;&gt;"",$MW114,IF($NJ114=0,"",INDEX('DADOS_FORMAS'!$GE$2:$GE$21,$NJ114)))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IF($NJ114=0,0,CHOOSE(1+INDEX('DADOS_FORMAS'!$GG$2:$GG$21,$NJ114),0,$QF114,$QG114,$QF114+$QG114))</f>
        <v/>
      </c>
      <c r="QI114" s="161">
        <f>IF($NJ114=0,0,CHOOSE(1+INDEX('DADOS_FORMAS'!$GH$2:$GH$21,$NJ114),0,$QF114,$QG114,$QF114+$QG114))</f>
        <v/>
      </c>
      <c r="QJ114" s="161">
        <f>IF(OR($ND114=0,$NJ114=0),"",INDEX('DADOS_FORMAS'!$HU$2:$HZ$81,($NJ114-1)*4+IF($MS114=0,1,IF($MS114&lt;=5,2,IF($MS114=6,3,4))),1+MIN(5,$QH114))&amp;INDEX('DADOS_FORMAS'!$IA$2:$IF$81,($NJ114-1)*4+IF($MS114=0,1,IF($MS114&lt;=5,2,IF($MS114=6,3,4))),1+MIN(5,$QI114))&amp;IF(INDEX('DADOS_FORMAS'!$GI$2:$GI$21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c r="RO114">
        <f>IFERROR(INDEX('DADOS_FORMAS'!$BJ$2:$BJ$21,MATCH(SUBSTITUTE(SUBSTITUTE(SUBSTITUTE($MU114,"~","~~"),"*","~*"),"?","~?"),'DADOS_FORMAS'!$AH$2:$AH$21,0)),"")</f>
        <v/>
      </c>
      <c r="RP114">
        <f>IFERROR(VLOOKUP(SUBSTITUTE(SUBSTITUTE(SUBSTITUTE(IFERROR(INDEX('DADOS_FORMAS'!$AS$2:$AS$21,MATCH(SUBSTITUTE(SUBSTITUTE(SUBSTITUTE($MU114,"~","~~"),"*","~*"),"?","~?"),'DADOS_FORMAS'!$AH$2:$AH$21,0)),""),"~","~~"),"*","~*"),"?","~?"),'DADOS_RESTRICOES'!$M$2:$Q$54,2,FALSE),"")</f>
        <v/>
      </c>
      <c r="RQ114">
        <f>$OK114</f>
        <v/>
      </c>
      <c r="RR114">
        <f>$OL114</f>
        <v/>
      </c>
      <c r="RS114">
        <f>$RP114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IFERROR(MATCH(SUBSTITUTE(SUBSTITUTE(SUBSTITUTE($MU115,"~","~~"),"*","~*"),"?","~?"),'DADOS_FORMAS'!$FZ$2:$FZ$21,0),0)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IF($MS115=0,0,IF($NJ115=0,0,INDEX('DADOS_FORMAS'!$GB$2:$GB$21,$NJ115)))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IF($NJ115=0,0,IF(INDEX('DADOS_FORMAS'!$GA$2:$GA$21,$NJ115)="",0,IF((COUNTIF(INDEX($EL$2:$EP$13,$MO115,0),INDEX('DADOS_FORMAS'!$GA$2:$GA$21,$NJ115))+COUNTIF(INDEX($QV$2:$QY$13,$MO115,0),INDEX('DADOS_FORMAS'!$GA$2:$GA$21,$NJ115)))=0,1,0)))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IFERROR(N(AND(INDEX('DADOS_FORMAS'!$AO$2:$AO$21,MATCH(SUBSTITUTE(SUBSTITUTE(SUBSTITUTE($MU115,"~","~~"),"*","~*"),"?","~?"),'DADOS_FORMAS'!$AH$2:$AH$21,0))="Acerto",$OH115=1)),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IF($NJ115=0,0,INDEX('DADOS_FORMAS'!$GC$2:$GC$21,$NJ115))</f>
        <v/>
      </c>
      <c r="OG115" s="161">
        <f>IF($NJ115=0,0,INDEX('DADOS_FORMAS'!$GD$2:$GD$21,$NJ115))</f>
        <v/>
      </c>
      <c r="OH115" s="161">
        <f>IF($NJ115=0,0,INDEX('DADOS_FORMAS'!$GF$2:$GF$21,$NJ115))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IF(IFERROR(INDEX('DADOS_FORMAS'!$AS$2:$AS$21,MATCH(SUBSTITUTE(SUBSTITUTE(SUBSTITUTE($MU115,"~","~~"),"*","~*"),"?","~?"),'DADOS_FORMAS'!$AH$2:$AH$21,0)),"")="",0,IFERROR(N(VLOOKUP(SUBSTITUTE(SUBSTITUTE(SUBSTITUTE(IFERROR(INDEX('DADOS_FORMAS'!$AS$2:$AS$21,MATCH(SUBSTITUTE(SUBSTITUTE(SUBSTITUTE($MU115,"~","~~"),"*","~*"),"?","~?"),'DADOS_FORMAS'!$AH$2:$AH$21,0)),""),"~","~~"),"*","~*"),"?","~?"),'DADOS_RESTRICOES'!$M$2:$Q$54,3,FALSE)=1),0))</f>
        <v/>
      </c>
      <c r="OT115" s="161">
        <f>COUNTIF($OI115:$OJ115,2)+IF(IFERROR(INDEX('DADOS_FORMAS'!$AS$2:$AS$21,MATCH(SUBSTITUTE(SUBSTITUTE(SUBSTITUTE($MU115,"~","~~"),"*","~*"),"?","~?"),'DADOS_FORMAS'!$AH$2:$AH$21,0)),"")="",0,IFERROR(N(VLOOKUP(SUBSTITUTE(SUBSTITUTE(SUBSTITUTE(IFERROR(INDEX('DADOS_FORMAS'!$AS$2:$AS$21,MATCH(SUBSTITUTE(SUBSTITUTE(SUBSTITUTE($MU115,"~","~~"),"*","~*"),"?","~?"),'DADOS_FORMAS'!$AH$2:$AH$21,0)),""),"~","~~"),"*","~*"),"?","~?"),'DADOS_RESTRICOES'!$M$2:$Q$54,3,FALSE)=2),0))</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",TRUE,IF($ND115=0,"",TEXTJOIN(" · ",TRUE,IF($MQ115&gt;$NE115,"Este lugar abre no nível "&amp;$MQ115,""),IF($MS115&gt;$NF115,"Classe "&amp;$MS115&amp;": o nível "&amp;$NE115&amp;" libera até a "&amp;$NF115,""),IF($NX115=1,"A Forma "&amp;$MU115&amp;" pede "&amp;INDEX('DADOS_FORMAS'!$GA$2:$GA$21,$NJ115)&amp;" aberta",""),IF(AND($MS115=0,$NJ115&gt;0,IF($NJ115=0,0,INDEX('DADOS_FORMAS'!$GJ$2:$GJ$21,$NJ115))=0),$MU115&amp;"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Corpo")&gt;0,$OF115=0,OR($RO115="Cone",$RO115="Linha")),"Corpo a Corpo não entra em "&amp;$MU115,""),IF(AND(COUNTIF($OK115:$OL115,"Corpo a Corpo")&gt;0,$RP115="Corpo a Corpo"),"A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"&amp;$NC115,""))),IF(AND($MU115&lt;&gt;"",COUNTIF('DADOS_FORMAS'!$AH$2:$AH$21,SUBSTITUTE(SUBSTITUTE(SUBSTITUTE($MU115,"~","~~"),"*","~*"),"?","~?"))=0),"Forma não cadastrada ou com erro: "&amp;$MU115,""),IF(AND(IFERROR(INDEX('DADOS_FORMAS'!$AS$2:$AS$21,MATCH(SUBSTITUTE(SUBSTITUTE(SUBSTITUTE($MU115,"~","~~"),"*","~*"),"?","~?"),'DADOS_FORMAS'!$AH$2:$AH$21,0)),"")&lt;&gt;"",OR(IFERROR(VLOOKUP(SUBSTITUTE(SUBSTITUTE(SUBSTITUTE(IFERROR(INDEX('DADOS_FORMAS'!$AS$2:$AS$21,MATCH(SUBSTITUTE(SUBSTITUTE(SUBSTITUTE($MU115,"~","~~"),"*","~*"),"?","~?"),'DADOS_FORMAS'!$AH$2:$AH$21,0)),""),"~","~~"),"*","~*"),"?","~?"),'DADOS_RESTRICOES'!$M$2:$Q$54,2,FALSE),"")=$OK115,IFERROR(VLOOKUP(SUBSTITUTE(SUBSTITUTE(SUBSTITUTE(IFERROR(INDEX('DADOS_FORMAS'!$AS$2:$AS$21,MATCH(SUBSTITUTE(SUBSTITUTE(SUBSTITUTE($MU115,"~","~~"),"*","~*"),"?","~?"),'DADOS_FORMAS'!$AH$2:$AH$21,0)),""),"~","~~"),"*","~*"),"?","~?"),'DADOS_RESTRICOES'!$M$2:$Q$54,2,FALSE),"")=$OL115)),"Restrição repetida, contando a embutida",""),IF(IF(IFERROR(INDEX('DADOS_FORMAS'!$AS$2:$AS$21,MATCH(SUBSTITUTE(SUBSTITUTE(SUBSTITUTE($MU115,"~","~~"),"*","~*"),"?","~?"),'DADOS_FORMAS'!$AH$2:$AH$21,0)),"")="",0,IFERROR(N(VLOOKUP(SUBSTITUTE(SUBSTITUTE(SUBSTITUTE(IFERROR(INDEX('DADOS_FORMAS'!$AS$2:$AS$21,MATCH(SUBSTITUTE(SUBSTITUTE(SUBSTITUTE($MU115,"~","~~"),"*","~*"),"?","~?"),'DADOS_FORMAS'!$AH$2:$AH$21,0)),""),"~","~~"),"*","~*"),"?","~?"),'DADOS_RESTRICOES'!$M$2:$Q$54,4,FALSE)=1),0))+IF($NB115="",0,IFERROR(N(VLOOKUP(SUBSTITUTE(SUBSTITUTE(SUBSTITUTE($NB115,"~","~~"),"*","~*"),"?","~?"),'DADOS_RESTRICOES'!$M$2:$Q$54,4,FALSE)=1),0))+IF($NC115="",0,IFERROR(N(VLOOKUP(SUBSTITUTE(SUBSTITUTE(SUBSTITUTE($NC115,"~","~~"),"*","~*"),"?","~?"),'DADOS_RESTRICOES'!$M$2:$Q$54,4,FALSE)=1),0))&gt;1,"Duas Restrições de frequência, contando a embutida",""),IF(AND(IFERROR(VLOOKUP(SUBSTITUTE(SUBSTITUTE(SUBSTITUTE(IFERROR(INDEX('DADOS_FORMAS'!$AS$2:$AS$21,MATCH(SUBSTITUTE(SUBSTITUTE(SUBSTITUTE($MU115,"~","~~"),"*","~*"),"?","~?"),'DADOS_FORMAS'!$AH$2:$AH$21,0)),""),"~","~~"),"*","~*"),"?","~?"),'DADOS_RESTRICOES'!$M$2:$Q$54,2,FALSE),"")="Tudo ou Nada",$OH115=0),"Tudo ou Nada exige TR",""),IF(AND(IFERROR(VLOOKUP(SUBSTITUTE(SUBSTITUTE(SUBSTITUTE(IFERROR(INDEX('DADOS_FORMAS'!$AS$2:$AS$21,MATCH(SUBSTITUTE(SUBSTITUTE(SUBSTITUTE($MU115,"~","~~"),"*","~*"),"?","~?"),'DADOS_FORMAS'!$AH$2:$AH$21,0)),""),"~","~~"),"*","~*"),"?","~?"),'DADOS_RESTRICOES'!$M$2:$Q$54,2,FALSE),"")="Corpo a Corpo",OR($RO115="Cone",$RO115="Linha")),"Corpo a Corpo não entra em Cone/Linha","")))</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dela",IF(COUNTIF($RQ115:$RS115,"Atrasar")&gt;0,"Sua Ação Completa",IF(COUNTIF($RK115:$RN115,"Rápido")&gt;0,"Sua Bônus",IF(COUNTIF($RK115:$RN115,"Reação")&gt;0,"Sua Reação","Sua Padrão")))&amp;" + a básica dela"&amp;IF(COUNTIF($RK115:$RN115,"Reação")&gt;0," e a coletiva","")&amp;IF(COUNTIF($RQ115:$RS115,"Carregar")&gt;0," · em dois turnos","")))</f>
        <v/>
      </c>
      <c r="QC115" s="161">
        <f>IF($MW115&lt;&gt;"",$MW115,IF($NJ115=0,"",INDEX('DADOS_FORMAS'!$GE$2:$GE$21,$NJ115)))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IF($NJ115=0,0,CHOOSE(1+INDEX('DADOS_FORMAS'!$GG$2:$GG$21,$NJ115),0,$QF115,$QG115,$QF115+$QG115))</f>
        <v/>
      </c>
      <c r="QI115" s="161">
        <f>IF($NJ115=0,0,CHOOSE(1+INDEX('DADOS_FORMAS'!$GH$2:$GH$21,$NJ115),0,$QF115,$QG115,$QF115+$QG115))</f>
        <v/>
      </c>
      <c r="QJ115" s="161">
        <f>IF(OR($ND115=0,$NJ115=0),"",INDEX('DADOS_FORMAS'!$HU$2:$HZ$81,($NJ115-1)*4+IF($MS115=0,1,IF($MS115&lt;=5,2,IF($MS115=6,3,4))),1+MIN(5,$QH115))&amp;INDEX('DADOS_FORMAS'!$IA$2:$IF$81,($NJ115-1)*4+IF($MS115=0,1,IF($MS115&lt;=5,2,IF($MS115=6,3,4))),1+MIN(5,$QI115))&amp;IF(INDEX('DADOS_FORMAS'!$GI$2:$GI$21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c r="RO115">
        <f>IFERROR(INDEX('DADOS_FORMAS'!$BJ$2:$BJ$21,MATCH(SUBSTITUTE(SUBSTITUTE(SUBSTITUTE($MU115,"~","~~"),"*","~*"),"?","~?"),'DADOS_FORMAS'!$AH$2:$AH$21,0)),"")</f>
        <v/>
      </c>
      <c r="RP115">
        <f>IFERROR(VLOOKUP(SUBSTITUTE(SUBSTITUTE(SUBSTITUTE(IFERROR(INDEX('DADOS_FORMAS'!$AS$2:$AS$21,MATCH(SUBSTITUTE(SUBSTITUTE(SUBSTITUTE($MU115,"~","~~"),"*","~*"),"?","~?"),'DADOS_FORMAS'!$AH$2:$AH$21,0)),""),"~","~~"),"*","~*"),"?","~?"),'DADOS_RESTRICOES'!$M$2:$Q$54,2,FALSE),"")</f>
        <v/>
      </c>
      <c r="RQ115">
        <f>$OK115</f>
        <v/>
      </c>
      <c r="RR115">
        <f>$OL115</f>
        <v/>
      </c>
      <c r="RS115">
        <f>$RP115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IFERROR(MATCH(SUBSTITUTE(SUBSTITUTE(SUBSTITUTE($MU116,"~","~~"),"*","~*"),"?","~?"),'DADOS_FORMAS'!$FZ$2:$FZ$21,0),0)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IF($MS116=0,0,IF($NJ116=0,0,INDEX('DADOS_FORMAS'!$GB$2:$GB$21,$NJ116)))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IF($NJ116=0,0,IF(INDEX('DADOS_FORMAS'!$GA$2:$GA$21,$NJ116)="",0,IF((COUNTIF(INDEX($EL$2:$EP$13,$MO116,0),INDEX('DADOS_FORMAS'!$GA$2:$GA$21,$NJ116))+COUNTIF(INDEX($QV$2:$QY$13,$MO116,0),INDEX('DADOS_FORMAS'!$GA$2:$GA$21,$NJ116)))=0,1,0)))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IFERROR(N(AND(INDEX('DADOS_FORMAS'!$AO$2:$AO$21,MATCH(SUBSTITUTE(SUBSTITUTE(SUBSTITUTE($MU116,"~","~~"),"*","~*"),"?","~?"),'DADOS_FORMAS'!$AH$2:$AH$21,0))="Acerto",$OH116=1)),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IF($NJ116=0,0,INDEX('DADOS_FORMAS'!$GC$2:$GC$21,$NJ116))</f>
        <v/>
      </c>
      <c r="OG116" s="161">
        <f>IF($NJ116=0,0,INDEX('DADOS_FORMAS'!$GD$2:$GD$21,$NJ116))</f>
        <v/>
      </c>
      <c r="OH116" s="161">
        <f>IF($NJ116=0,0,INDEX('DADOS_FORMAS'!$GF$2:$GF$21,$NJ116))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IF(IFERROR(INDEX('DADOS_FORMAS'!$AS$2:$AS$21,MATCH(SUBSTITUTE(SUBSTITUTE(SUBSTITUTE($MU116,"~","~~"),"*","~*"),"?","~?"),'DADOS_FORMAS'!$AH$2:$AH$21,0)),"")="",0,IFERROR(N(VLOOKUP(SUBSTITUTE(SUBSTITUTE(SUBSTITUTE(IFERROR(INDEX('DADOS_FORMAS'!$AS$2:$AS$21,MATCH(SUBSTITUTE(SUBSTITUTE(SUBSTITUTE($MU116,"~","~~"),"*","~*"),"?","~?"),'DADOS_FORMAS'!$AH$2:$AH$21,0)),""),"~","~~"),"*","~*"),"?","~?"),'DADOS_RESTRICOES'!$M$2:$Q$54,3,FALSE)=1),0))</f>
        <v/>
      </c>
      <c r="OT116" s="161">
        <f>COUNTIF($OI116:$OJ116,2)+IF(IFERROR(INDEX('DADOS_FORMAS'!$AS$2:$AS$21,MATCH(SUBSTITUTE(SUBSTITUTE(SUBSTITUTE($MU116,"~","~~"),"*","~*"),"?","~?"),'DADOS_FORMAS'!$AH$2:$AH$21,0)),"")="",0,IFERROR(N(VLOOKUP(SUBSTITUTE(SUBSTITUTE(SUBSTITUTE(IFERROR(INDEX('DADOS_FORMAS'!$AS$2:$AS$21,MATCH(SUBSTITUTE(SUBSTITUTE(SUBSTITUTE($MU116,"~","~~"),"*","~*"),"?","~?"),'DADOS_FORMAS'!$AH$2:$AH$21,0)),""),"~","~~"),"*","~*"),"?","~?"),'DADOS_RESTRICOES'!$M$2:$Q$54,3,FALSE)=2),0))</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",TRUE,IF($ND116=0,"",TEXTJOIN(" · ",TRUE,IF($MQ116&gt;$NE116,"Este lugar abre no nível "&amp;$MQ116,""),IF($MS116&gt;$NF116,"Classe "&amp;$MS116&amp;": o nível "&amp;$NE116&amp;" libera até a "&amp;$NF116,""),IF($NX116=1,"A Forma "&amp;$MU116&amp;" pede "&amp;INDEX('DADOS_FORMAS'!$GA$2:$GA$21,$NJ116)&amp;" aberta",""),IF(AND($MS116=0,$NJ116&gt;0,IF($NJ116=0,0,INDEX('DADOS_FORMAS'!$GJ$2:$GJ$21,$NJ116))=0),$MU116&amp;"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Corpo")&gt;0,$OF116=0,OR($RO116="Cone",$RO116="Linha")),"Corpo a Corpo não entra em "&amp;$MU116,""),IF(AND(COUNTIF($OK116:$OL116,"Corpo a Corpo")&gt;0,$RP116="Corpo a Corpo"),"A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"&amp;$NC116,""))),IF(AND($MU116&lt;&gt;"",COUNTIF('DADOS_FORMAS'!$AH$2:$AH$21,SUBSTITUTE(SUBSTITUTE(SUBSTITUTE($MU116,"~","~~"),"*","~*"),"?","~?"))=0),"Forma não cadastrada ou com erro: "&amp;$MU116,""),IF(AND(IFERROR(INDEX('DADOS_FORMAS'!$AS$2:$AS$21,MATCH(SUBSTITUTE(SUBSTITUTE(SUBSTITUTE($MU116,"~","~~"),"*","~*"),"?","~?"),'DADOS_FORMAS'!$AH$2:$AH$21,0)),"")&lt;&gt;"",OR(IFERROR(VLOOKUP(SUBSTITUTE(SUBSTITUTE(SUBSTITUTE(IFERROR(INDEX('DADOS_FORMAS'!$AS$2:$AS$21,MATCH(SUBSTITUTE(SUBSTITUTE(SUBSTITUTE($MU116,"~","~~"),"*","~*"),"?","~?"),'DADOS_FORMAS'!$AH$2:$AH$21,0)),""),"~","~~"),"*","~*"),"?","~?"),'DADOS_RESTRICOES'!$M$2:$Q$54,2,FALSE),"")=$OK116,IFERROR(VLOOKUP(SUBSTITUTE(SUBSTITUTE(SUBSTITUTE(IFERROR(INDEX('DADOS_FORMAS'!$AS$2:$AS$21,MATCH(SUBSTITUTE(SUBSTITUTE(SUBSTITUTE($MU116,"~","~~"),"*","~*"),"?","~?"),'DADOS_FORMAS'!$AH$2:$AH$21,0)),""),"~","~~"),"*","~*"),"?","~?"),'DADOS_RESTRICOES'!$M$2:$Q$54,2,FALSE),"")=$OL116)),"Restrição repetida, contando a embutida",""),IF(IF(IFERROR(INDEX('DADOS_FORMAS'!$AS$2:$AS$21,MATCH(SUBSTITUTE(SUBSTITUTE(SUBSTITUTE($MU116,"~","~~"),"*","~*"),"?","~?"),'DADOS_FORMAS'!$AH$2:$AH$21,0)),"")="",0,IFERROR(N(VLOOKUP(SUBSTITUTE(SUBSTITUTE(SUBSTITUTE(IFERROR(INDEX('DADOS_FORMAS'!$AS$2:$AS$21,MATCH(SUBSTITUTE(SUBSTITUTE(SUBSTITUTE($MU116,"~","~~"),"*","~*"),"?","~?"),'DADOS_FORMAS'!$AH$2:$AH$21,0)),""),"~","~~"),"*","~*"),"?","~?"),'DADOS_RESTRICOES'!$M$2:$Q$54,4,FALSE)=1),0))+IF($NB116="",0,IFERROR(N(VLOOKUP(SUBSTITUTE(SUBSTITUTE(SUBSTITUTE($NB116,"~","~~"),"*","~*"),"?","~?"),'DADOS_RESTRICOES'!$M$2:$Q$54,4,FALSE)=1),0))+IF($NC116="",0,IFERROR(N(VLOOKUP(SUBSTITUTE(SUBSTITUTE(SUBSTITUTE($NC116,"~","~~"),"*","~*"),"?","~?"),'DADOS_RESTRICOES'!$M$2:$Q$54,4,FALSE)=1),0))&gt;1,"Duas Restrições de frequência, contando a embutida",""),IF(AND(IFERROR(VLOOKUP(SUBSTITUTE(SUBSTITUTE(SUBSTITUTE(IFERROR(INDEX('DADOS_FORMAS'!$AS$2:$AS$21,MATCH(SUBSTITUTE(SUBSTITUTE(SUBSTITUTE($MU116,"~","~~"),"*","~*"),"?","~?"),'DADOS_FORMAS'!$AH$2:$AH$21,0)),""),"~","~~"),"*","~*"),"?","~?"),'DADOS_RESTRICOES'!$M$2:$Q$54,2,FALSE),"")="Tudo ou Nada",$OH116=0),"Tudo ou Nada exige TR",""),IF(AND(IFERROR(VLOOKUP(SUBSTITUTE(SUBSTITUTE(SUBSTITUTE(IFERROR(INDEX('DADOS_FORMAS'!$AS$2:$AS$21,MATCH(SUBSTITUTE(SUBSTITUTE(SUBSTITUTE($MU116,"~","~~"),"*","~*"),"?","~?"),'DADOS_FORMAS'!$AH$2:$AH$21,0)),""),"~","~~"),"*","~*"),"?","~?"),'DADOS_RESTRICOES'!$M$2:$Q$54,2,FALSE),"")="Corpo a Corpo",OR($RO116="Cone",$RO116="Linha")),"Corpo a Corpo não entra em Cone/Linha","")))</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dela",IF(COUNTIF($RQ116:$RS116,"Atrasar")&gt;0,"Sua Ação Completa",IF(COUNTIF($RK116:$RN116,"Rápido")&gt;0,"Sua Bônus",IF(COUNTIF($RK116:$RN116,"Reação")&gt;0,"Sua Reação","Sua Padrão")))&amp;" + a básica dela"&amp;IF(COUNTIF($RK116:$RN116,"Reação")&gt;0," e a coletiva","")&amp;IF(COUNTIF($RQ116:$RS116,"Carregar")&gt;0," · em dois turnos","")))</f>
        <v/>
      </c>
      <c r="QC116" s="161">
        <f>IF($MW116&lt;&gt;"",$MW116,IF($NJ116=0,"",INDEX('DADOS_FORMAS'!$GE$2:$GE$21,$NJ116)))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IF($NJ116=0,0,CHOOSE(1+INDEX('DADOS_FORMAS'!$GG$2:$GG$21,$NJ116),0,$QF116,$QG116,$QF116+$QG116))</f>
        <v/>
      </c>
      <c r="QI116" s="161">
        <f>IF($NJ116=0,0,CHOOSE(1+INDEX('DADOS_FORMAS'!$GH$2:$GH$21,$NJ116),0,$QF116,$QG116,$QF116+$QG116))</f>
        <v/>
      </c>
      <c r="QJ116" s="161">
        <f>IF(OR($ND116=0,$NJ116=0),"",INDEX('DADOS_FORMAS'!$HU$2:$HZ$81,($NJ116-1)*4+IF($MS116=0,1,IF($MS116&lt;=5,2,IF($MS116=6,3,4))),1+MIN(5,$QH116))&amp;INDEX('DADOS_FORMAS'!$IA$2:$IF$81,($NJ116-1)*4+IF($MS116=0,1,IF($MS116&lt;=5,2,IF($MS116=6,3,4))),1+MIN(5,$QI116))&amp;IF(INDEX('DADOS_FORMAS'!$GI$2:$GI$21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c r="RO116">
        <f>IFERROR(INDEX('DADOS_FORMAS'!$BJ$2:$BJ$21,MATCH(SUBSTITUTE(SUBSTITUTE(SUBSTITUTE($MU116,"~","~~"),"*","~*"),"?","~?"),'DADOS_FORMAS'!$AH$2:$AH$21,0)),"")</f>
        <v/>
      </c>
      <c r="RP116">
        <f>IFERROR(VLOOKUP(SUBSTITUTE(SUBSTITUTE(SUBSTITUTE(IFERROR(INDEX('DADOS_FORMAS'!$AS$2:$AS$21,MATCH(SUBSTITUTE(SUBSTITUTE(SUBSTITUTE($MU116,"~","~~"),"*","~*"),"?","~?"),'DADOS_FORMAS'!$AH$2:$AH$21,0)),""),"~","~~"),"*","~*"),"?","~?"),'DADOS_RESTRICOES'!$M$2:$Q$54,2,FALSE),"")</f>
        <v/>
      </c>
      <c r="RQ116">
        <f>$OK116</f>
        <v/>
      </c>
      <c r="RR116">
        <f>$OL116</f>
        <v/>
      </c>
      <c r="RS116">
        <f>$RP116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IFERROR(MATCH(SUBSTITUTE(SUBSTITUTE(SUBSTITUTE($MU117,"~","~~"),"*","~*"),"?","~?"),'DADOS_FORMAS'!$FZ$2:$FZ$21,0),0)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IF($MS117=0,0,IF($NJ117=0,0,INDEX('DADOS_FORMAS'!$GB$2:$GB$21,$NJ117)))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IF($NJ117=0,0,IF(INDEX('DADOS_FORMAS'!$GA$2:$GA$21,$NJ117)="",0,IF((COUNTIF(INDEX($EL$2:$EP$13,$MO117,0),INDEX('DADOS_FORMAS'!$GA$2:$GA$21,$NJ117))+COUNTIF(INDEX($QV$2:$QY$13,$MO117,0),INDEX('DADOS_FORMAS'!$GA$2:$GA$21,$NJ117)))=0,1,0)))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IFERROR(N(AND(INDEX('DADOS_FORMAS'!$AO$2:$AO$21,MATCH(SUBSTITUTE(SUBSTITUTE(SUBSTITUTE($MU117,"~","~~"),"*","~*"),"?","~?"),'DADOS_FORMAS'!$AH$2:$AH$21,0))="Acerto",$OH117=1)),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IF($NJ117=0,0,INDEX('DADOS_FORMAS'!$GC$2:$GC$21,$NJ117))</f>
        <v/>
      </c>
      <c r="OG117" s="161">
        <f>IF($NJ117=0,0,INDEX('DADOS_FORMAS'!$GD$2:$GD$21,$NJ117))</f>
        <v/>
      </c>
      <c r="OH117" s="161">
        <f>IF($NJ117=0,0,INDEX('DADOS_FORMAS'!$GF$2:$GF$21,$NJ117))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IF(IFERROR(INDEX('DADOS_FORMAS'!$AS$2:$AS$21,MATCH(SUBSTITUTE(SUBSTITUTE(SUBSTITUTE($MU117,"~","~~"),"*","~*"),"?","~?"),'DADOS_FORMAS'!$AH$2:$AH$21,0)),"")="",0,IFERROR(N(VLOOKUP(SUBSTITUTE(SUBSTITUTE(SUBSTITUTE(IFERROR(INDEX('DADOS_FORMAS'!$AS$2:$AS$21,MATCH(SUBSTITUTE(SUBSTITUTE(SUBSTITUTE($MU117,"~","~~"),"*","~*"),"?","~?"),'DADOS_FORMAS'!$AH$2:$AH$21,0)),""),"~","~~"),"*","~*"),"?","~?"),'DADOS_RESTRICOES'!$M$2:$Q$54,3,FALSE)=1),0))</f>
        <v/>
      </c>
      <c r="OT117" s="161">
        <f>COUNTIF($OI117:$OJ117,2)+IF(IFERROR(INDEX('DADOS_FORMAS'!$AS$2:$AS$21,MATCH(SUBSTITUTE(SUBSTITUTE(SUBSTITUTE($MU117,"~","~~"),"*","~*"),"?","~?"),'DADOS_FORMAS'!$AH$2:$AH$21,0)),"")="",0,IFERROR(N(VLOOKUP(SUBSTITUTE(SUBSTITUTE(SUBSTITUTE(IFERROR(INDEX('DADOS_FORMAS'!$AS$2:$AS$21,MATCH(SUBSTITUTE(SUBSTITUTE(SUBSTITUTE($MU117,"~","~~"),"*","~*"),"?","~?"),'DADOS_FORMAS'!$AH$2:$AH$21,0)),""),"~","~~"),"*","~*"),"?","~?"),'DADOS_RESTRICOES'!$M$2:$Q$54,3,FALSE)=2),0))</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",TRUE,IF($ND117=0,"",TEXTJOIN(" · ",TRUE,IF($MQ117&gt;$NE117,"Este lugar abre no nível "&amp;$MQ117,""),IF($MS117&gt;$NF117,"Classe "&amp;$MS117&amp;": o nível "&amp;$NE117&amp;" libera até a "&amp;$NF117,""),IF($NX117=1,"A Forma "&amp;$MU117&amp;" pede "&amp;INDEX('DADOS_FORMAS'!$GA$2:$GA$21,$NJ117)&amp;" aberta",""),IF(AND($MS117=0,$NJ117&gt;0,IF($NJ117=0,0,INDEX('DADOS_FORMAS'!$GJ$2:$GJ$21,$NJ117))=0),$MU117&amp;"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Corpo")&gt;0,$OF117=0,OR($RO117="Cone",$RO117="Linha")),"Corpo a Corpo não entra em "&amp;$MU117,""),IF(AND(COUNTIF($OK117:$OL117,"Corpo a Corpo")&gt;0,$RP117="Corpo a Corpo"),"A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"&amp;$NC117,""))),IF(AND($MU117&lt;&gt;"",COUNTIF('DADOS_FORMAS'!$AH$2:$AH$21,SUBSTITUTE(SUBSTITUTE(SUBSTITUTE($MU117,"~","~~"),"*","~*"),"?","~?"))=0),"Forma não cadastrada ou com erro: "&amp;$MU117,""),IF(AND(IFERROR(INDEX('DADOS_FORMAS'!$AS$2:$AS$21,MATCH(SUBSTITUTE(SUBSTITUTE(SUBSTITUTE($MU117,"~","~~"),"*","~*"),"?","~?"),'DADOS_FORMAS'!$AH$2:$AH$21,0)),"")&lt;&gt;"",OR(IFERROR(VLOOKUP(SUBSTITUTE(SUBSTITUTE(SUBSTITUTE(IFERROR(INDEX('DADOS_FORMAS'!$AS$2:$AS$21,MATCH(SUBSTITUTE(SUBSTITUTE(SUBSTITUTE($MU117,"~","~~"),"*","~*"),"?","~?"),'DADOS_FORMAS'!$AH$2:$AH$21,0)),""),"~","~~"),"*","~*"),"?","~?"),'DADOS_RESTRICOES'!$M$2:$Q$54,2,FALSE),"")=$OK117,IFERROR(VLOOKUP(SUBSTITUTE(SUBSTITUTE(SUBSTITUTE(IFERROR(INDEX('DADOS_FORMAS'!$AS$2:$AS$21,MATCH(SUBSTITUTE(SUBSTITUTE(SUBSTITUTE($MU117,"~","~~"),"*","~*"),"?","~?"),'DADOS_FORMAS'!$AH$2:$AH$21,0)),""),"~","~~"),"*","~*"),"?","~?"),'DADOS_RESTRICOES'!$M$2:$Q$54,2,FALSE),"")=$OL117)),"Restrição repetida, contando a embutida",""),IF(IF(IFERROR(INDEX('DADOS_FORMAS'!$AS$2:$AS$21,MATCH(SUBSTITUTE(SUBSTITUTE(SUBSTITUTE($MU117,"~","~~"),"*","~*"),"?","~?"),'DADOS_FORMAS'!$AH$2:$AH$21,0)),"")="",0,IFERROR(N(VLOOKUP(SUBSTITUTE(SUBSTITUTE(SUBSTITUTE(IFERROR(INDEX('DADOS_FORMAS'!$AS$2:$AS$21,MATCH(SUBSTITUTE(SUBSTITUTE(SUBSTITUTE($MU117,"~","~~"),"*","~*"),"?","~?"),'DADOS_FORMAS'!$AH$2:$AH$21,0)),""),"~","~~"),"*","~*"),"?","~?"),'DADOS_RESTRICOES'!$M$2:$Q$54,4,FALSE)=1),0))+IF($NB117="",0,IFERROR(N(VLOOKUP(SUBSTITUTE(SUBSTITUTE(SUBSTITUTE($NB117,"~","~~"),"*","~*"),"?","~?"),'DADOS_RESTRICOES'!$M$2:$Q$54,4,FALSE)=1),0))+IF($NC117="",0,IFERROR(N(VLOOKUP(SUBSTITUTE(SUBSTITUTE(SUBSTITUTE($NC117,"~","~~"),"*","~*"),"?","~?"),'DADOS_RESTRICOES'!$M$2:$Q$54,4,FALSE)=1),0))&gt;1,"Duas Restrições de frequência, contando a embutida",""),IF(AND(IFERROR(VLOOKUP(SUBSTITUTE(SUBSTITUTE(SUBSTITUTE(IFERROR(INDEX('DADOS_FORMAS'!$AS$2:$AS$21,MATCH(SUBSTITUTE(SUBSTITUTE(SUBSTITUTE($MU117,"~","~~"),"*","~*"),"?","~?"),'DADOS_FORMAS'!$AH$2:$AH$21,0)),""),"~","~~"),"*","~*"),"?","~?"),'DADOS_RESTRICOES'!$M$2:$Q$54,2,FALSE),"")="Tudo ou Nada",$OH117=0),"Tudo ou Nada exige TR",""),IF(AND(IFERROR(VLOOKUP(SUBSTITUTE(SUBSTITUTE(SUBSTITUTE(IFERROR(INDEX('DADOS_FORMAS'!$AS$2:$AS$21,MATCH(SUBSTITUTE(SUBSTITUTE(SUBSTITUTE($MU117,"~","~~"),"*","~*"),"?","~?"),'DADOS_FORMAS'!$AH$2:$AH$21,0)),""),"~","~~"),"*","~*"),"?","~?"),'DADOS_RESTRICOES'!$M$2:$Q$54,2,FALSE),"")="Corpo a Corpo",OR($RO117="Cone",$RO117="Linha")),"Corpo a Corpo não entra em Cone/Linha","")))</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dela",IF(COUNTIF($RQ117:$RS117,"Atrasar")&gt;0,"Sua Ação Completa",IF(COUNTIF($RK117:$RN117,"Rápido")&gt;0,"Sua Bônus",IF(COUNTIF($RK117:$RN117,"Reação")&gt;0,"Sua Reação","Sua Padrão")))&amp;" + a básica dela"&amp;IF(COUNTIF($RK117:$RN117,"Reação")&gt;0," e a coletiva","")&amp;IF(COUNTIF($RQ117:$RS117,"Carregar")&gt;0," · em dois turnos","")))</f>
        <v/>
      </c>
      <c r="QC117" s="161">
        <f>IF($MW117&lt;&gt;"",$MW117,IF($NJ117=0,"",INDEX('DADOS_FORMAS'!$GE$2:$GE$21,$NJ117)))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IF($NJ117=0,0,CHOOSE(1+INDEX('DADOS_FORMAS'!$GG$2:$GG$21,$NJ117),0,$QF117,$QG117,$QF117+$QG117))</f>
        <v/>
      </c>
      <c r="QI117" s="161">
        <f>IF($NJ117=0,0,CHOOSE(1+INDEX('DADOS_FORMAS'!$GH$2:$GH$21,$NJ117),0,$QF117,$QG117,$QF117+$QG117))</f>
        <v/>
      </c>
      <c r="QJ117" s="161">
        <f>IF(OR($ND117=0,$NJ117=0),"",INDEX('DADOS_FORMAS'!$HU$2:$HZ$81,($NJ117-1)*4+IF($MS117=0,1,IF($MS117&lt;=5,2,IF($MS117=6,3,4))),1+MIN(5,$QH117))&amp;INDEX('DADOS_FORMAS'!$IA$2:$IF$81,($NJ117-1)*4+IF($MS117=0,1,IF($MS117&lt;=5,2,IF($MS117=6,3,4))),1+MIN(5,$QI117))&amp;IF(INDEX('DADOS_FORMAS'!$GI$2:$GI$21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c r="RO117">
        <f>IFERROR(INDEX('DADOS_FORMAS'!$BJ$2:$BJ$21,MATCH(SUBSTITUTE(SUBSTITUTE(SUBSTITUTE($MU117,"~","~~"),"*","~*"),"?","~?"),'DADOS_FORMAS'!$AH$2:$AH$21,0)),"")</f>
        <v/>
      </c>
      <c r="RP117">
        <f>IFERROR(VLOOKUP(SUBSTITUTE(SUBSTITUTE(SUBSTITUTE(IFERROR(INDEX('DADOS_FORMAS'!$AS$2:$AS$21,MATCH(SUBSTITUTE(SUBSTITUTE(SUBSTITUTE($MU117,"~","~~"),"*","~*"),"?","~?"),'DADOS_FORMAS'!$AH$2:$AH$21,0)),""),"~","~~"),"*","~*"),"?","~?"),'DADOS_RESTRICOES'!$M$2:$Q$54,2,FALSE),"")</f>
        <v/>
      </c>
      <c r="RQ117">
        <f>$OK117</f>
        <v/>
      </c>
      <c r="RR117">
        <f>$OL117</f>
        <v/>
      </c>
      <c r="RS117">
        <f>$RP117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IFERROR(MATCH(SUBSTITUTE(SUBSTITUTE(SUBSTITUTE($MU118,"~","~~"),"*","~*"),"?","~?"),'DADOS_FORMAS'!$FZ$2:$FZ$21,0),0)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IF($MS118=0,0,IF($NJ118=0,0,INDEX('DADOS_FORMAS'!$GB$2:$GB$21,$NJ118)))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IF($NJ118=0,0,IF(INDEX('DADOS_FORMAS'!$GA$2:$GA$21,$NJ118)="",0,IF((COUNTIF(INDEX($EL$2:$EP$13,$MO118,0),INDEX('DADOS_FORMAS'!$GA$2:$GA$21,$NJ118))+COUNTIF(INDEX($QV$2:$QY$13,$MO118,0),INDEX('DADOS_FORMAS'!$GA$2:$GA$21,$NJ118)))=0,1,0)))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IFERROR(N(AND(INDEX('DADOS_FORMAS'!$AO$2:$AO$21,MATCH(SUBSTITUTE(SUBSTITUTE(SUBSTITUTE($MU118,"~","~~"),"*","~*"),"?","~?"),'DADOS_FORMAS'!$AH$2:$AH$21,0))="Acerto",$OH118=1)),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IF($NJ118=0,0,INDEX('DADOS_FORMAS'!$GC$2:$GC$21,$NJ118))</f>
        <v/>
      </c>
      <c r="OG118" s="161">
        <f>IF($NJ118=0,0,INDEX('DADOS_FORMAS'!$GD$2:$GD$21,$NJ118))</f>
        <v/>
      </c>
      <c r="OH118" s="161">
        <f>IF($NJ118=0,0,INDEX('DADOS_FORMAS'!$GF$2:$GF$21,$NJ118))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IF(IFERROR(INDEX('DADOS_FORMAS'!$AS$2:$AS$21,MATCH(SUBSTITUTE(SUBSTITUTE(SUBSTITUTE($MU118,"~","~~"),"*","~*"),"?","~?"),'DADOS_FORMAS'!$AH$2:$AH$21,0)),"")="",0,IFERROR(N(VLOOKUP(SUBSTITUTE(SUBSTITUTE(SUBSTITUTE(IFERROR(INDEX('DADOS_FORMAS'!$AS$2:$AS$21,MATCH(SUBSTITUTE(SUBSTITUTE(SUBSTITUTE($MU118,"~","~~"),"*","~*"),"?","~?"),'DADOS_FORMAS'!$AH$2:$AH$21,0)),""),"~","~~"),"*","~*"),"?","~?"),'DADOS_RESTRICOES'!$M$2:$Q$54,3,FALSE)=1),0))</f>
        <v/>
      </c>
      <c r="OT118" s="161">
        <f>COUNTIF($OI118:$OJ118,2)+IF(IFERROR(INDEX('DADOS_FORMAS'!$AS$2:$AS$21,MATCH(SUBSTITUTE(SUBSTITUTE(SUBSTITUTE($MU118,"~","~~"),"*","~*"),"?","~?"),'DADOS_FORMAS'!$AH$2:$AH$21,0)),"")="",0,IFERROR(N(VLOOKUP(SUBSTITUTE(SUBSTITUTE(SUBSTITUTE(IFERROR(INDEX('DADOS_FORMAS'!$AS$2:$AS$21,MATCH(SUBSTITUTE(SUBSTITUTE(SUBSTITUTE($MU118,"~","~~"),"*","~*"),"?","~?"),'DADOS_FORMAS'!$AH$2:$AH$21,0)),""),"~","~~"),"*","~*"),"?","~?"),'DADOS_RESTRICOES'!$M$2:$Q$54,3,FALSE)=2),0))</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",TRUE,IF($ND118=0,"",TEXTJOIN(" · ",TRUE,IF($MQ118&gt;$NE118,"Este lugar abre no nível "&amp;$MQ118,""),IF($MS118&gt;$NF118,"Classe "&amp;$MS118&amp;": o nível "&amp;$NE118&amp;" libera até a "&amp;$NF118,""),IF($NX118=1,"A Forma "&amp;$MU118&amp;" pede "&amp;INDEX('DADOS_FORMAS'!$GA$2:$GA$21,$NJ118)&amp;" aberta",""),IF(AND($MS118=0,$NJ118&gt;0,IF($NJ118=0,0,INDEX('DADOS_FORMAS'!$GJ$2:$GJ$21,$NJ118))=0),$MU118&amp;"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Corpo")&gt;0,$OF118=0,OR($RO118="Cone",$RO118="Linha")),"Corpo a Corpo não entra em "&amp;$MU118,""),IF(AND(COUNTIF($OK118:$OL118,"Corpo a Corpo")&gt;0,$RP118="Corpo a Corpo"),"A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"&amp;$NC118,""))),IF(AND($MU118&lt;&gt;"",COUNTIF('DADOS_FORMAS'!$AH$2:$AH$21,SUBSTITUTE(SUBSTITUTE(SUBSTITUTE($MU118,"~","~~"),"*","~*"),"?","~?"))=0),"Forma não cadastrada ou com erro: "&amp;$MU118,""),IF(AND(IFERROR(INDEX('DADOS_FORMAS'!$AS$2:$AS$21,MATCH(SUBSTITUTE(SUBSTITUTE(SUBSTITUTE($MU118,"~","~~"),"*","~*"),"?","~?"),'DADOS_FORMAS'!$AH$2:$AH$21,0)),"")&lt;&gt;"",OR(IFERROR(VLOOKUP(SUBSTITUTE(SUBSTITUTE(SUBSTITUTE(IFERROR(INDEX('DADOS_FORMAS'!$AS$2:$AS$21,MATCH(SUBSTITUTE(SUBSTITUTE(SUBSTITUTE($MU118,"~","~~"),"*","~*"),"?","~?"),'DADOS_FORMAS'!$AH$2:$AH$21,0)),""),"~","~~"),"*","~*"),"?","~?"),'DADOS_RESTRICOES'!$M$2:$Q$54,2,FALSE),"")=$OK118,IFERROR(VLOOKUP(SUBSTITUTE(SUBSTITUTE(SUBSTITUTE(IFERROR(INDEX('DADOS_FORMAS'!$AS$2:$AS$21,MATCH(SUBSTITUTE(SUBSTITUTE(SUBSTITUTE($MU118,"~","~~"),"*","~*"),"?","~?"),'DADOS_FORMAS'!$AH$2:$AH$21,0)),""),"~","~~"),"*","~*"),"?","~?"),'DADOS_RESTRICOES'!$M$2:$Q$54,2,FALSE),"")=$OL118)),"Restrição repetida, contando a embutida",""),IF(IF(IFERROR(INDEX('DADOS_FORMAS'!$AS$2:$AS$21,MATCH(SUBSTITUTE(SUBSTITUTE(SUBSTITUTE($MU118,"~","~~"),"*","~*"),"?","~?"),'DADOS_FORMAS'!$AH$2:$AH$21,0)),"")="",0,IFERROR(N(VLOOKUP(SUBSTITUTE(SUBSTITUTE(SUBSTITUTE(IFERROR(INDEX('DADOS_FORMAS'!$AS$2:$AS$21,MATCH(SUBSTITUTE(SUBSTITUTE(SUBSTITUTE($MU118,"~","~~"),"*","~*"),"?","~?"),'DADOS_FORMAS'!$AH$2:$AH$21,0)),""),"~","~~"),"*","~*"),"?","~?"),'DADOS_RESTRICOES'!$M$2:$Q$54,4,FALSE)=1),0))+IF($NB118="",0,IFERROR(N(VLOOKUP(SUBSTITUTE(SUBSTITUTE(SUBSTITUTE($NB118,"~","~~"),"*","~*"),"?","~?"),'DADOS_RESTRICOES'!$M$2:$Q$54,4,FALSE)=1),0))+IF($NC118="",0,IFERROR(N(VLOOKUP(SUBSTITUTE(SUBSTITUTE(SUBSTITUTE($NC118,"~","~~"),"*","~*"),"?","~?"),'DADOS_RESTRICOES'!$M$2:$Q$54,4,FALSE)=1),0))&gt;1,"Duas Restrições de frequência, contando a embutida",""),IF(AND(IFERROR(VLOOKUP(SUBSTITUTE(SUBSTITUTE(SUBSTITUTE(IFERROR(INDEX('DADOS_FORMAS'!$AS$2:$AS$21,MATCH(SUBSTITUTE(SUBSTITUTE(SUBSTITUTE($MU118,"~","~~"),"*","~*"),"?","~?"),'DADOS_FORMAS'!$AH$2:$AH$21,0)),""),"~","~~"),"*","~*"),"?","~?"),'DADOS_RESTRICOES'!$M$2:$Q$54,2,FALSE),"")="Tudo ou Nada",$OH118=0),"Tudo ou Nada exige TR",""),IF(AND(IFERROR(VLOOKUP(SUBSTITUTE(SUBSTITUTE(SUBSTITUTE(IFERROR(INDEX('DADOS_FORMAS'!$AS$2:$AS$21,MATCH(SUBSTITUTE(SUBSTITUTE(SUBSTITUTE($MU118,"~","~~"),"*","~*"),"?","~?"),'DADOS_FORMAS'!$AH$2:$AH$21,0)),""),"~","~~"),"*","~*"),"?","~?"),'DADOS_RESTRICOES'!$M$2:$Q$54,2,FALSE),"")="Corpo a Corpo",OR($RO118="Cone",$RO118="Linha")),"Corpo a Corpo não entra em Cone/Linha","")))</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dela",IF(COUNTIF($RQ118:$RS118,"Atrasar")&gt;0,"Sua Ação Completa",IF(COUNTIF($RK118:$RN118,"Rápido")&gt;0,"Sua Bônus",IF(COUNTIF($RK118:$RN118,"Reação")&gt;0,"Sua Reação","Sua Padrão")))&amp;" + a básica dela"&amp;IF(COUNTIF($RK118:$RN118,"Reação")&gt;0," e a coletiva","")&amp;IF(COUNTIF($RQ118:$RS118,"Carregar")&gt;0," · em dois turnos","")))</f>
        <v/>
      </c>
      <c r="QC118" s="161">
        <f>IF($MW118&lt;&gt;"",$MW118,IF($NJ118=0,"",INDEX('DADOS_FORMAS'!$GE$2:$GE$21,$NJ118)))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IF($NJ118=0,0,CHOOSE(1+INDEX('DADOS_FORMAS'!$GG$2:$GG$21,$NJ118),0,$QF118,$QG118,$QF118+$QG118))</f>
        <v/>
      </c>
      <c r="QI118" s="161">
        <f>IF($NJ118=0,0,CHOOSE(1+INDEX('DADOS_FORMAS'!$GH$2:$GH$21,$NJ118),0,$QF118,$QG118,$QF118+$QG118))</f>
        <v/>
      </c>
      <c r="QJ118" s="161">
        <f>IF(OR($ND118=0,$NJ118=0),"",INDEX('DADOS_FORMAS'!$HU$2:$HZ$81,($NJ118-1)*4+IF($MS118=0,1,IF($MS118&lt;=5,2,IF($MS118=6,3,4))),1+MIN(5,$QH118))&amp;INDEX('DADOS_FORMAS'!$IA$2:$IF$81,($NJ118-1)*4+IF($MS118=0,1,IF($MS118&lt;=5,2,IF($MS118=6,3,4))),1+MIN(5,$QI118))&amp;IF(INDEX('DADOS_FORMAS'!$GI$2:$GI$21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c r="RO118">
        <f>IFERROR(INDEX('DADOS_FORMAS'!$BJ$2:$BJ$21,MATCH(SUBSTITUTE(SUBSTITUTE(SUBSTITUTE($MU118,"~","~~"),"*","~*"),"?","~?"),'DADOS_FORMAS'!$AH$2:$AH$21,0)),"")</f>
        <v/>
      </c>
      <c r="RP118">
        <f>IFERROR(VLOOKUP(SUBSTITUTE(SUBSTITUTE(SUBSTITUTE(IFERROR(INDEX('DADOS_FORMAS'!$AS$2:$AS$21,MATCH(SUBSTITUTE(SUBSTITUTE(SUBSTITUTE($MU118,"~","~~"),"*","~*"),"?","~?"),'DADOS_FORMAS'!$AH$2:$AH$21,0)),""),"~","~~"),"*","~*"),"?","~?"),'DADOS_RESTRICOES'!$M$2:$Q$54,2,FALSE),"")</f>
        <v/>
      </c>
      <c r="RQ118">
        <f>$OK118</f>
        <v/>
      </c>
      <c r="RR118">
        <f>$OL118</f>
        <v/>
      </c>
      <c r="RS118">
        <f>$RP118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IFERROR(MATCH(SUBSTITUTE(SUBSTITUTE(SUBSTITUTE($MU119,"~","~~"),"*","~*"),"?","~?"),'DADOS_FORMAS'!$FZ$2:$FZ$21,0),0)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IF($MS119=0,0,IF($NJ119=0,0,INDEX('DADOS_FORMAS'!$GB$2:$GB$21,$NJ119)))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IF($NJ119=0,0,IF(INDEX('DADOS_FORMAS'!$GA$2:$GA$21,$NJ119)="",0,IF((COUNTIF(INDEX($EL$2:$EP$13,$MO119,0),INDEX('DADOS_FORMAS'!$GA$2:$GA$21,$NJ119))+COUNTIF(INDEX($QV$2:$QY$13,$MO119,0),INDEX('DADOS_FORMAS'!$GA$2:$GA$21,$NJ119)))=0,1,0)))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IFERROR(N(AND(INDEX('DADOS_FORMAS'!$AO$2:$AO$21,MATCH(SUBSTITUTE(SUBSTITUTE(SUBSTITUTE($MU119,"~","~~"),"*","~*"),"?","~?"),'DADOS_FORMAS'!$AH$2:$AH$21,0))="Acerto",$OH119=1)),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IF($NJ119=0,0,INDEX('DADOS_FORMAS'!$GC$2:$GC$21,$NJ119))</f>
        <v/>
      </c>
      <c r="OG119" s="161">
        <f>IF($NJ119=0,0,INDEX('DADOS_FORMAS'!$GD$2:$GD$21,$NJ119))</f>
        <v/>
      </c>
      <c r="OH119" s="161">
        <f>IF($NJ119=0,0,INDEX('DADOS_FORMAS'!$GF$2:$GF$21,$NJ119))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IF(IFERROR(INDEX('DADOS_FORMAS'!$AS$2:$AS$21,MATCH(SUBSTITUTE(SUBSTITUTE(SUBSTITUTE($MU119,"~","~~"),"*","~*"),"?","~?"),'DADOS_FORMAS'!$AH$2:$AH$21,0)),"")="",0,IFERROR(N(VLOOKUP(SUBSTITUTE(SUBSTITUTE(SUBSTITUTE(IFERROR(INDEX('DADOS_FORMAS'!$AS$2:$AS$21,MATCH(SUBSTITUTE(SUBSTITUTE(SUBSTITUTE($MU119,"~","~~"),"*","~*"),"?","~?"),'DADOS_FORMAS'!$AH$2:$AH$21,0)),""),"~","~~"),"*","~*"),"?","~?"),'DADOS_RESTRICOES'!$M$2:$Q$54,3,FALSE)=1),0))</f>
        <v/>
      </c>
      <c r="OT119" s="161">
        <f>COUNTIF($OI119:$OJ119,2)+IF(IFERROR(INDEX('DADOS_FORMAS'!$AS$2:$AS$21,MATCH(SUBSTITUTE(SUBSTITUTE(SUBSTITUTE($MU119,"~","~~"),"*","~*"),"?","~?"),'DADOS_FORMAS'!$AH$2:$AH$21,0)),"")="",0,IFERROR(N(VLOOKUP(SUBSTITUTE(SUBSTITUTE(SUBSTITUTE(IFERROR(INDEX('DADOS_FORMAS'!$AS$2:$AS$21,MATCH(SUBSTITUTE(SUBSTITUTE(SUBSTITUTE($MU119,"~","~~"),"*","~*"),"?","~?"),'DADOS_FORMAS'!$AH$2:$AH$21,0)),""),"~","~~"),"*","~*"),"?","~?"),'DADOS_RESTRICOES'!$M$2:$Q$54,3,FALSE)=2),0))</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",TRUE,IF($ND119=0,"",TEXTJOIN(" · ",TRUE,IF($MQ119&gt;$NE119,"Este lugar abre no nível "&amp;$MQ119,""),IF($MS119&gt;$NF119,"Classe "&amp;$MS119&amp;": o nível "&amp;$NE119&amp;" libera até a "&amp;$NF119,""),IF($NX119=1,"A Forma "&amp;$MU119&amp;" pede "&amp;INDEX('DADOS_FORMAS'!$GA$2:$GA$21,$NJ119)&amp;" aberta",""),IF(AND($MS119=0,$NJ119&gt;0,IF($NJ119=0,0,INDEX('DADOS_FORMAS'!$GJ$2:$GJ$21,$NJ119))=0),$MU119&amp;"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Corpo")&gt;0,$OF119=0,OR($RO119="Cone",$RO119="Linha")),"Corpo a Corpo não entra em "&amp;$MU119,""),IF(AND(COUNTIF($OK119:$OL119,"Corpo a Corpo")&gt;0,$RP119="Corpo a Corpo"),"A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"&amp;$NC119,""))),IF(AND($MU119&lt;&gt;"",COUNTIF('DADOS_FORMAS'!$AH$2:$AH$21,SUBSTITUTE(SUBSTITUTE(SUBSTITUTE($MU119,"~","~~"),"*","~*"),"?","~?"))=0),"Forma não cadastrada ou com erro: "&amp;$MU119,""),IF(AND(IFERROR(INDEX('DADOS_FORMAS'!$AS$2:$AS$21,MATCH(SUBSTITUTE(SUBSTITUTE(SUBSTITUTE($MU119,"~","~~"),"*","~*"),"?","~?"),'DADOS_FORMAS'!$AH$2:$AH$21,0)),"")&lt;&gt;"",OR(IFERROR(VLOOKUP(SUBSTITUTE(SUBSTITUTE(SUBSTITUTE(IFERROR(INDEX('DADOS_FORMAS'!$AS$2:$AS$21,MATCH(SUBSTITUTE(SUBSTITUTE(SUBSTITUTE($MU119,"~","~~"),"*","~*"),"?","~?"),'DADOS_FORMAS'!$AH$2:$AH$21,0)),""),"~","~~"),"*","~*"),"?","~?"),'DADOS_RESTRICOES'!$M$2:$Q$54,2,FALSE),"")=$OK119,IFERROR(VLOOKUP(SUBSTITUTE(SUBSTITUTE(SUBSTITUTE(IFERROR(INDEX('DADOS_FORMAS'!$AS$2:$AS$21,MATCH(SUBSTITUTE(SUBSTITUTE(SUBSTITUTE($MU119,"~","~~"),"*","~*"),"?","~?"),'DADOS_FORMAS'!$AH$2:$AH$21,0)),""),"~","~~"),"*","~*"),"?","~?"),'DADOS_RESTRICOES'!$M$2:$Q$54,2,FALSE),"")=$OL119)),"Restrição repetida, contando a embutida",""),IF(IF(IFERROR(INDEX('DADOS_FORMAS'!$AS$2:$AS$21,MATCH(SUBSTITUTE(SUBSTITUTE(SUBSTITUTE($MU119,"~","~~"),"*","~*"),"?","~?"),'DADOS_FORMAS'!$AH$2:$AH$21,0)),"")="",0,IFERROR(N(VLOOKUP(SUBSTITUTE(SUBSTITUTE(SUBSTITUTE(IFERROR(INDEX('DADOS_FORMAS'!$AS$2:$AS$21,MATCH(SUBSTITUTE(SUBSTITUTE(SUBSTITUTE($MU119,"~","~~"),"*","~*"),"?","~?"),'DADOS_FORMAS'!$AH$2:$AH$21,0)),""),"~","~~"),"*","~*"),"?","~?"),'DADOS_RESTRICOES'!$M$2:$Q$54,4,FALSE)=1),0))+IF($NB119="",0,IFERROR(N(VLOOKUP(SUBSTITUTE(SUBSTITUTE(SUBSTITUTE($NB119,"~","~~"),"*","~*"),"?","~?"),'DADOS_RESTRICOES'!$M$2:$Q$54,4,FALSE)=1),0))+IF($NC119="",0,IFERROR(N(VLOOKUP(SUBSTITUTE(SUBSTITUTE(SUBSTITUTE($NC119,"~","~~"),"*","~*"),"?","~?"),'DADOS_RESTRICOES'!$M$2:$Q$54,4,FALSE)=1),0))&gt;1,"Duas Restrições de frequência, contando a embutida",""),IF(AND(IFERROR(VLOOKUP(SUBSTITUTE(SUBSTITUTE(SUBSTITUTE(IFERROR(INDEX('DADOS_FORMAS'!$AS$2:$AS$21,MATCH(SUBSTITUTE(SUBSTITUTE(SUBSTITUTE($MU119,"~","~~"),"*","~*"),"?","~?"),'DADOS_FORMAS'!$AH$2:$AH$21,0)),""),"~","~~"),"*","~*"),"?","~?"),'DADOS_RESTRICOES'!$M$2:$Q$54,2,FALSE),"")="Tudo ou Nada",$OH119=0),"Tudo ou Nada exige TR",""),IF(AND(IFERROR(VLOOKUP(SUBSTITUTE(SUBSTITUTE(SUBSTITUTE(IFERROR(INDEX('DADOS_FORMAS'!$AS$2:$AS$21,MATCH(SUBSTITUTE(SUBSTITUTE(SUBSTITUTE($MU119,"~","~~"),"*","~*"),"?","~?"),'DADOS_FORMAS'!$AH$2:$AH$21,0)),""),"~","~~"),"*","~*"),"?","~?"),'DADOS_RESTRICOES'!$M$2:$Q$54,2,FALSE),"")="Corpo a Corpo",OR($RO119="Cone",$RO119="Linha")),"Corpo a Corpo não entra em Cone/Linha","")))</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dela",IF(COUNTIF($RQ119:$RS119,"Atrasar")&gt;0,"Sua Ação Completa",IF(COUNTIF($RK119:$RN119,"Rápido")&gt;0,"Sua Bônus",IF(COUNTIF($RK119:$RN119,"Reação")&gt;0,"Sua Reação","Sua Padrão")))&amp;" + a básica dela"&amp;IF(COUNTIF($RK119:$RN119,"Reação")&gt;0," e a coletiva","")&amp;IF(COUNTIF($RQ119:$RS119,"Carregar")&gt;0," · em dois turnos","")))</f>
        <v/>
      </c>
      <c r="QC119" s="161">
        <f>IF($MW119&lt;&gt;"",$MW119,IF($NJ119=0,"",INDEX('DADOS_FORMAS'!$GE$2:$GE$21,$NJ119)))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IF($NJ119=0,0,CHOOSE(1+INDEX('DADOS_FORMAS'!$GG$2:$GG$21,$NJ119),0,$QF119,$QG119,$QF119+$QG119))</f>
        <v/>
      </c>
      <c r="QI119" s="161">
        <f>IF($NJ119=0,0,CHOOSE(1+INDEX('DADOS_FORMAS'!$GH$2:$GH$21,$NJ119),0,$QF119,$QG119,$QF119+$QG119))</f>
        <v/>
      </c>
      <c r="QJ119" s="161">
        <f>IF(OR($ND119=0,$NJ119=0),"",INDEX('DADOS_FORMAS'!$HU$2:$HZ$81,($NJ119-1)*4+IF($MS119=0,1,IF($MS119&lt;=5,2,IF($MS119=6,3,4))),1+MIN(5,$QH119))&amp;INDEX('DADOS_FORMAS'!$IA$2:$IF$81,($NJ119-1)*4+IF($MS119=0,1,IF($MS119&lt;=5,2,IF($MS119=6,3,4))),1+MIN(5,$QI119))&amp;IF(INDEX('DADOS_FORMAS'!$GI$2:$GI$21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c r="RO119">
        <f>IFERROR(INDEX('DADOS_FORMAS'!$BJ$2:$BJ$21,MATCH(SUBSTITUTE(SUBSTITUTE(SUBSTITUTE($MU119,"~","~~"),"*","~*"),"?","~?"),'DADOS_FORMAS'!$AH$2:$AH$21,0)),"")</f>
        <v/>
      </c>
      <c r="RP119">
        <f>IFERROR(VLOOKUP(SUBSTITUTE(SUBSTITUTE(SUBSTITUTE(IFERROR(INDEX('DADOS_FORMAS'!$AS$2:$AS$21,MATCH(SUBSTITUTE(SUBSTITUTE(SUBSTITUTE($MU119,"~","~~"),"*","~*"),"?","~?"),'DADOS_FORMAS'!$AH$2:$AH$21,0)),""),"~","~~"),"*","~*"),"?","~?"),'DADOS_RESTRICOES'!$M$2:$Q$54,2,FALSE),"")</f>
        <v/>
      </c>
      <c r="RQ119">
        <f>$OK119</f>
        <v/>
      </c>
      <c r="RR119">
        <f>$OL119</f>
        <v/>
      </c>
      <c r="RS119">
        <f>$RP119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IFERROR(MATCH(SUBSTITUTE(SUBSTITUTE(SUBSTITUTE($MU120,"~","~~"),"*","~*"),"?","~?"),'DADOS_FORMAS'!$FZ$2:$FZ$21,0),0)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IF($MS120=0,0,IF($NJ120=0,0,INDEX('DADOS_FORMAS'!$GB$2:$GB$21,$NJ120)))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IF($NJ120=0,0,IF(INDEX('DADOS_FORMAS'!$GA$2:$GA$21,$NJ120)="",0,IF((COUNTIF(INDEX($EL$2:$EP$13,$MO120,0),INDEX('DADOS_FORMAS'!$GA$2:$GA$21,$NJ120))+COUNTIF(INDEX($QV$2:$QY$13,$MO120,0),INDEX('DADOS_FORMAS'!$GA$2:$GA$21,$NJ120)))=0,1,0)))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IFERROR(N(AND(INDEX('DADOS_FORMAS'!$AO$2:$AO$21,MATCH(SUBSTITUTE(SUBSTITUTE(SUBSTITUTE($MU120,"~","~~"),"*","~*"),"?","~?"),'DADOS_FORMAS'!$AH$2:$AH$21,0))="Acerto",$OH120=1)),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IF($NJ120=0,0,INDEX('DADOS_FORMAS'!$GC$2:$GC$21,$NJ120))</f>
        <v/>
      </c>
      <c r="OG120" s="161">
        <f>IF($NJ120=0,0,INDEX('DADOS_FORMAS'!$GD$2:$GD$21,$NJ120))</f>
        <v/>
      </c>
      <c r="OH120" s="161">
        <f>IF($NJ120=0,0,INDEX('DADOS_FORMAS'!$GF$2:$GF$21,$NJ120))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IF(IFERROR(INDEX('DADOS_FORMAS'!$AS$2:$AS$21,MATCH(SUBSTITUTE(SUBSTITUTE(SUBSTITUTE($MU120,"~","~~"),"*","~*"),"?","~?"),'DADOS_FORMAS'!$AH$2:$AH$21,0)),"")="",0,IFERROR(N(VLOOKUP(SUBSTITUTE(SUBSTITUTE(SUBSTITUTE(IFERROR(INDEX('DADOS_FORMAS'!$AS$2:$AS$21,MATCH(SUBSTITUTE(SUBSTITUTE(SUBSTITUTE($MU120,"~","~~"),"*","~*"),"?","~?"),'DADOS_FORMAS'!$AH$2:$AH$21,0)),""),"~","~~"),"*","~*"),"?","~?"),'DADOS_RESTRICOES'!$M$2:$Q$54,3,FALSE)=1),0))</f>
        <v/>
      </c>
      <c r="OT120" s="161">
        <f>COUNTIF($OI120:$OJ120,2)+IF(IFERROR(INDEX('DADOS_FORMAS'!$AS$2:$AS$21,MATCH(SUBSTITUTE(SUBSTITUTE(SUBSTITUTE($MU120,"~","~~"),"*","~*"),"?","~?"),'DADOS_FORMAS'!$AH$2:$AH$21,0)),"")="",0,IFERROR(N(VLOOKUP(SUBSTITUTE(SUBSTITUTE(SUBSTITUTE(IFERROR(INDEX('DADOS_FORMAS'!$AS$2:$AS$21,MATCH(SUBSTITUTE(SUBSTITUTE(SUBSTITUTE($MU120,"~","~~"),"*","~*"),"?","~?"),'DADOS_FORMAS'!$AH$2:$AH$21,0)),""),"~","~~"),"*","~*"),"?","~?"),'DADOS_RESTRICOES'!$M$2:$Q$54,3,FALSE)=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",TRUE,IF($ND120=0,"",TEXTJOIN(" · ",TRUE,IF($MQ120&gt;$NE120,"Este lugar abre no nível "&amp;$MQ120,""),IF($MS120&gt;$NF120,"Classe "&amp;$MS120&amp;": o nível "&amp;$NE120&amp;" libera até a "&amp;$NF120,""),IF($NX120=1,"A Forma "&amp;$MU120&amp;" pede "&amp;INDEX('DADOS_FORMAS'!$GA$2:$GA$21,$NJ120)&amp;" aberta",""),IF(AND($MS120=0,$NJ120&gt;0,IF($NJ120=0,0,INDEX('DADOS_FORMAS'!$GJ$2:$GJ$21,$NJ120))=0),$MU120&amp;"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Corpo")&gt;0,$OF120=0,OR($RO120="Cone",$RO120="Linha")),"Corpo a Corpo não entra em "&amp;$MU120,""),IF(AND(COUNTIF($OK120:$OL120,"Corpo a Corpo")&gt;0,$RP120="Corpo a Corpo"),"A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"&amp;$NC120,""))),IF(AND($MU120&lt;&gt;"",COUNTIF('DADOS_FORMAS'!$AH$2:$AH$21,SUBSTITUTE(SUBSTITUTE(SUBSTITUTE($MU120,"~","~~"),"*","~*"),"?","~?"))=0),"Forma não cadastrada ou com erro: "&amp;$MU120,""),IF(AND(IFERROR(INDEX('DADOS_FORMAS'!$AS$2:$AS$21,MATCH(SUBSTITUTE(SUBSTITUTE(SUBSTITUTE($MU120,"~","~~"),"*","~*"),"?","~?"),'DADOS_FORMAS'!$AH$2:$AH$21,0)),"")&lt;&gt;"",OR(IFERROR(VLOOKUP(SUBSTITUTE(SUBSTITUTE(SUBSTITUTE(IFERROR(INDEX('DADOS_FORMAS'!$AS$2:$AS$21,MATCH(SUBSTITUTE(SUBSTITUTE(SUBSTITUTE($MU120,"~","~~"),"*","~*"),"?","~?"),'DADOS_FORMAS'!$AH$2:$AH$21,0)),""),"~","~~"),"*","~*"),"?","~?"),'DADOS_RESTRICOES'!$M$2:$Q$54,2,FALSE),"")=$OK120,IFERROR(VLOOKUP(SUBSTITUTE(SUBSTITUTE(SUBSTITUTE(IFERROR(INDEX('DADOS_FORMAS'!$AS$2:$AS$21,MATCH(SUBSTITUTE(SUBSTITUTE(SUBSTITUTE($MU120,"~","~~"),"*","~*"),"?","~?"),'DADOS_FORMAS'!$AH$2:$AH$21,0)),""),"~","~~"),"*","~*"),"?","~?"),'DADOS_RESTRICOES'!$M$2:$Q$54,2,FALSE),"")=$OL120)),"Restrição repetida, contando a embutida",""),IF(IF(IFERROR(INDEX('DADOS_FORMAS'!$AS$2:$AS$21,MATCH(SUBSTITUTE(SUBSTITUTE(SUBSTITUTE($MU120,"~","~~"),"*","~*"),"?","~?"),'DADOS_FORMAS'!$AH$2:$AH$21,0)),"")="",0,IFERROR(N(VLOOKUP(SUBSTITUTE(SUBSTITUTE(SUBSTITUTE(IFERROR(INDEX('DADOS_FORMAS'!$AS$2:$AS$21,MATCH(SUBSTITUTE(SUBSTITUTE(SUBSTITUTE($MU120,"~","~~"),"*","~*"),"?","~?"),'DADOS_FORMAS'!$AH$2:$AH$21,0)),""),"~","~~"),"*","~*"),"?","~?"),'DADOS_RESTRICOES'!$M$2:$Q$54,4,FALSE)=1),0))+IF($NB120="",0,IFERROR(N(VLOOKUP(SUBSTITUTE(SUBSTITUTE(SUBSTITUTE($NB120,"~","~~"),"*","~*"),"?","~?"),'DADOS_RESTRICOES'!$M$2:$Q$54,4,FALSE)=1),0))+IF($NC120="",0,IFERROR(N(VLOOKUP(SUBSTITUTE(SUBSTITUTE(SUBSTITUTE($NC120,"~","~~"),"*","~*"),"?","~?"),'DADOS_RESTRICOES'!$M$2:$Q$54,4,FALSE)=1),0))&gt;1,"Duas Restrições de frequência, contando a embutida",""),IF(AND(IFERROR(VLOOKUP(SUBSTITUTE(SUBSTITUTE(SUBSTITUTE(IFERROR(INDEX('DADOS_FORMAS'!$AS$2:$AS$21,MATCH(SUBSTITUTE(SUBSTITUTE(SUBSTITUTE($MU120,"~","~~"),"*","~*"),"?","~?"),'DADOS_FORMAS'!$AH$2:$AH$21,0)),""),"~","~~"),"*","~*"),"?","~?"),'DADOS_RESTRICOES'!$M$2:$Q$54,2,FALSE),"")="Tudo ou Nada",$OH120=0),"Tudo ou Nada exige TR",""),IF(AND(IFERROR(VLOOKUP(SUBSTITUTE(SUBSTITUTE(SUBSTITUTE(IFERROR(INDEX('DADOS_FORMAS'!$AS$2:$AS$21,MATCH(SUBSTITUTE(SUBSTITUTE(SUBSTITUTE($MU120,"~","~~"),"*","~*"),"?","~?"),'DADOS_FORMAS'!$AH$2:$AH$21,0)),""),"~","~~"),"*","~*"),"?","~?"),'DADOS_RESTRICOES'!$M$2:$Q$54,2,FALSE),"")="Corpo a Corpo",OR($RO120="Cone",$RO120="Linha")),"Corpo a Corpo não entra em Cone/Linha","")))</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dela",IF(COUNTIF($RQ120:$RS120,"Atrasar")&gt;0,"Sua Ação Completa",IF(COUNTIF($RK120:$RN120,"Rápido")&gt;0,"Sua Bônus",IF(COUNTIF($RK120:$RN120,"Reação")&gt;0,"Sua Reação","Sua Padrão")))&amp;" + a básica dela"&amp;IF(COUNTIF($RK120:$RN120,"Reação")&gt;0," e a coletiva","")&amp;IF(COUNTIF($RQ120:$RS120,"Carregar")&gt;0," · em dois turnos","")))</f>
        <v/>
      </c>
      <c r="QC120" s="161">
        <f>IF($MW120&lt;&gt;"",$MW120,IF($NJ120=0,"",INDEX('DADOS_FORMAS'!$GE$2:$GE$21,$NJ120)))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IF($NJ120=0,0,CHOOSE(1+INDEX('DADOS_FORMAS'!$GG$2:$GG$21,$NJ120),0,$QF120,$QG120,$QF120+$QG120))</f>
        <v/>
      </c>
      <c r="QI120" s="161">
        <f>IF($NJ120=0,0,CHOOSE(1+INDEX('DADOS_FORMAS'!$GH$2:$GH$21,$NJ120),0,$QF120,$QG120,$QF120+$QG120))</f>
        <v/>
      </c>
      <c r="QJ120" s="161">
        <f>IF(OR($ND120=0,$NJ120=0),"",INDEX('DADOS_FORMAS'!$HU$2:$HZ$81,($NJ120-1)*4+IF($MS120=0,1,IF($MS120&lt;=5,2,IF($MS120=6,3,4))),1+MIN(5,$QH120))&amp;INDEX('DADOS_FORMAS'!$IA$2:$IF$81,($NJ120-1)*4+IF($MS120=0,1,IF($MS120&lt;=5,2,IF($MS120=6,3,4))),1+MIN(5,$QI120))&amp;IF(INDEX('DADOS_FORMAS'!$GI$2:$GI$21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c r="RO120">
        <f>IFERROR(INDEX('DADOS_FORMAS'!$BJ$2:$BJ$21,MATCH(SUBSTITUTE(SUBSTITUTE(SUBSTITUTE($MU120,"~","~~"),"*","~*"),"?","~?"),'DADOS_FORMAS'!$AH$2:$AH$21,0)),"")</f>
        <v/>
      </c>
      <c r="RP120">
        <f>IFERROR(VLOOKUP(SUBSTITUTE(SUBSTITUTE(SUBSTITUTE(IFERROR(INDEX('DADOS_FORMAS'!$AS$2:$AS$21,MATCH(SUBSTITUTE(SUBSTITUTE(SUBSTITUTE($MU120,"~","~~"),"*","~*"),"?","~?"),'DADOS_FORMAS'!$AH$2:$AH$21,0)),""),"~","~~"),"*","~*"),"?","~?"),'DADOS_RESTRICOES'!$M$2:$Q$54,2,FALSE),"")</f>
        <v/>
      </c>
      <c r="RQ120">
        <f>$OK120</f>
        <v/>
      </c>
      <c r="RR120">
        <f>$OL120</f>
        <v/>
      </c>
      <c r="RS120">
        <f>$RP120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IFERROR(MATCH(SUBSTITUTE(SUBSTITUTE(SUBSTITUTE($MU121,"~","~~"),"*","~*"),"?","~?"),'DADOS_FORMAS'!$FZ$2:$FZ$21,0),0)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IF($MS121=0,0,IF($NJ121=0,0,INDEX('DADOS_FORMAS'!$GB$2:$GB$21,$NJ121)))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IF($NJ121=0,0,IF(INDEX('DADOS_FORMAS'!$GA$2:$GA$21,$NJ121)="",0,IF((COUNTIF(INDEX($EL$2:$EP$13,$MO121,0),INDEX('DADOS_FORMAS'!$GA$2:$GA$21,$NJ121))+COUNTIF(INDEX($QV$2:$QY$13,$MO121,0),INDEX('DADOS_FORMAS'!$GA$2:$GA$21,$NJ121)))=0,1,0)))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IFERROR(N(AND(INDEX('DADOS_FORMAS'!$AO$2:$AO$21,MATCH(SUBSTITUTE(SUBSTITUTE(SUBSTITUTE($MU121,"~","~~"),"*","~*"),"?","~?"),'DADOS_FORMAS'!$AH$2:$AH$21,0))="Acerto",$OH121=1)),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IF($NJ121=0,0,INDEX('DADOS_FORMAS'!$GC$2:$GC$21,$NJ121))</f>
        <v/>
      </c>
      <c r="OG121" s="161">
        <f>IF($NJ121=0,0,INDEX('DADOS_FORMAS'!$GD$2:$GD$21,$NJ121))</f>
        <v/>
      </c>
      <c r="OH121" s="161">
        <f>IF($NJ121=0,0,INDEX('DADOS_FORMAS'!$GF$2:$GF$21,$NJ121))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IF(IFERROR(INDEX('DADOS_FORMAS'!$AS$2:$AS$21,MATCH(SUBSTITUTE(SUBSTITUTE(SUBSTITUTE($MU121,"~","~~"),"*","~*"),"?","~?"),'DADOS_FORMAS'!$AH$2:$AH$21,0)),"")="",0,IFERROR(N(VLOOKUP(SUBSTITUTE(SUBSTITUTE(SUBSTITUTE(IFERROR(INDEX('DADOS_FORMAS'!$AS$2:$AS$21,MATCH(SUBSTITUTE(SUBSTITUTE(SUBSTITUTE($MU121,"~","~~"),"*","~*"),"?","~?"),'DADOS_FORMAS'!$AH$2:$AH$21,0)),""),"~","~~"),"*","~*"),"?","~?"),'DADOS_RESTRICOES'!$M$2:$Q$54,3,FALSE)=1),0))</f>
        <v/>
      </c>
      <c r="OT121" s="161">
        <f>COUNTIF($OI121:$OJ121,2)+IF(IFERROR(INDEX('DADOS_FORMAS'!$AS$2:$AS$21,MATCH(SUBSTITUTE(SUBSTITUTE(SUBSTITUTE($MU121,"~","~~"),"*","~*"),"?","~?"),'DADOS_FORMAS'!$AH$2:$AH$21,0)),"")="",0,IFERROR(N(VLOOKUP(SUBSTITUTE(SUBSTITUTE(SUBSTITUTE(IFERROR(INDEX('DADOS_FORMAS'!$AS$2:$AS$21,MATCH(SUBSTITUTE(SUBSTITUTE(SUBSTITUTE($MU121,"~","~~"),"*","~*"),"?","~?"),'DADOS_FORMAS'!$AH$2:$AH$21,0)),""),"~","~~"),"*","~*"),"?","~?"),'DADOS_RESTRICOES'!$M$2:$Q$54,3,FALSE)=2),0))</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",TRUE,IF($ND121=0,"",TEXTJOIN(" · ",TRUE,IF($MQ121&gt;$NE121,"Este lugar abre no nível "&amp;$MQ121,""),IF($MS121&gt;$NF121,"Classe "&amp;$MS121&amp;": o nível "&amp;$NE121&amp;" libera até a "&amp;$NF121,""),IF($NX121=1,"A Forma "&amp;$MU121&amp;" pede "&amp;INDEX('DADOS_FORMAS'!$GA$2:$GA$21,$NJ121)&amp;" aberta",""),IF(AND($MS121=0,$NJ121&gt;0,IF($NJ121=0,0,INDEX('DADOS_FORMAS'!$GJ$2:$GJ$21,$NJ121))=0),$MU121&amp;"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Corpo")&gt;0,$OF121=0,OR($RO121="Cone",$RO121="Linha")),"Corpo a Corpo não entra em "&amp;$MU121,""),IF(AND(COUNTIF($OK121:$OL121,"Corpo a Corpo")&gt;0,$RP121="Corpo a Corpo"),"A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"&amp;$NC121,""))),IF(AND($MU121&lt;&gt;"",COUNTIF('DADOS_FORMAS'!$AH$2:$AH$21,SUBSTITUTE(SUBSTITUTE(SUBSTITUTE($MU121,"~","~~"),"*","~*"),"?","~?"))=0),"Forma não cadastrada ou com erro: "&amp;$MU121,""),IF(AND(IFERROR(INDEX('DADOS_FORMAS'!$AS$2:$AS$21,MATCH(SUBSTITUTE(SUBSTITUTE(SUBSTITUTE($MU121,"~","~~"),"*","~*"),"?","~?"),'DADOS_FORMAS'!$AH$2:$AH$21,0)),"")&lt;&gt;"",OR(IFERROR(VLOOKUP(SUBSTITUTE(SUBSTITUTE(SUBSTITUTE(IFERROR(INDEX('DADOS_FORMAS'!$AS$2:$AS$21,MATCH(SUBSTITUTE(SUBSTITUTE(SUBSTITUTE($MU121,"~","~~"),"*","~*"),"?","~?"),'DADOS_FORMAS'!$AH$2:$AH$21,0)),""),"~","~~"),"*","~*"),"?","~?"),'DADOS_RESTRICOES'!$M$2:$Q$54,2,FALSE),"")=$OK121,IFERROR(VLOOKUP(SUBSTITUTE(SUBSTITUTE(SUBSTITUTE(IFERROR(INDEX('DADOS_FORMAS'!$AS$2:$AS$21,MATCH(SUBSTITUTE(SUBSTITUTE(SUBSTITUTE($MU121,"~","~~"),"*","~*"),"?","~?"),'DADOS_FORMAS'!$AH$2:$AH$21,0)),""),"~","~~"),"*","~*"),"?","~?"),'DADOS_RESTRICOES'!$M$2:$Q$54,2,FALSE),"")=$OL121)),"Restrição repetida, contando a embutida",""),IF(IF(IFERROR(INDEX('DADOS_FORMAS'!$AS$2:$AS$21,MATCH(SUBSTITUTE(SUBSTITUTE(SUBSTITUTE($MU121,"~","~~"),"*","~*"),"?","~?"),'DADOS_FORMAS'!$AH$2:$AH$21,0)),"")="",0,IFERROR(N(VLOOKUP(SUBSTITUTE(SUBSTITUTE(SUBSTITUTE(IFERROR(INDEX('DADOS_FORMAS'!$AS$2:$AS$21,MATCH(SUBSTITUTE(SUBSTITUTE(SUBSTITUTE($MU121,"~","~~"),"*","~*"),"?","~?"),'DADOS_FORMAS'!$AH$2:$AH$21,0)),""),"~","~~"),"*","~*"),"?","~?"),'DADOS_RESTRICOES'!$M$2:$Q$54,4,FALSE)=1),0))+IF($NB121="",0,IFERROR(N(VLOOKUP(SUBSTITUTE(SUBSTITUTE(SUBSTITUTE($NB121,"~","~~"),"*","~*"),"?","~?"),'DADOS_RESTRICOES'!$M$2:$Q$54,4,FALSE)=1),0))+IF($NC121="",0,IFERROR(N(VLOOKUP(SUBSTITUTE(SUBSTITUTE(SUBSTITUTE($NC121,"~","~~"),"*","~*"),"?","~?"),'DADOS_RESTRICOES'!$M$2:$Q$54,4,FALSE)=1),0))&gt;1,"Duas Restrições de frequência, contando a embutida",""),IF(AND(IFERROR(VLOOKUP(SUBSTITUTE(SUBSTITUTE(SUBSTITUTE(IFERROR(INDEX('DADOS_FORMAS'!$AS$2:$AS$21,MATCH(SUBSTITUTE(SUBSTITUTE(SUBSTITUTE($MU121,"~","~~"),"*","~*"),"?","~?"),'DADOS_FORMAS'!$AH$2:$AH$21,0)),""),"~","~~"),"*","~*"),"?","~?"),'DADOS_RESTRICOES'!$M$2:$Q$54,2,FALSE),"")="Tudo ou Nada",$OH121=0),"Tudo ou Nada exige TR",""),IF(AND(IFERROR(VLOOKUP(SUBSTITUTE(SUBSTITUTE(SUBSTITUTE(IFERROR(INDEX('DADOS_FORMAS'!$AS$2:$AS$21,MATCH(SUBSTITUTE(SUBSTITUTE(SUBSTITUTE($MU121,"~","~~"),"*","~*"),"?","~?"),'DADOS_FORMAS'!$AH$2:$AH$21,0)),""),"~","~~"),"*","~*"),"?","~?"),'DADOS_RESTRICOES'!$M$2:$Q$54,2,FALSE),"")="Corpo a Corpo",OR($RO121="Cone",$RO121="Linha")),"Corpo a Corpo não entra em Cone/Linha","")))</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dela",IF(COUNTIF($RQ121:$RS121,"Atrasar")&gt;0,"Sua Ação Completa",IF(COUNTIF($RK121:$RN121,"Rápido")&gt;0,"Sua Bônus",IF(COUNTIF($RK121:$RN121,"Reação")&gt;0,"Sua Reação","Sua Padrão")))&amp;" + a básica dela"&amp;IF(COUNTIF($RK121:$RN121,"Reação")&gt;0," e a coletiva","")&amp;IF(COUNTIF($RQ121:$RS121,"Carregar")&gt;0," · em dois turnos","")))</f>
        <v/>
      </c>
      <c r="QC121" s="161">
        <f>IF($MW121&lt;&gt;"",$MW121,IF($NJ121=0,"",INDEX('DADOS_FORMAS'!$GE$2:$GE$21,$NJ121)))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IF($NJ121=0,0,CHOOSE(1+INDEX('DADOS_FORMAS'!$GG$2:$GG$21,$NJ121),0,$QF121,$QG121,$QF121+$QG121))</f>
        <v/>
      </c>
      <c r="QI121" s="161">
        <f>IF($NJ121=0,0,CHOOSE(1+INDEX('DADOS_FORMAS'!$GH$2:$GH$21,$NJ121),0,$QF121,$QG121,$QF121+$QG121))</f>
        <v/>
      </c>
      <c r="QJ121" s="161">
        <f>IF(OR($ND121=0,$NJ121=0),"",INDEX('DADOS_FORMAS'!$HU$2:$HZ$81,($NJ121-1)*4+IF($MS121=0,1,IF($MS121&lt;=5,2,IF($MS121=6,3,4))),1+MIN(5,$QH121))&amp;INDEX('DADOS_FORMAS'!$IA$2:$IF$81,($NJ121-1)*4+IF($MS121=0,1,IF($MS121&lt;=5,2,IF($MS121=6,3,4))),1+MIN(5,$QI121))&amp;IF(INDEX('DADOS_FORMAS'!$GI$2:$GI$21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c r="RO121">
        <f>IFERROR(INDEX('DADOS_FORMAS'!$BJ$2:$BJ$21,MATCH(SUBSTITUTE(SUBSTITUTE(SUBSTITUTE($MU121,"~","~~"),"*","~*"),"?","~?"),'DADOS_FORMAS'!$AH$2:$AH$21,0)),"")</f>
        <v/>
      </c>
      <c r="RP121">
        <f>IFERROR(VLOOKUP(SUBSTITUTE(SUBSTITUTE(SUBSTITUTE(IFERROR(INDEX('DADOS_FORMAS'!$AS$2:$AS$21,MATCH(SUBSTITUTE(SUBSTITUTE(SUBSTITUTE($MU121,"~","~~"),"*","~*"),"?","~?"),'DADOS_FORMAS'!$AH$2:$AH$21,0)),""),"~","~~"),"*","~*"),"?","~?"),'DADOS_RESTRICOES'!$M$2:$Q$54,2,FALSE),"")</f>
        <v/>
      </c>
      <c r="RQ121">
        <f>$OK121</f>
        <v/>
      </c>
      <c r="RR121">
        <f>$OL121</f>
        <v/>
      </c>
      <c r="RS121">
        <f>$RP121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IFERROR(MATCH(SUBSTITUTE(SUBSTITUTE(SUBSTITUTE($MU122,"~","~~"),"*","~*"),"?","~?"),'DADOS_FORMAS'!$FZ$2:$FZ$21,0),0)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IF($MS122=0,0,IF($NJ122=0,0,INDEX('DADOS_FORMAS'!$GB$2:$GB$21,$NJ122)))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IF($NJ122=0,0,IF(INDEX('DADOS_FORMAS'!$GA$2:$GA$21,$NJ122)="",0,IF((COUNTIF(INDEX($EL$2:$EP$13,$MO122,0),INDEX('DADOS_FORMAS'!$GA$2:$GA$21,$NJ122))+COUNTIF(INDEX($QV$2:$QY$13,$MO122,0),INDEX('DADOS_FORMAS'!$GA$2:$GA$21,$NJ122)))=0,1,0)))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IFERROR(N(AND(INDEX('DADOS_FORMAS'!$AO$2:$AO$21,MATCH(SUBSTITUTE(SUBSTITUTE(SUBSTITUTE($MU122,"~","~~"),"*","~*"),"?","~?"),'DADOS_FORMAS'!$AH$2:$AH$21,0))="Acerto",$OH122=1)),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IF($NJ122=0,0,INDEX('DADOS_FORMAS'!$GC$2:$GC$21,$NJ122))</f>
        <v/>
      </c>
      <c r="OG122" s="161">
        <f>IF($NJ122=0,0,INDEX('DADOS_FORMAS'!$GD$2:$GD$21,$NJ122))</f>
        <v/>
      </c>
      <c r="OH122" s="161">
        <f>IF($NJ122=0,0,INDEX('DADOS_FORMAS'!$GF$2:$GF$21,$NJ122))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IF(IFERROR(INDEX('DADOS_FORMAS'!$AS$2:$AS$21,MATCH(SUBSTITUTE(SUBSTITUTE(SUBSTITUTE($MU122,"~","~~"),"*","~*"),"?","~?"),'DADOS_FORMAS'!$AH$2:$AH$21,0)),"")="",0,IFERROR(N(VLOOKUP(SUBSTITUTE(SUBSTITUTE(SUBSTITUTE(IFERROR(INDEX('DADOS_FORMAS'!$AS$2:$AS$21,MATCH(SUBSTITUTE(SUBSTITUTE(SUBSTITUTE($MU122,"~","~~"),"*","~*"),"?","~?"),'DADOS_FORMAS'!$AH$2:$AH$21,0)),""),"~","~~"),"*","~*"),"?","~?"),'DADOS_RESTRICOES'!$M$2:$Q$54,3,FALSE)=1),0))</f>
        <v/>
      </c>
      <c r="OT122" s="161">
        <f>COUNTIF($OI122:$OJ122,2)+IF(IFERROR(INDEX('DADOS_FORMAS'!$AS$2:$AS$21,MATCH(SUBSTITUTE(SUBSTITUTE(SUBSTITUTE($MU122,"~","~~"),"*","~*"),"?","~?"),'DADOS_FORMAS'!$AH$2:$AH$21,0)),"")="",0,IFERROR(N(VLOOKUP(SUBSTITUTE(SUBSTITUTE(SUBSTITUTE(IFERROR(INDEX('DADOS_FORMAS'!$AS$2:$AS$21,MATCH(SUBSTITUTE(SUBSTITUTE(SUBSTITUTE($MU122,"~","~~"),"*","~*"),"?","~?"),'DADOS_FORMAS'!$AH$2:$AH$21,0)),""),"~","~~"),"*","~*"),"?","~?"),'DADOS_RESTRICOES'!$M$2:$Q$54,3,FALSE)=2),0))</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",TRUE,IF($ND122=0,"",TEXTJOIN(" · ",TRUE,IF($MQ122&gt;$NE122,"Este lugar abre no nível "&amp;$MQ122,""),IF($MS122&gt;$NF122,"Classe "&amp;$MS122&amp;": o nível "&amp;$NE122&amp;" libera até a "&amp;$NF122,""),IF($NX122=1,"A Forma "&amp;$MU122&amp;" pede "&amp;INDEX('DADOS_FORMAS'!$GA$2:$GA$21,$NJ122)&amp;" aberta",""),IF(AND($MS122=0,$NJ122&gt;0,IF($NJ122=0,0,INDEX('DADOS_FORMAS'!$GJ$2:$GJ$21,$NJ122))=0),$MU122&amp;"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Corpo")&gt;0,$OF122=0,OR($RO122="Cone",$RO122="Linha")),"Corpo a Corpo não entra em "&amp;$MU122,""),IF(AND(COUNTIF($OK122:$OL122,"Corpo a Corpo")&gt;0,$RP122="Corpo a Corpo"),"A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"&amp;$NC122,""))),IF(AND($MU122&lt;&gt;"",COUNTIF('DADOS_FORMAS'!$AH$2:$AH$21,SUBSTITUTE(SUBSTITUTE(SUBSTITUTE($MU122,"~","~~"),"*","~*"),"?","~?"))=0),"Forma não cadastrada ou com erro: "&amp;$MU122,""),IF(AND(IFERROR(INDEX('DADOS_FORMAS'!$AS$2:$AS$21,MATCH(SUBSTITUTE(SUBSTITUTE(SUBSTITUTE($MU122,"~","~~"),"*","~*"),"?","~?"),'DADOS_FORMAS'!$AH$2:$AH$21,0)),"")&lt;&gt;"",OR(IFERROR(VLOOKUP(SUBSTITUTE(SUBSTITUTE(SUBSTITUTE(IFERROR(INDEX('DADOS_FORMAS'!$AS$2:$AS$21,MATCH(SUBSTITUTE(SUBSTITUTE(SUBSTITUTE($MU122,"~","~~"),"*","~*"),"?","~?"),'DADOS_FORMAS'!$AH$2:$AH$21,0)),""),"~","~~"),"*","~*"),"?","~?"),'DADOS_RESTRICOES'!$M$2:$Q$54,2,FALSE),"")=$OK122,IFERROR(VLOOKUP(SUBSTITUTE(SUBSTITUTE(SUBSTITUTE(IFERROR(INDEX('DADOS_FORMAS'!$AS$2:$AS$21,MATCH(SUBSTITUTE(SUBSTITUTE(SUBSTITUTE($MU122,"~","~~"),"*","~*"),"?","~?"),'DADOS_FORMAS'!$AH$2:$AH$21,0)),""),"~","~~"),"*","~*"),"?","~?"),'DADOS_RESTRICOES'!$M$2:$Q$54,2,FALSE),"")=$OL122)),"Restrição repetida, contando a embutida",""),IF(IF(IFERROR(INDEX('DADOS_FORMAS'!$AS$2:$AS$21,MATCH(SUBSTITUTE(SUBSTITUTE(SUBSTITUTE($MU122,"~","~~"),"*","~*"),"?","~?"),'DADOS_FORMAS'!$AH$2:$AH$21,0)),"")="",0,IFERROR(N(VLOOKUP(SUBSTITUTE(SUBSTITUTE(SUBSTITUTE(IFERROR(INDEX('DADOS_FORMAS'!$AS$2:$AS$21,MATCH(SUBSTITUTE(SUBSTITUTE(SUBSTITUTE($MU122,"~","~~"),"*","~*"),"?","~?"),'DADOS_FORMAS'!$AH$2:$AH$21,0)),""),"~","~~"),"*","~*"),"?","~?"),'DADOS_RESTRICOES'!$M$2:$Q$54,4,FALSE)=1),0))+IF($NB122="",0,IFERROR(N(VLOOKUP(SUBSTITUTE(SUBSTITUTE(SUBSTITUTE($NB122,"~","~~"),"*","~*"),"?","~?"),'DADOS_RESTRICOES'!$M$2:$Q$54,4,FALSE)=1),0))+IF($NC122="",0,IFERROR(N(VLOOKUP(SUBSTITUTE(SUBSTITUTE(SUBSTITUTE($NC122,"~","~~"),"*","~*"),"?","~?"),'DADOS_RESTRICOES'!$M$2:$Q$54,4,FALSE)=1),0))&gt;1,"Duas Restrições de frequência, contando a embutida",""),IF(AND(IFERROR(VLOOKUP(SUBSTITUTE(SUBSTITUTE(SUBSTITUTE(IFERROR(INDEX('DADOS_FORMAS'!$AS$2:$AS$21,MATCH(SUBSTITUTE(SUBSTITUTE(SUBSTITUTE($MU122,"~","~~"),"*","~*"),"?","~?"),'DADOS_FORMAS'!$AH$2:$AH$21,0)),""),"~","~~"),"*","~*"),"?","~?"),'DADOS_RESTRICOES'!$M$2:$Q$54,2,FALSE),"")="Tudo ou Nada",$OH122=0),"Tudo ou Nada exige TR",""),IF(AND(IFERROR(VLOOKUP(SUBSTITUTE(SUBSTITUTE(SUBSTITUTE(IFERROR(INDEX('DADOS_FORMAS'!$AS$2:$AS$21,MATCH(SUBSTITUTE(SUBSTITUTE(SUBSTITUTE($MU122,"~","~~"),"*","~*"),"?","~?"),'DADOS_FORMAS'!$AH$2:$AH$21,0)),""),"~","~~"),"*","~*"),"?","~?"),'DADOS_RESTRICOES'!$M$2:$Q$54,2,FALSE),"")="Corpo a Corpo",OR($RO122="Cone",$RO122="Linha")),"Corpo a Corpo não entra em Cone/Linha","")))</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dela",IF(COUNTIF($RQ122:$RS122,"Atrasar")&gt;0,"Sua Ação Completa",IF(COUNTIF($RK122:$RN122,"Rápido")&gt;0,"Sua Bônus",IF(COUNTIF($RK122:$RN122,"Reação")&gt;0,"Sua Reação","Sua Padrão")))&amp;" + a básica dela"&amp;IF(COUNTIF($RK122:$RN122,"Reação")&gt;0," e a coletiva","")&amp;IF(COUNTIF($RQ122:$RS122,"Carregar")&gt;0," · em dois turnos","")))</f>
        <v/>
      </c>
      <c r="QC122" s="161">
        <f>IF($MW122&lt;&gt;"",$MW122,IF($NJ122=0,"",INDEX('DADOS_FORMAS'!$GE$2:$GE$21,$NJ122)))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IF($NJ122=0,0,CHOOSE(1+INDEX('DADOS_FORMAS'!$GG$2:$GG$21,$NJ122),0,$QF122,$QG122,$QF122+$QG122))</f>
        <v/>
      </c>
      <c r="QI122" s="161">
        <f>IF($NJ122=0,0,CHOOSE(1+INDEX('DADOS_FORMAS'!$GH$2:$GH$21,$NJ122),0,$QF122,$QG122,$QF122+$QG122))</f>
        <v/>
      </c>
      <c r="QJ122" s="161">
        <f>IF(OR($ND122=0,$NJ122=0),"",INDEX('DADOS_FORMAS'!$HU$2:$HZ$81,($NJ122-1)*4+IF($MS122=0,1,IF($MS122&lt;=5,2,IF($MS122=6,3,4))),1+MIN(5,$QH122))&amp;INDEX('DADOS_FORMAS'!$IA$2:$IF$81,($NJ122-1)*4+IF($MS122=0,1,IF($MS122&lt;=5,2,IF($MS122=6,3,4))),1+MIN(5,$QI122))&amp;IF(INDEX('DADOS_FORMAS'!$GI$2:$GI$21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c r="RO122">
        <f>IFERROR(INDEX('DADOS_FORMAS'!$BJ$2:$BJ$21,MATCH(SUBSTITUTE(SUBSTITUTE(SUBSTITUTE($MU122,"~","~~"),"*","~*"),"?","~?"),'DADOS_FORMAS'!$AH$2:$AH$21,0)),"")</f>
        <v/>
      </c>
      <c r="RP122">
        <f>IFERROR(VLOOKUP(SUBSTITUTE(SUBSTITUTE(SUBSTITUTE(IFERROR(INDEX('DADOS_FORMAS'!$AS$2:$AS$21,MATCH(SUBSTITUTE(SUBSTITUTE(SUBSTITUTE($MU122,"~","~~"),"*","~*"),"?","~?"),'DADOS_FORMAS'!$AH$2:$AH$21,0)),""),"~","~~"),"*","~*"),"?","~?"),'DADOS_RESTRICOES'!$M$2:$Q$54,2,FALSE),"")</f>
        <v/>
      </c>
      <c r="RQ122">
        <f>$OK122</f>
        <v/>
      </c>
      <c r="RR122">
        <f>$OL122</f>
        <v/>
      </c>
      <c r="RS122">
        <f>$RP122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IFERROR(MATCH(SUBSTITUTE(SUBSTITUTE(SUBSTITUTE($MU123,"~","~~"),"*","~*"),"?","~?"),'DADOS_FORMAS'!$FZ$2:$FZ$21,0),0)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IF($MS123=0,0,IF($NJ123=0,0,INDEX('DADOS_FORMAS'!$GB$2:$GB$21,$NJ123)))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IF($NJ123=0,0,IF(INDEX('DADOS_FORMAS'!$GA$2:$GA$21,$NJ123)="",0,IF((COUNTIF(INDEX($EL$2:$EP$13,$MO123,0),INDEX('DADOS_FORMAS'!$GA$2:$GA$21,$NJ123))+COUNTIF(INDEX($QV$2:$QY$13,$MO123,0),INDEX('DADOS_FORMAS'!$GA$2:$GA$21,$NJ123)))=0,1,0)))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IFERROR(N(AND(INDEX('DADOS_FORMAS'!$AO$2:$AO$21,MATCH(SUBSTITUTE(SUBSTITUTE(SUBSTITUTE($MU123,"~","~~"),"*","~*"),"?","~?"),'DADOS_FORMAS'!$AH$2:$AH$21,0))="Acerto",$OH123=1)),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IF($NJ123=0,0,INDEX('DADOS_FORMAS'!$GC$2:$GC$21,$NJ123))</f>
        <v/>
      </c>
      <c r="OG123" s="161">
        <f>IF($NJ123=0,0,INDEX('DADOS_FORMAS'!$GD$2:$GD$21,$NJ123))</f>
        <v/>
      </c>
      <c r="OH123" s="161">
        <f>IF($NJ123=0,0,INDEX('DADOS_FORMAS'!$GF$2:$GF$21,$NJ123))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IF(IFERROR(INDEX('DADOS_FORMAS'!$AS$2:$AS$21,MATCH(SUBSTITUTE(SUBSTITUTE(SUBSTITUTE($MU123,"~","~~"),"*","~*"),"?","~?"),'DADOS_FORMAS'!$AH$2:$AH$21,0)),"")="",0,IFERROR(N(VLOOKUP(SUBSTITUTE(SUBSTITUTE(SUBSTITUTE(IFERROR(INDEX('DADOS_FORMAS'!$AS$2:$AS$21,MATCH(SUBSTITUTE(SUBSTITUTE(SUBSTITUTE($MU123,"~","~~"),"*","~*"),"?","~?"),'DADOS_FORMAS'!$AH$2:$AH$21,0)),""),"~","~~"),"*","~*"),"?","~?"),'DADOS_RESTRICOES'!$M$2:$Q$54,3,FALSE)=1),0))</f>
        <v/>
      </c>
      <c r="OT123" s="161">
        <f>COUNTIF($OI123:$OJ123,2)+IF(IFERROR(INDEX('DADOS_FORMAS'!$AS$2:$AS$21,MATCH(SUBSTITUTE(SUBSTITUTE(SUBSTITUTE($MU123,"~","~~"),"*","~*"),"?","~?"),'DADOS_FORMAS'!$AH$2:$AH$21,0)),"")="",0,IFERROR(N(VLOOKUP(SUBSTITUTE(SUBSTITUTE(SUBSTITUTE(IFERROR(INDEX('DADOS_FORMAS'!$AS$2:$AS$21,MATCH(SUBSTITUTE(SUBSTITUTE(SUBSTITUTE($MU123,"~","~~"),"*","~*"),"?","~?"),'DADOS_FORMAS'!$AH$2:$AH$21,0)),""),"~","~~"),"*","~*"),"?","~?"),'DADOS_RESTRICOES'!$M$2:$Q$54,3,FALSE)=2),0))</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",TRUE,IF($ND123=0,"",TEXTJOIN(" · ",TRUE,IF($MQ123&gt;$NE123,"Este lugar abre no nível "&amp;$MQ123,""),IF($MS123&gt;$NF123,"Classe "&amp;$MS123&amp;": o nível "&amp;$NE123&amp;" libera até a "&amp;$NF123,""),IF($NX123=1,"A Forma "&amp;$MU123&amp;" pede "&amp;INDEX('DADOS_FORMAS'!$GA$2:$GA$21,$NJ123)&amp;" aberta",""),IF(AND($MS123=0,$NJ123&gt;0,IF($NJ123=0,0,INDEX('DADOS_FORMAS'!$GJ$2:$GJ$21,$NJ123))=0),$MU123&amp;"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Corpo")&gt;0,$OF123=0,OR($RO123="Cone",$RO123="Linha")),"Corpo a Corpo não entra em "&amp;$MU123,""),IF(AND(COUNTIF($OK123:$OL123,"Corpo a Corpo")&gt;0,$RP123="Corpo a Corpo"),"A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"&amp;$NC123,""))),IF(AND($MU123&lt;&gt;"",COUNTIF('DADOS_FORMAS'!$AH$2:$AH$21,SUBSTITUTE(SUBSTITUTE(SUBSTITUTE($MU123,"~","~~"),"*","~*"),"?","~?"))=0),"Forma não cadastrada ou com erro: "&amp;$MU123,""),IF(AND(IFERROR(INDEX('DADOS_FORMAS'!$AS$2:$AS$21,MATCH(SUBSTITUTE(SUBSTITUTE(SUBSTITUTE($MU123,"~","~~"),"*","~*"),"?","~?"),'DADOS_FORMAS'!$AH$2:$AH$21,0)),"")&lt;&gt;"",OR(IFERROR(VLOOKUP(SUBSTITUTE(SUBSTITUTE(SUBSTITUTE(IFERROR(INDEX('DADOS_FORMAS'!$AS$2:$AS$21,MATCH(SUBSTITUTE(SUBSTITUTE(SUBSTITUTE($MU123,"~","~~"),"*","~*"),"?","~?"),'DADOS_FORMAS'!$AH$2:$AH$21,0)),""),"~","~~"),"*","~*"),"?","~?"),'DADOS_RESTRICOES'!$M$2:$Q$54,2,FALSE),"")=$OK123,IFERROR(VLOOKUP(SUBSTITUTE(SUBSTITUTE(SUBSTITUTE(IFERROR(INDEX('DADOS_FORMAS'!$AS$2:$AS$21,MATCH(SUBSTITUTE(SUBSTITUTE(SUBSTITUTE($MU123,"~","~~"),"*","~*"),"?","~?"),'DADOS_FORMAS'!$AH$2:$AH$21,0)),""),"~","~~"),"*","~*"),"?","~?"),'DADOS_RESTRICOES'!$M$2:$Q$54,2,FALSE),"")=$OL123)),"Restrição repetida, contando a embutida",""),IF(IF(IFERROR(INDEX('DADOS_FORMAS'!$AS$2:$AS$21,MATCH(SUBSTITUTE(SUBSTITUTE(SUBSTITUTE($MU123,"~","~~"),"*","~*"),"?","~?"),'DADOS_FORMAS'!$AH$2:$AH$21,0)),"")="",0,IFERROR(N(VLOOKUP(SUBSTITUTE(SUBSTITUTE(SUBSTITUTE(IFERROR(INDEX('DADOS_FORMAS'!$AS$2:$AS$21,MATCH(SUBSTITUTE(SUBSTITUTE(SUBSTITUTE($MU123,"~","~~"),"*","~*"),"?","~?"),'DADOS_FORMAS'!$AH$2:$AH$21,0)),""),"~","~~"),"*","~*"),"?","~?"),'DADOS_RESTRICOES'!$M$2:$Q$54,4,FALSE)=1),0))+IF($NB123="",0,IFERROR(N(VLOOKUP(SUBSTITUTE(SUBSTITUTE(SUBSTITUTE($NB123,"~","~~"),"*","~*"),"?","~?"),'DADOS_RESTRICOES'!$M$2:$Q$54,4,FALSE)=1),0))+IF($NC123="",0,IFERROR(N(VLOOKUP(SUBSTITUTE(SUBSTITUTE(SUBSTITUTE($NC123,"~","~~"),"*","~*"),"?","~?"),'DADOS_RESTRICOES'!$M$2:$Q$54,4,FALSE)=1),0))&gt;1,"Duas Restrições de frequência, contando a embutida",""),IF(AND(IFERROR(VLOOKUP(SUBSTITUTE(SUBSTITUTE(SUBSTITUTE(IFERROR(INDEX('DADOS_FORMAS'!$AS$2:$AS$21,MATCH(SUBSTITUTE(SUBSTITUTE(SUBSTITUTE($MU123,"~","~~"),"*","~*"),"?","~?"),'DADOS_FORMAS'!$AH$2:$AH$21,0)),""),"~","~~"),"*","~*"),"?","~?"),'DADOS_RESTRICOES'!$M$2:$Q$54,2,FALSE),"")="Tudo ou Nada",$OH123=0),"Tudo ou Nada exige TR",""),IF(AND(IFERROR(VLOOKUP(SUBSTITUTE(SUBSTITUTE(SUBSTITUTE(IFERROR(INDEX('DADOS_FORMAS'!$AS$2:$AS$21,MATCH(SUBSTITUTE(SUBSTITUTE(SUBSTITUTE($MU123,"~","~~"),"*","~*"),"?","~?"),'DADOS_FORMAS'!$AH$2:$AH$21,0)),""),"~","~~"),"*","~*"),"?","~?"),'DADOS_RESTRICOES'!$M$2:$Q$54,2,FALSE),"")="Corpo a Corpo",OR($RO123="Cone",$RO123="Linha")),"Corpo a Corpo não entra em Cone/Linha","")))</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dela",IF(COUNTIF($RQ123:$RS123,"Atrasar")&gt;0,"Sua Ação Completa",IF(COUNTIF($RK123:$RN123,"Rápido")&gt;0,"Sua Bônus",IF(COUNTIF($RK123:$RN123,"Reação")&gt;0,"Sua Reação","Sua Padrão")))&amp;" + a básica dela"&amp;IF(COUNTIF($RK123:$RN123,"Reação")&gt;0," e a coletiva","")&amp;IF(COUNTIF($RQ123:$RS123,"Carregar")&gt;0," · em dois turnos","")))</f>
        <v/>
      </c>
      <c r="QC123" s="161">
        <f>IF($MW123&lt;&gt;"",$MW123,IF($NJ123=0,"",INDEX('DADOS_FORMAS'!$GE$2:$GE$21,$NJ123)))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IF($NJ123=0,0,CHOOSE(1+INDEX('DADOS_FORMAS'!$GG$2:$GG$21,$NJ123),0,$QF123,$QG123,$QF123+$QG123))</f>
        <v/>
      </c>
      <c r="QI123" s="161">
        <f>IF($NJ123=0,0,CHOOSE(1+INDEX('DADOS_FORMAS'!$GH$2:$GH$21,$NJ123),0,$QF123,$QG123,$QF123+$QG123))</f>
        <v/>
      </c>
      <c r="QJ123" s="161">
        <f>IF(OR($ND123=0,$NJ123=0),"",INDEX('DADOS_FORMAS'!$HU$2:$HZ$81,($NJ123-1)*4+IF($MS123=0,1,IF($MS123&lt;=5,2,IF($MS123=6,3,4))),1+MIN(5,$QH123))&amp;INDEX('DADOS_FORMAS'!$IA$2:$IF$81,($NJ123-1)*4+IF($MS123=0,1,IF($MS123&lt;=5,2,IF($MS123=6,3,4))),1+MIN(5,$QI123))&amp;IF(INDEX('DADOS_FORMAS'!$GI$2:$GI$21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c r="RO123">
        <f>IFERROR(INDEX('DADOS_FORMAS'!$BJ$2:$BJ$21,MATCH(SUBSTITUTE(SUBSTITUTE(SUBSTITUTE($MU123,"~","~~"),"*","~*"),"?","~?"),'DADOS_FORMAS'!$AH$2:$AH$21,0)),"")</f>
        <v/>
      </c>
      <c r="RP123">
        <f>IFERROR(VLOOKUP(SUBSTITUTE(SUBSTITUTE(SUBSTITUTE(IFERROR(INDEX('DADOS_FORMAS'!$AS$2:$AS$21,MATCH(SUBSTITUTE(SUBSTITUTE(SUBSTITUTE($MU123,"~","~~"),"*","~*"),"?","~?"),'DADOS_FORMAS'!$AH$2:$AH$21,0)),""),"~","~~"),"*","~*"),"?","~?"),'DADOS_RESTRICOES'!$M$2:$Q$54,2,FALSE),"")</f>
        <v/>
      </c>
      <c r="RQ123">
        <f>$OK123</f>
        <v/>
      </c>
      <c r="RR123">
        <f>$OL123</f>
        <v/>
      </c>
      <c r="RS123">
        <f>$RP123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IFERROR(MATCH(SUBSTITUTE(SUBSTITUTE(SUBSTITUTE($MU124,"~","~~"),"*","~*"),"?","~?"),'DADOS_FORMAS'!$FZ$2:$FZ$21,0),0)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IF($MS124=0,0,IF($NJ124=0,0,INDEX('DADOS_FORMAS'!$GB$2:$GB$21,$NJ124)))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IF($NJ124=0,0,IF(INDEX('DADOS_FORMAS'!$GA$2:$GA$21,$NJ124)="",0,IF((COUNTIF(INDEX($EL$2:$EP$13,$MO124,0),INDEX('DADOS_FORMAS'!$GA$2:$GA$21,$NJ124))+COUNTIF(INDEX($QV$2:$QY$13,$MO124,0),INDEX('DADOS_FORMAS'!$GA$2:$GA$21,$NJ124)))=0,1,0)))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IFERROR(N(AND(INDEX('DADOS_FORMAS'!$AO$2:$AO$21,MATCH(SUBSTITUTE(SUBSTITUTE(SUBSTITUTE($MU124,"~","~~"),"*","~*"),"?","~?"),'DADOS_FORMAS'!$AH$2:$AH$21,0))="Acerto",$OH124=1)),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IF($NJ124=0,0,INDEX('DADOS_FORMAS'!$GC$2:$GC$21,$NJ124))</f>
        <v/>
      </c>
      <c r="OG124" s="161">
        <f>IF($NJ124=0,0,INDEX('DADOS_FORMAS'!$GD$2:$GD$21,$NJ124))</f>
        <v/>
      </c>
      <c r="OH124" s="161">
        <f>IF($NJ124=0,0,INDEX('DADOS_FORMAS'!$GF$2:$GF$21,$NJ124))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IF(IFERROR(INDEX('DADOS_FORMAS'!$AS$2:$AS$21,MATCH(SUBSTITUTE(SUBSTITUTE(SUBSTITUTE($MU124,"~","~~"),"*","~*"),"?","~?"),'DADOS_FORMAS'!$AH$2:$AH$21,0)),"")="",0,IFERROR(N(VLOOKUP(SUBSTITUTE(SUBSTITUTE(SUBSTITUTE(IFERROR(INDEX('DADOS_FORMAS'!$AS$2:$AS$21,MATCH(SUBSTITUTE(SUBSTITUTE(SUBSTITUTE($MU124,"~","~~"),"*","~*"),"?","~?"),'DADOS_FORMAS'!$AH$2:$AH$21,0)),""),"~","~~"),"*","~*"),"?","~?"),'DADOS_RESTRICOES'!$M$2:$Q$54,3,FALSE)=1),0))</f>
        <v/>
      </c>
      <c r="OT124" s="161">
        <f>COUNTIF($OI124:$OJ124,2)+IF(IFERROR(INDEX('DADOS_FORMAS'!$AS$2:$AS$21,MATCH(SUBSTITUTE(SUBSTITUTE(SUBSTITUTE($MU124,"~","~~"),"*","~*"),"?","~?"),'DADOS_FORMAS'!$AH$2:$AH$21,0)),"")="",0,IFERROR(N(VLOOKUP(SUBSTITUTE(SUBSTITUTE(SUBSTITUTE(IFERROR(INDEX('DADOS_FORMAS'!$AS$2:$AS$21,MATCH(SUBSTITUTE(SUBSTITUTE(SUBSTITUTE($MU124,"~","~~"),"*","~*"),"?","~?"),'DADOS_FORMAS'!$AH$2:$AH$21,0)),""),"~","~~"),"*","~*"),"?","~?"),'DADOS_RESTRICOES'!$M$2:$Q$54,3,FALSE)=2),0))</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",TRUE,IF($ND124=0,"",TEXTJOIN(" · ",TRUE,IF($MQ124&gt;$NE124,"Este lugar abre no nível "&amp;$MQ124,""),IF($MS124&gt;$NF124,"Classe "&amp;$MS124&amp;": o nível "&amp;$NE124&amp;" libera até a "&amp;$NF124,""),IF($NX124=1,"A Forma "&amp;$MU124&amp;" pede "&amp;INDEX('DADOS_FORMAS'!$GA$2:$GA$21,$NJ124)&amp;" aberta",""),IF(AND($MS124=0,$NJ124&gt;0,IF($NJ124=0,0,INDEX('DADOS_FORMAS'!$GJ$2:$GJ$21,$NJ124))=0),$MU124&amp;"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Corpo")&gt;0,$OF124=0,OR($RO124="Cone",$RO124="Linha")),"Corpo a Corpo não entra em "&amp;$MU124,""),IF(AND(COUNTIF($OK124:$OL124,"Corpo a Corpo")&gt;0,$RP124="Corpo a Corpo"),"A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"&amp;$NC124,""))),IF(AND($MU124&lt;&gt;"",COUNTIF('DADOS_FORMAS'!$AH$2:$AH$21,SUBSTITUTE(SUBSTITUTE(SUBSTITUTE($MU124,"~","~~"),"*","~*"),"?","~?"))=0),"Forma não cadastrada ou com erro: "&amp;$MU124,""),IF(AND(IFERROR(INDEX('DADOS_FORMAS'!$AS$2:$AS$21,MATCH(SUBSTITUTE(SUBSTITUTE(SUBSTITUTE($MU124,"~","~~"),"*","~*"),"?","~?"),'DADOS_FORMAS'!$AH$2:$AH$21,0)),"")&lt;&gt;"",OR(IFERROR(VLOOKUP(SUBSTITUTE(SUBSTITUTE(SUBSTITUTE(IFERROR(INDEX('DADOS_FORMAS'!$AS$2:$AS$21,MATCH(SUBSTITUTE(SUBSTITUTE(SUBSTITUTE($MU124,"~","~~"),"*","~*"),"?","~?"),'DADOS_FORMAS'!$AH$2:$AH$21,0)),""),"~","~~"),"*","~*"),"?","~?"),'DADOS_RESTRICOES'!$M$2:$Q$54,2,FALSE),"")=$OK124,IFERROR(VLOOKUP(SUBSTITUTE(SUBSTITUTE(SUBSTITUTE(IFERROR(INDEX('DADOS_FORMAS'!$AS$2:$AS$21,MATCH(SUBSTITUTE(SUBSTITUTE(SUBSTITUTE($MU124,"~","~~"),"*","~*"),"?","~?"),'DADOS_FORMAS'!$AH$2:$AH$21,0)),""),"~","~~"),"*","~*"),"?","~?"),'DADOS_RESTRICOES'!$M$2:$Q$54,2,FALSE),"")=$OL124)),"Restrição repetida, contando a embutida",""),IF(IF(IFERROR(INDEX('DADOS_FORMAS'!$AS$2:$AS$21,MATCH(SUBSTITUTE(SUBSTITUTE(SUBSTITUTE($MU124,"~","~~"),"*","~*"),"?","~?"),'DADOS_FORMAS'!$AH$2:$AH$21,0)),"")="",0,IFERROR(N(VLOOKUP(SUBSTITUTE(SUBSTITUTE(SUBSTITUTE(IFERROR(INDEX('DADOS_FORMAS'!$AS$2:$AS$21,MATCH(SUBSTITUTE(SUBSTITUTE(SUBSTITUTE($MU124,"~","~~"),"*","~*"),"?","~?"),'DADOS_FORMAS'!$AH$2:$AH$21,0)),""),"~","~~"),"*","~*"),"?","~?"),'DADOS_RESTRICOES'!$M$2:$Q$54,4,FALSE)=1),0))+IF($NB124="",0,IFERROR(N(VLOOKUP(SUBSTITUTE(SUBSTITUTE(SUBSTITUTE($NB124,"~","~~"),"*","~*"),"?","~?"),'DADOS_RESTRICOES'!$M$2:$Q$54,4,FALSE)=1),0))+IF($NC124="",0,IFERROR(N(VLOOKUP(SUBSTITUTE(SUBSTITUTE(SUBSTITUTE($NC124,"~","~~"),"*","~*"),"?","~?"),'DADOS_RESTRICOES'!$M$2:$Q$54,4,FALSE)=1),0))&gt;1,"Duas Restrições de frequência, contando a embutida",""),IF(AND(IFERROR(VLOOKUP(SUBSTITUTE(SUBSTITUTE(SUBSTITUTE(IFERROR(INDEX('DADOS_FORMAS'!$AS$2:$AS$21,MATCH(SUBSTITUTE(SUBSTITUTE(SUBSTITUTE($MU124,"~","~~"),"*","~*"),"?","~?"),'DADOS_FORMAS'!$AH$2:$AH$21,0)),""),"~","~~"),"*","~*"),"?","~?"),'DADOS_RESTRICOES'!$M$2:$Q$54,2,FALSE),"")="Tudo ou Nada",$OH124=0),"Tudo ou Nada exige TR",""),IF(AND(IFERROR(VLOOKUP(SUBSTITUTE(SUBSTITUTE(SUBSTITUTE(IFERROR(INDEX('DADOS_FORMAS'!$AS$2:$AS$21,MATCH(SUBSTITUTE(SUBSTITUTE(SUBSTITUTE($MU124,"~","~~"),"*","~*"),"?","~?"),'DADOS_FORMAS'!$AH$2:$AH$21,0)),""),"~","~~"),"*","~*"),"?","~?"),'DADOS_RESTRICOES'!$M$2:$Q$54,2,FALSE),"")="Corpo a Corpo",OR($RO124="Cone",$RO124="Linha")),"Corpo a Corpo não entra em Cone/Linha","")))</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dela",IF(COUNTIF($RQ124:$RS124,"Atrasar")&gt;0,"Sua Ação Completa",IF(COUNTIF($RK124:$RN124,"Rápido")&gt;0,"Sua Bônus",IF(COUNTIF($RK124:$RN124,"Reação")&gt;0,"Sua Reação","Sua Padrão")))&amp;" + a básica dela"&amp;IF(COUNTIF($RK124:$RN124,"Reação")&gt;0," e a coletiva","")&amp;IF(COUNTIF($RQ124:$RS124,"Carregar")&gt;0," · em dois turnos","")))</f>
        <v/>
      </c>
      <c r="QC124" s="161">
        <f>IF($MW124&lt;&gt;"",$MW124,IF($NJ124=0,"",INDEX('DADOS_FORMAS'!$GE$2:$GE$21,$NJ124)))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IF($NJ124=0,0,CHOOSE(1+INDEX('DADOS_FORMAS'!$GG$2:$GG$21,$NJ124),0,$QF124,$QG124,$QF124+$QG124))</f>
        <v/>
      </c>
      <c r="QI124" s="161">
        <f>IF($NJ124=0,0,CHOOSE(1+INDEX('DADOS_FORMAS'!$GH$2:$GH$21,$NJ124),0,$QF124,$QG124,$QF124+$QG124))</f>
        <v/>
      </c>
      <c r="QJ124" s="161">
        <f>IF(OR($ND124=0,$NJ124=0),"",INDEX('DADOS_FORMAS'!$HU$2:$HZ$81,($NJ124-1)*4+IF($MS124=0,1,IF($MS124&lt;=5,2,IF($MS124=6,3,4))),1+MIN(5,$QH124))&amp;INDEX('DADOS_FORMAS'!$IA$2:$IF$81,($NJ124-1)*4+IF($MS124=0,1,IF($MS124&lt;=5,2,IF($MS124=6,3,4))),1+MIN(5,$QI124))&amp;IF(INDEX('DADOS_FORMAS'!$GI$2:$GI$21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c r="RO124">
        <f>IFERROR(INDEX('DADOS_FORMAS'!$BJ$2:$BJ$21,MATCH(SUBSTITUTE(SUBSTITUTE(SUBSTITUTE($MU124,"~","~~"),"*","~*"),"?","~?"),'DADOS_FORMAS'!$AH$2:$AH$21,0)),"")</f>
        <v/>
      </c>
      <c r="RP124">
        <f>IFERROR(VLOOKUP(SUBSTITUTE(SUBSTITUTE(SUBSTITUTE(IFERROR(INDEX('DADOS_FORMAS'!$AS$2:$AS$21,MATCH(SUBSTITUTE(SUBSTITUTE(SUBSTITUTE($MU124,"~","~~"),"*","~*"),"?","~?"),'DADOS_FORMAS'!$AH$2:$AH$21,0)),""),"~","~~"),"*","~*"),"?","~?"),'DADOS_RESTRICOES'!$M$2:$Q$54,2,FALSE),"")</f>
        <v/>
      </c>
      <c r="RQ124">
        <f>$OK124</f>
        <v/>
      </c>
      <c r="RR124">
        <f>$OL124</f>
        <v/>
      </c>
      <c r="RS124">
        <f>$RP124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IFERROR(MATCH(SUBSTITUTE(SUBSTITUTE(SUBSTITUTE($MU125,"~","~~"),"*","~*"),"?","~?"),'DADOS_FORMAS'!$FZ$2:$FZ$21,0),0)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IF($MS125=0,0,IF($NJ125=0,0,INDEX('DADOS_FORMAS'!$GB$2:$GB$21,$NJ125)))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IF($NJ125=0,0,IF(INDEX('DADOS_FORMAS'!$GA$2:$GA$21,$NJ125)="",0,IF((COUNTIF(INDEX($EL$2:$EP$13,$MO125,0),INDEX('DADOS_FORMAS'!$GA$2:$GA$21,$NJ125))+COUNTIF(INDEX($QV$2:$QY$13,$MO125,0),INDEX('DADOS_FORMAS'!$GA$2:$GA$21,$NJ125)))=0,1,0)))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IFERROR(N(AND(INDEX('DADOS_FORMAS'!$AO$2:$AO$21,MATCH(SUBSTITUTE(SUBSTITUTE(SUBSTITUTE($MU125,"~","~~"),"*","~*"),"?","~?"),'DADOS_FORMAS'!$AH$2:$AH$21,0))="Acerto",$OH125=1)),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IF($NJ125=0,0,INDEX('DADOS_FORMAS'!$GC$2:$GC$21,$NJ125))</f>
        <v/>
      </c>
      <c r="OG125" s="161">
        <f>IF($NJ125=0,0,INDEX('DADOS_FORMAS'!$GD$2:$GD$21,$NJ125))</f>
        <v/>
      </c>
      <c r="OH125" s="161">
        <f>IF($NJ125=0,0,INDEX('DADOS_FORMAS'!$GF$2:$GF$21,$NJ125))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IF(IFERROR(INDEX('DADOS_FORMAS'!$AS$2:$AS$21,MATCH(SUBSTITUTE(SUBSTITUTE(SUBSTITUTE($MU125,"~","~~"),"*","~*"),"?","~?"),'DADOS_FORMAS'!$AH$2:$AH$21,0)),"")="",0,IFERROR(N(VLOOKUP(SUBSTITUTE(SUBSTITUTE(SUBSTITUTE(IFERROR(INDEX('DADOS_FORMAS'!$AS$2:$AS$21,MATCH(SUBSTITUTE(SUBSTITUTE(SUBSTITUTE($MU125,"~","~~"),"*","~*"),"?","~?"),'DADOS_FORMAS'!$AH$2:$AH$21,0)),""),"~","~~"),"*","~*"),"?","~?"),'DADOS_RESTRICOES'!$M$2:$Q$54,3,FALSE)=1),0))</f>
        <v/>
      </c>
      <c r="OT125" s="161">
        <f>COUNTIF($OI125:$OJ125,2)+IF(IFERROR(INDEX('DADOS_FORMAS'!$AS$2:$AS$21,MATCH(SUBSTITUTE(SUBSTITUTE(SUBSTITUTE($MU125,"~","~~"),"*","~*"),"?","~?"),'DADOS_FORMAS'!$AH$2:$AH$21,0)),"")="",0,IFERROR(N(VLOOKUP(SUBSTITUTE(SUBSTITUTE(SUBSTITUTE(IFERROR(INDEX('DADOS_FORMAS'!$AS$2:$AS$21,MATCH(SUBSTITUTE(SUBSTITUTE(SUBSTITUTE($MU125,"~","~~"),"*","~*"),"?","~?"),'DADOS_FORMAS'!$AH$2:$AH$21,0)),""),"~","~~"),"*","~*"),"?","~?"),'DADOS_RESTRICOES'!$M$2:$Q$54,3,FALSE)=2),0))</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",TRUE,IF($ND125=0,"",TEXTJOIN(" · ",TRUE,IF($MQ125&gt;$NE125,"Este lugar abre no nível "&amp;$MQ125,""),IF($MS125&gt;$NF125,"Classe "&amp;$MS125&amp;": o nível "&amp;$NE125&amp;" libera até a "&amp;$NF125,""),IF($NX125=1,"A Forma "&amp;$MU125&amp;" pede "&amp;INDEX('DADOS_FORMAS'!$GA$2:$GA$21,$NJ125)&amp;" aberta",""),IF(AND($MS125=0,$NJ125&gt;0,IF($NJ125=0,0,INDEX('DADOS_FORMAS'!$GJ$2:$GJ$21,$NJ125))=0),$MU125&amp;"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Corpo")&gt;0,$OF125=0,OR($RO125="Cone",$RO125="Linha")),"Corpo a Corpo não entra em "&amp;$MU125,""),IF(AND(COUNTIF($OK125:$OL125,"Corpo a Corpo")&gt;0,$RP125="Corpo a Corpo"),"A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"&amp;$NC125,""))),IF(AND($MU125&lt;&gt;"",COUNTIF('DADOS_FORMAS'!$AH$2:$AH$21,SUBSTITUTE(SUBSTITUTE(SUBSTITUTE($MU125,"~","~~"),"*","~*"),"?","~?"))=0),"Forma não cadastrada ou com erro: "&amp;$MU125,""),IF(AND(IFERROR(INDEX('DADOS_FORMAS'!$AS$2:$AS$21,MATCH(SUBSTITUTE(SUBSTITUTE(SUBSTITUTE($MU125,"~","~~"),"*","~*"),"?","~?"),'DADOS_FORMAS'!$AH$2:$AH$21,0)),"")&lt;&gt;"",OR(IFERROR(VLOOKUP(SUBSTITUTE(SUBSTITUTE(SUBSTITUTE(IFERROR(INDEX('DADOS_FORMAS'!$AS$2:$AS$21,MATCH(SUBSTITUTE(SUBSTITUTE(SUBSTITUTE($MU125,"~","~~"),"*","~*"),"?","~?"),'DADOS_FORMAS'!$AH$2:$AH$21,0)),""),"~","~~"),"*","~*"),"?","~?"),'DADOS_RESTRICOES'!$M$2:$Q$54,2,FALSE),"")=$OK125,IFERROR(VLOOKUP(SUBSTITUTE(SUBSTITUTE(SUBSTITUTE(IFERROR(INDEX('DADOS_FORMAS'!$AS$2:$AS$21,MATCH(SUBSTITUTE(SUBSTITUTE(SUBSTITUTE($MU125,"~","~~"),"*","~*"),"?","~?"),'DADOS_FORMAS'!$AH$2:$AH$21,0)),""),"~","~~"),"*","~*"),"?","~?"),'DADOS_RESTRICOES'!$M$2:$Q$54,2,FALSE),"")=$OL125)),"Restrição repetida, contando a embutida",""),IF(IF(IFERROR(INDEX('DADOS_FORMAS'!$AS$2:$AS$21,MATCH(SUBSTITUTE(SUBSTITUTE(SUBSTITUTE($MU125,"~","~~"),"*","~*"),"?","~?"),'DADOS_FORMAS'!$AH$2:$AH$21,0)),"")="",0,IFERROR(N(VLOOKUP(SUBSTITUTE(SUBSTITUTE(SUBSTITUTE(IFERROR(INDEX('DADOS_FORMAS'!$AS$2:$AS$21,MATCH(SUBSTITUTE(SUBSTITUTE(SUBSTITUTE($MU125,"~","~~"),"*","~*"),"?","~?"),'DADOS_FORMAS'!$AH$2:$AH$21,0)),""),"~","~~"),"*","~*"),"?","~?"),'DADOS_RESTRICOES'!$M$2:$Q$54,4,FALSE)=1),0))+IF($NB125="",0,IFERROR(N(VLOOKUP(SUBSTITUTE(SUBSTITUTE(SUBSTITUTE($NB125,"~","~~"),"*","~*"),"?","~?"),'DADOS_RESTRICOES'!$M$2:$Q$54,4,FALSE)=1),0))+IF($NC125="",0,IFERROR(N(VLOOKUP(SUBSTITUTE(SUBSTITUTE(SUBSTITUTE($NC125,"~","~~"),"*","~*"),"?","~?"),'DADOS_RESTRICOES'!$M$2:$Q$54,4,FALSE)=1),0))&gt;1,"Duas Restrições de frequência, contando a embutida",""),IF(AND(IFERROR(VLOOKUP(SUBSTITUTE(SUBSTITUTE(SUBSTITUTE(IFERROR(INDEX('DADOS_FORMAS'!$AS$2:$AS$21,MATCH(SUBSTITUTE(SUBSTITUTE(SUBSTITUTE($MU125,"~","~~"),"*","~*"),"?","~?"),'DADOS_FORMAS'!$AH$2:$AH$21,0)),""),"~","~~"),"*","~*"),"?","~?"),'DADOS_RESTRICOES'!$M$2:$Q$54,2,FALSE),"")="Tudo ou Nada",$OH125=0),"Tudo ou Nada exige TR",""),IF(AND(IFERROR(VLOOKUP(SUBSTITUTE(SUBSTITUTE(SUBSTITUTE(IFERROR(INDEX('DADOS_FORMAS'!$AS$2:$AS$21,MATCH(SUBSTITUTE(SUBSTITUTE(SUBSTITUTE($MU125,"~","~~"),"*","~*"),"?","~?"),'DADOS_FORMAS'!$AH$2:$AH$21,0)),""),"~","~~"),"*","~*"),"?","~?"),'DADOS_RESTRICOES'!$M$2:$Q$54,2,FALSE),"")="Corpo a Corpo",OR($RO125="Cone",$RO125="Linha")),"Corpo a Corpo não entra em Cone/Linha","")))</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dela",IF(COUNTIF($RQ125:$RS125,"Atrasar")&gt;0,"Sua Ação Completa",IF(COUNTIF($RK125:$RN125,"Rápido")&gt;0,"Sua Bônus",IF(COUNTIF($RK125:$RN125,"Reação")&gt;0,"Sua Reação","Sua Padrão")))&amp;" + a básica dela"&amp;IF(COUNTIF($RK125:$RN125,"Reação")&gt;0," e a coletiva","")&amp;IF(COUNTIF($RQ125:$RS125,"Carregar")&gt;0," · em dois turnos","")))</f>
        <v/>
      </c>
      <c r="QC125" s="161">
        <f>IF($MW125&lt;&gt;"",$MW125,IF($NJ125=0,"",INDEX('DADOS_FORMAS'!$GE$2:$GE$21,$NJ125)))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IF($NJ125=0,0,CHOOSE(1+INDEX('DADOS_FORMAS'!$GG$2:$GG$21,$NJ125),0,$QF125,$QG125,$QF125+$QG125))</f>
        <v/>
      </c>
      <c r="QI125" s="161">
        <f>IF($NJ125=0,0,CHOOSE(1+INDEX('DADOS_FORMAS'!$GH$2:$GH$21,$NJ125),0,$QF125,$QG125,$QF125+$QG125))</f>
        <v/>
      </c>
      <c r="QJ125" s="161">
        <f>IF(OR($ND125=0,$NJ125=0),"",INDEX('DADOS_FORMAS'!$HU$2:$HZ$81,($NJ125-1)*4+IF($MS125=0,1,IF($MS125&lt;=5,2,IF($MS125=6,3,4))),1+MIN(5,$QH125))&amp;INDEX('DADOS_FORMAS'!$IA$2:$IF$81,($NJ125-1)*4+IF($MS125=0,1,IF($MS125&lt;=5,2,IF($MS125=6,3,4))),1+MIN(5,$QI125))&amp;IF(INDEX('DADOS_FORMAS'!$GI$2:$GI$21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c r="RO125">
        <f>IFERROR(INDEX('DADOS_FORMAS'!$BJ$2:$BJ$21,MATCH(SUBSTITUTE(SUBSTITUTE(SUBSTITUTE($MU125,"~","~~"),"*","~*"),"?","~?"),'DADOS_FORMAS'!$AH$2:$AH$21,0)),"")</f>
        <v/>
      </c>
      <c r="RP125">
        <f>IFERROR(VLOOKUP(SUBSTITUTE(SUBSTITUTE(SUBSTITUTE(IFERROR(INDEX('DADOS_FORMAS'!$AS$2:$AS$21,MATCH(SUBSTITUTE(SUBSTITUTE(SUBSTITUTE($MU125,"~","~~"),"*","~*"),"?","~?"),'DADOS_FORMAS'!$AH$2:$AH$21,0)),""),"~","~~"),"*","~*"),"?","~?"),'DADOS_RESTRICOES'!$M$2:$Q$54,2,FALSE),"")</f>
        <v/>
      </c>
      <c r="RQ125">
        <f>$OK125</f>
        <v/>
      </c>
      <c r="RR125">
        <f>$OL125</f>
        <v/>
      </c>
      <c r="RS125">
        <f>$RP125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IFERROR(MATCH(SUBSTITUTE(SUBSTITUTE(SUBSTITUTE($MU126,"~","~~"),"*","~*"),"?","~?"),'DADOS_FORMAS'!$FZ$2:$FZ$21,0),0)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IF($MS126=0,0,IF($NJ126=0,0,INDEX('DADOS_FORMAS'!$GB$2:$GB$21,$NJ126)))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IF($NJ126=0,0,IF(INDEX('DADOS_FORMAS'!$GA$2:$GA$21,$NJ126)="",0,IF((COUNTIF(INDEX($EL$2:$EP$13,$MO126,0),INDEX('DADOS_FORMAS'!$GA$2:$GA$21,$NJ126))+COUNTIF(INDEX($QV$2:$QY$13,$MO126,0),INDEX('DADOS_FORMAS'!$GA$2:$GA$21,$NJ126)))=0,1,0)))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IFERROR(N(AND(INDEX('DADOS_FORMAS'!$AO$2:$AO$21,MATCH(SUBSTITUTE(SUBSTITUTE(SUBSTITUTE($MU126,"~","~~"),"*","~*"),"?","~?"),'DADOS_FORMAS'!$AH$2:$AH$21,0))="Acerto",$OH126=1)),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IF($NJ126=0,0,INDEX('DADOS_FORMAS'!$GC$2:$GC$21,$NJ126))</f>
        <v/>
      </c>
      <c r="OG126" s="161">
        <f>IF($NJ126=0,0,INDEX('DADOS_FORMAS'!$GD$2:$GD$21,$NJ126))</f>
        <v/>
      </c>
      <c r="OH126" s="161">
        <f>IF($NJ126=0,0,INDEX('DADOS_FORMAS'!$GF$2:$GF$21,$NJ126))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IF(IFERROR(INDEX('DADOS_FORMAS'!$AS$2:$AS$21,MATCH(SUBSTITUTE(SUBSTITUTE(SUBSTITUTE($MU126,"~","~~"),"*","~*"),"?","~?"),'DADOS_FORMAS'!$AH$2:$AH$21,0)),"")="",0,IFERROR(N(VLOOKUP(SUBSTITUTE(SUBSTITUTE(SUBSTITUTE(IFERROR(INDEX('DADOS_FORMAS'!$AS$2:$AS$21,MATCH(SUBSTITUTE(SUBSTITUTE(SUBSTITUTE($MU126,"~","~~"),"*","~*"),"?","~?"),'DADOS_FORMAS'!$AH$2:$AH$21,0)),""),"~","~~"),"*","~*"),"?","~?"),'DADOS_RESTRICOES'!$M$2:$Q$54,3,FALSE)=1),0))</f>
        <v/>
      </c>
      <c r="OT126" s="161">
        <f>COUNTIF($OI126:$OJ126,2)+IF(IFERROR(INDEX('DADOS_FORMAS'!$AS$2:$AS$21,MATCH(SUBSTITUTE(SUBSTITUTE(SUBSTITUTE($MU126,"~","~~"),"*","~*"),"?","~?"),'DADOS_FORMAS'!$AH$2:$AH$21,0)),"")="",0,IFERROR(N(VLOOKUP(SUBSTITUTE(SUBSTITUTE(SUBSTITUTE(IFERROR(INDEX('DADOS_FORMAS'!$AS$2:$AS$21,MATCH(SUBSTITUTE(SUBSTITUTE(SUBSTITUTE($MU126,"~","~~"),"*","~*"),"?","~?"),'DADOS_FORMAS'!$AH$2:$AH$21,0)),""),"~","~~"),"*","~*"),"?","~?"),'DADOS_RESTRICOES'!$M$2:$Q$54,3,FALSE)=2),0))</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",TRUE,IF($ND126=0,"",TEXTJOIN(" · ",TRUE,IF($MQ126&gt;$NE126,"Este lugar abre no nível "&amp;$MQ126,""),IF($MS126&gt;$NF126,"Classe "&amp;$MS126&amp;": o nível "&amp;$NE126&amp;" libera até a "&amp;$NF126,""),IF($NX126=1,"A Forma "&amp;$MU126&amp;" pede "&amp;INDEX('DADOS_FORMAS'!$GA$2:$GA$21,$NJ126)&amp;" aberta",""),IF(AND($MS126=0,$NJ126&gt;0,IF($NJ126=0,0,INDEX('DADOS_FORMAS'!$GJ$2:$GJ$21,$NJ126))=0),$MU126&amp;"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Corpo")&gt;0,$OF126=0,OR($RO126="Cone",$RO126="Linha")),"Corpo a Corpo não entra em "&amp;$MU126,""),IF(AND(COUNTIF($OK126:$OL126,"Corpo a Corpo")&gt;0,$RP126="Corpo a Corpo"),"A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"&amp;$NC126,""))),IF(AND($MU126&lt;&gt;"",COUNTIF('DADOS_FORMAS'!$AH$2:$AH$21,SUBSTITUTE(SUBSTITUTE(SUBSTITUTE($MU126,"~","~~"),"*","~*"),"?","~?"))=0),"Forma não cadastrada ou com erro: "&amp;$MU126,""),IF(AND(IFERROR(INDEX('DADOS_FORMAS'!$AS$2:$AS$21,MATCH(SUBSTITUTE(SUBSTITUTE(SUBSTITUTE($MU126,"~","~~"),"*","~*"),"?","~?"),'DADOS_FORMAS'!$AH$2:$AH$21,0)),"")&lt;&gt;"",OR(IFERROR(VLOOKUP(SUBSTITUTE(SUBSTITUTE(SUBSTITUTE(IFERROR(INDEX('DADOS_FORMAS'!$AS$2:$AS$21,MATCH(SUBSTITUTE(SUBSTITUTE(SUBSTITUTE($MU126,"~","~~"),"*","~*"),"?","~?"),'DADOS_FORMAS'!$AH$2:$AH$21,0)),""),"~","~~"),"*","~*"),"?","~?"),'DADOS_RESTRICOES'!$M$2:$Q$54,2,FALSE),"")=$OK126,IFERROR(VLOOKUP(SUBSTITUTE(SUBSTITUTE(SUBSTITUTE(IFERROR(INDEX('DADOS_FORMAS'!$AS$2:$AS$21,MATCH(SUBSTITUTE(SUBSTITUTE(SUBSTITUTE($MU126,"~","~~"),"*","~*"),"?","~?"),'DADOS_FORMAS'!$AH$2:$AH$21,0)),""),"~","~~"),"*","~*"),"?","~?"),'DADOS_RESTRICOES'!$M$2:$Q$54,2,FALSE),"")=$OL126)),"Restrição repetida, contando a embutida",""),IF(IF(IFERROR(INDEX('DADOS_FORMAS'!$AS$2:$AS$21,MATCH(SUBSTITUTE(SUBSTITUTE(SUBSTITUTE($MU126,"~","~~"),"*","~*"),"?","~?"),'DADOS_FORMAS'!$AH$2:$AH$21,0)),"")="",0,IFERROR(N(VLOOKUP(SUBSTITUTE(SUBSTITUTE(SUBSTITUTE(IFERROR(INDEX('DADOS_FORMAS'!$AS$2:$AS$21,MATCH(SUBSTITUTE(SUBSTITUTE(SUBSTITUTE($MU126,"~","~~"),"*","~*"),"?","~?"),'DADOS_FORMAS'!$AH$2:$AH$21,0)),""),"~","~~"),"*","~*"),"?","~?"),'DADOS_RESTRICOES'!$M$2:$Q$54,4,FALSE)=1),0))+IF($NB126="",0,IFERROR(N(VLOOKUP(SUBSTITUTE(SUBSTITUTE(SUBSTITUTE($NB126,"~","~~"),"*","~*"),"?","~?"),'DADOS_RESTRICOES'!$M$2:$Q$54,4,FALSE)=1),0))+IF($NC126="",0,IFERROR(N(VLOOKUP(SUBSTITUTE(SUBSTITUTE(SUBSTITUTE($NC126,"~","~~"),"*","~*"),"?","~?"),'DADOS_RESTRICOES'!$M$2:$Q$54,4,FALSE)=1),0))&gt;1,"Duas Restrições de frequência, contando a embutida",""),IF(AND(IFERROR(VLOOKUP(SUBSTITUTE(SUBSTITUTE(SUBSTITUTE(IFERROR(INDEX('DADOS_FORMAS'!$AS$2:$AS$21,MATCH(SUBSTITUTE(SUBSTITUTE(SUBSTITUTE($MU126,"~","~~"),"*","~*"),"?","~?"),'DADOS_FORMAS'!$AH$2:$AH$21,0)),""),"~","~~"),"*","~*"),"?","~?"),'DADOS_RESTRICOES'!$M$2:$Q$54,2,FALSE),"")="Tudo ou Nada",$OH126=0),"Tudo ou Nada exige TR",""),IF(AND(IFERROR(VLOOKUP(SUBSTITUTE(SUBSTITUTE(SUBSTITUTE(IFERROR(INDEX('DADOS_FORMAS'!$AS$2:$AS$21,MATCH(SUBSTITUTE(SUBSTITUTE(SUBSTITUTE($MU126,"~","~~"),"*","~*"),"?","~?"),'DADOS_FORMAS'!$AH$2:$AH$21,0)),""),"~","~~"),"*","~*"),"?","~?"),'DADOS_RESTRICOES'!$M$2:$Q$54,2,FALSE),"")="Corpo a Corpo",OR($RO126="Cone",$RO126="Linha")),"Corpo a Corpo não entra em Cone/Linha","")))</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dela",IF(COUNTIF($RQ126:$RS126,"Atrasar")&gt;0,"Sua Ação Completa",IF(COUNTIF($RK126:$RN126,"Rápido")&gt;0,"Sua Bônus",IF(COUNTIF($RK126:$RN126,"Reação")&gt;0,"Sua Reação","Sua Padrão")))&amp;" + a básica dela"&amp;IF(COUNTIF($RK126:$RN126,"Reação")&gt;0," e a coletiva","")&amp;IF(COUNTIF($RQ126:$RS126,"Carregar")&gt;0," · em dois turnos","")))</f>
        <v/>
      </c>
      <c r="QC126" s="161">
        <f>IF($MW126&lt;&gt;"",$MW126,IF($NJ126=0,"",INDEX('DADOS_FORMAS'!$GE$2:$GE$21,$NJ126)))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IF($NJ126=0,0,CHOOSE(1+INDEX('DADOS_FORMAS'!$GG$2:$GG$21,$NJ126),0,$QF126,$QG126,$QF126+$QG126))</f>
        <v/>
      </c>
      <c r="QI126" s="161">
        <f>IF($NJ126=0,0,CHOOSE(1+INDEX('DADOS_FORMAS'!$GH$2:$GH$21,$NJ126),0,$QF126,$QG126,$QF126+$QG126))</f>
        <v/>
      </c>
      <c r="QJ126" s="161">
        <f>IF(OR($ND126=0,$NJ126=0),"",INDEX('DADOS_FORMAS'!$HU$2:$HZ$81,($NJ126-1)*4+IF($MS126=0,1,IF($MS126&lt;=5,2,IF($MS126=6,3,4))),1+MIN(5,$QH126))&amp;INDEX('DADOS_FORMAS'!$IA$2:$IF$81,($NJ126-1)*4+IF($MS126=0,1,IF($MS126&lt;=5,2,IF($MS126=6,3,4))),1+MIN(5,$QI126))&amp;IF(INDEX('DADOS_FORMAS'!$GI$2:$GI$21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c r="RO126">
        <f>IFERROR(INDEX('DADOS_FORMAS'!$BJ$2:$BJ$21,MATCH(SUBSTITUTE(SUBSTITUTE(SUBSTITUTE($MU126,"~","~~"),"*","~*"),"?","~?"),'DADOS_FORMAS'!$AH$2:$AH$21,0)),"")</f>
        <v/>
      </c>
      <c r="RP126">
        <f>IFERROR(VLOOKUP(SUBSTITUTE(SUBSTITUTE(SUBSTITUTE(IFERROR(INDEX('DADOS_FORMAS'!$AS$2:$AS$21,MATCH(SUBSTITUTE(SUBSTITUTE(SUBSTITUTE($MU126,"~","~~"),"*","~*"),"?","~?"),'DADOS_FORMAS'!$AH$2:$AH$21,0)),""),"~","~~"),"*","~*"),"?","~?"),'DADOS_RESTRICOES'!$M$2:$Q$54,2,FALSE),"")</f>
        <v/>
      </c>
      <c r="RQ126">
        <f>$OK126</f>
        <v/>
      </c>
      <c r="RR126">
        <f>$OL126</f>
        <v/>
      </c>
      <c r="RS126">
        <f>$RP126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IFERROR(MATCH(SUBSTITUTE(SUBSTITUTE(SUBSTITUTE($MU127,"~","~~"),"*","~*"),"?","~?"),'DADOS_FORMAS'!$FZ$2:$FZ$21,0),0)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IF($MS127=0,0,IF($NJ127=0,0,INDEX('DADOS_FORMAS'!$GB$2:$GB$21,$NJ127)))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IF($NJ127=0,0,IF(INDEX('DADOS_FORMAS'!$GA$2:$GA$21,$NJ127)="",0,IF((COUNTIF(INDEX($EL$2:$EP$13,$MO127,0),INDEX('DADOS_FORMAS'!$GA$2:$GA$21,$NJ127))+COUNTIF(INDEX($QV$2:$QY$13,$MO127,0),INDEX('DADOS_FORMAS'!$GA$2:$GA$21,$NJ127)))=0,1,0)))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IFERROR(N(AND(INDEX('DADOS_FORMAS'!$AO$2:$AO$21,MATCH(SUBSTITUTE(SUBSTITUTE(SUBSTITUTE($MU127,"~","~~"),"*","~*"),"?","~?"),'DADOS_FORMAS'!$AH$2:$AH$21,0))="Acerto",$OH127=1)),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IF($NJ127=0,0,INDEX('DADOS_FORMAS'!$GC$2:$GC$21,$NJ127))</f>
        <v/>
      </c>
      <c r="OG127" s="161">
        <f>IF($NJ127=0,0,INDEX('DADOS_FORMAS'!$GD$2:$GD$21,$NJ127))</f>
        <v/>
      </c>
      <c r="OH127" s="161">
        <f>IF($NJ127=0,0,INDEX('DADOS_FORMAS'!$GF$2:$GF$21,$NJ127))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IF(IFERROR(INDEX('DADOS_FORMAS'!$AS$2:$AS$21,MATCH(SUBSTITUTE(SUBSTITUTE(SUBSTITUTE($MU127,"~","~~"),"*","~*"),"?","~?"),'DADOS_FORMAS'!$AH$2:$AH$21,0)),"")="",0,IFERROR(N(VLOOKUP(SUBSTITUTE(SUBSTITUTE(SUBSTITUTE(IFERROR(INDEX('DADOS_FORMAS'!$AS$2:$AS$21,MATCH(SUBSTITUTE(SUBSTITUTE(SUBSTITUTE($MU127,"~","~~"),"*","~*"),"?","~?"),'DADOS_FORMAS'!$AH$2:$AH$21,0)),""),"~","~~"),"*","~*"),"?","~?"),'DADOS_RESTRICOES'!$M$2:$Q$54,3,FALSE)=1),0))</f>
        <v/>
      </c>
      <c r="OT127" s="161">
        <f>COUNTIF($OI127:$OJ127,2)+IF(IFERROR(INDEX('DADOS_FORMAS'!$AS$2:$AS$21,MATCH(SUBSTITUTE(SUBSTITUTE(SUBSTITUTE($MU127,"~","~~"),"*","~*"),"?","~?"),'DADOS_FORMAS'!$AH$2:$AH$21,0)),"")="",0,IFERROR(N(VLOOKUP(SUBSTITUTE(SUBSTITUTE(SUBSTITUTE(IFERROR(INDEX('DADOS_FORMAS'!$AS$2:$AS$21,MATCH(SUBSTITUTE(SUBSTITUTE(SUBSTITUTE($MU127,"~","~~"),"*","~*"),"?","~?"),'DADOS_FORMAS'!$AH$2:$AH$21,0)),""),"~","~~"),"*","~*"),"?","~?"),'DADOS_RESTRICOES'!$M$2:$Q$54,3,FALSE)=2),0))</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",TRUE,IF($ND127=0,"",TEXTJOIN(" · ",TRUE,IF($MQ127&gt;$NE127,"Este lugar abre no nível "&amp;$MQ127,""),IF($MS127&gt;$NF127,"Classe "&amp;$MS127&amp;": o nível "&amp;$NE127&amp;" libera até a "&amp;$NF127,""),IF($NX127=1,"A Forma "&amp;$MU127&amp;" pede "&amp;INDEX('DADOS_FORMAS'!$GA$2:$GA$21,$NJ127)&amp;" aberta",""),IF(AND($MS127=0,$NJ127&gt;0,IF($NJ127=0,0,INDEX('DADOS_FORMAS'!$GJ$2:$GJ$21,$NJ127))=0),$MU127&amp;"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Corpo")&gt;0,$OF127=0,OR($RO127="Cone",$RO127="Linha")),"Corpo a Corpo não entra em "&amp;$MU127,""),IF(AND(COUNTIF($OK127:$OL127,"Corpo a Corpo")&gt;0,$RP127="Corpo a Corpo"),"A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"&amp;$NC127,""))),IF(AND($MU127&lt;&gt;"",COUNTIF('DADOS_FORMAS'!$AH$2:$AH$21,SUBSTITUTE(SUBSTITUTE(SUBSTITUTE($MU127,"~","~~"),"*","~*"),"?","~?"))=0),"Forma não cadastrada ou com erro: "&amp;$MU127,""),IF(AND(IFERROR(INDEX('DADOS_FORMAS'!$AS$2:$AS$21,MATCH(SUBSTITUTE(SUBSTITUTE(SUBSTITUTE($MU127,"~","~~"),"*","~*"),"?","~?"),'DADOS_FORMAS'!$AH$2:$AH$21,0)),"")&lt;&gt;"",OR(IFERROR(VLOOKUP(SUBSTITUTE(SUBSTITUTE(SUBSTITUTE(IFERROR(INDEX('DADOS_FORMAS'!$AS$2:$AS$21,MATCH(SUBSTITUTE(SUBSTITUTE(SUBSTITUTE($MU127,"~","~~"),"*","~*"),"?","~?"),'DADOS_FORMAS'!$AH$2:$AH$21,0)),""),"~","~~"),"*","~*"),"?","~?"),'DADOS_RESTRICOES'!$M$2:$Q$54,2,FALSE),"")=$OK127,IFERROR(VLOOKUP(SUBSTITUTE(SUBSTITUTE(SUBSTITUTE(IFERROR(INDEX('DADOS_FORMAS'!$AS$2:$AS$21,MATCH(SUBSTITUTE(SUBSTITUTE(SUBSTITUTE($MU127,"~","~~"),"*","~*"),"?","~?"),'DADOS_FORMAS'!$AH$2:$AH$21,0)),""),"~","~~"),"*","~*"),"?","~?"),'DADOS_RESTRICOES'!$M$2:$Q$54,2,FALSE),"")=$OL127)),"Restrição repetida, contando a embutida",""),IF(IF(IFERROR(INDEX('DADOS_FORMAS'!$AS$2:$AS$21,MATCH(SUBSTITUTE(SUBSTITUTE(SUBSTITUTE($MU127,"~","~~"),"*","~*"),"?","~?"),'DADOS_FORMAS'!$AH$2:$AH$21,0)),"")="",0,IFERROR(N(VLOOKUP(SUBSTITUTE(SUBSTITUTE(SUBSTITUTE(IFERROR(INDEX('DADOS_FORMAS'!$AS$2:$AS$21,MATCH(SUBSTITUTE(SUBSTITUTE(SUBSTITUTE($MU127,"~","~~"),"*","~*"),"?","~?"),'DADOS_FORMAS'!$AH$2:$AH$21,0)),""),"~","~~"),"*","~*"),"?","~?"),'DADOS_RESTRICOES'!$M$2:$Q$54,4,FALSE)=1),0))+IF($NB127="",0,IFERROR(N(VLOOKUP(SUBSTITUTE(SUBSTITUTE(SUBSTITUTE($NB127,"~","~~"),"*","~*"),"?","~?"),'DADOS_RESTRICOES'!$M$2:$Q$54,4,FALSE)=1),0))+IF($NC127="",0,IFERROR(N(VLOOKUP(SUBSTITUTE(SUBSTITUTE(SUBSTITUTE($NC127,"~","~~"),"*","~*"),"?","~?"),'DADOS_RESTRICOES'!$M$2:$Q$54,4,FALSE)=1),0))&gt;1,"Duas Restrições de frequência, contando a embutida",""),IF(AND(IFERROR(VLOOKUP(SUBSTITUTE(SUBSTITUTE(SUBSTITUTE(IFERROR(INDEX('DADOS_FORMAS'!$AS$2:$AS$21,MATCH(SUBSTITUTE(SUBSTITUTE(SUBSTITUTE($MU127,"~","~~"),"*","~*"),"?","~?"),'DADOS_FORMAS'!$AH$2:$AH$21,0)),""),"~","~~"),"*","~*"),"?","~?"),'DADOS_RESTRICOES'!$M$2:$Q$54,2,FALSE),"")="Tudo ou Nada",$OH127=0),"Tudo ou Nada exige TR",""),IF(AND(IFERROR(VLOOKUP(SUBSTITUTE(SUBSTITUTE(SUBSTITUTE(IFERROR(INDEX('DADOS_FORMAS'!$AS$2:$AS$21,MATCH(SUBSTITUTE(SUBSTITUTE(SUBSTITUTE($MU127,"~","~~"),"*","~*"),"?","~?"),'DADOS_FORMAS'!$AH$2:$AH$21,0)),""),"~","~~"),"*","~*"),"?","~?"),'DADOS_RESTRICOES'!$M$2:$Q$54,2,FALSE),"")="Corpo a Corpo",OR($RO127="Cone",$RO127="Linha")),"Corpo a Corpo não entra em Cone/Linha","")))</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dela",IF(COUNTIF($RQ127:$RS127,"Atrasar")&gt;0,"Sua Ação Completa",IF(COUNTIF($RK127:$RN127,"Rápido")&gt;0,"Sua Bônus",IF(COUNTIF($RK127:$RN127,"Reação")&gt;0,"Sua Reação","Sua Padrão")))&amp;" + a básica dela"&amp;IF(COUNTIF($RK127:$RN127,"Reação")&gt;0," e a coletiva","")&amp;IF(COUNTIF($RQ127:$RS127,"Carregar")&gt;0," · em dois turnos","")))</f>
        <v/>
      </c>
      <c r="QC127" s="161">
        <f>IF($MW127&lt;&gt;"",$MW127,IF($NJ127=0,"",INDEX('DADOS_FORMAS'!$GE$2:$GE$21,$NJ127)))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IF($NJ127=0,0,CHOOSE(1+INDEX('DADOS_FORMAS'!$GG$2:$GG$21,$NJ127),0,$QF127,$QG127,$QF127+$QG127))</f>
        <v/>
      </c>
      <c r="QI127" s="161">
        <f>IF($NJ127=0,0,CHOOSE(1+INDEX('DADOS_FORMAS'!$GH$2:$GH$21,$NJ127),0,$QF127,$QG127,$QF127+$QG127))</f>
        <v/>
      </c>
      <c r="QJ127" s="161">
        <f>IF(OR($ND127=0,$NJ127=0),"",INDEX('DADOS_FORMAS'!$HU$2:$HZ$81,($NJ127-1)*4+IF($MS127=0,1,IF($MS127&lt;=5,2,IF($MS127=6,3,4))),1+MIN(5,$QH127))&amp;INDEX('DADOS_FORMAS'!$IA$2:$IF$81,($NJ127-1)*4+IF($MS127=0,1,IF($MS127&lt;=5,2,IF($MS127=6,3,4))),1+MIN(5,$QI127))&amp;IF(INDEX('DADOS_FORMAS'!$GI$2:$GI$21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c r="RO127">
        <f>IFERROR(INDEX('DADOS_FORMAS'!$BJ$2:$BJ$21,MATCH(SUBSTITUTE(SUBSTITUTE(SUBSTITUTE($MU127,"~","~~"),"*","~*"),"?","~?"),'DADOS_FORMAS'!$AH$2:$AH$21,0)),"")</f>
        <v/>
      </c>
      <c r="RP127">
        <f>IFERROR(VLOOKUP(SUBSTITUTE(SUBSTITUTE(SUBSTITUTE(IFERROR(INDEX('DADOS_FORMAS'!$AS$2:$AS$21,MATCH(SUBSTITUTE(SUBSTITUTE(SUBSTITUTE($MU127,"~","~~"),"*","~*"),"?","~?"),'DADOS_FORMAS'!$AH$2:$AH$21,0)),""),"~","~~"),"*","~*"),"?","~?"),'DADOS_RESTRICOES'!$M$2:$Q$54,2,FALSE),"")</f>
        <v/>
      </c>
      <c r="RQ127">
        <f>$OK127</f>
        <v/>
      </c>
      <c r="RR127">
        <f>$OL127</f>
        <v/>
      </c>
      <c r="RS127">
        <f>$RP127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IFERROR(MATCH(SUBSTITUTE(SUBSTITUTE(SUBSTITUTE($MU128,"~","~~"),"*","~*"),"?","~?"),'DADOS_FORMAS'!$FZ$2:$FZ$21,0),0)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IF($MS128=0,0,IF($NJ128=0,0,INDEX('DADOS_FORMAS'!$GB$2:$GB$21,$NJ128)))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IF($NJ128=0,0,IF(INDEX('DADOS_FORMAS'!$GA$2:$GA$21,$NJ128)="",0,IF((COUNTIF(INDEX($EL$2:$EP$13,$MO128,0),INDEX('DADOS_FORMAS'!$GA$2:$GA$21,$NJ128))+COUNTIF(INDEX($QV$2:$QY$13,$MO128,0),INDEX('DADOS_FORMAS'!$GA$2:$GA$21,$NJ128)))=0,1,0)))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IFERROR(N(AND(INDEX('DADOS_FORMAS'!$AO$2:$AO$21,MATCH(SUBSTITUTE(SUBSTITUTE(SUBSTITUTE($MU128,"~","~~"),"*","~*"),"?","~?"),'DADOS_FORMAS'!$AH$2:$AH$21,0))="Acerto",$OH128=1)),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IF($NJ128=0,0,INDEX('DADOS_FORMAS'!$GC$2:$GC$21,$NJ128))</f>
        <v/>
      </c>
      <c r="OG128" s="161">
        <f>IF($NJ128=0,0,INDEX('DADOS_FORMAS'!$GD$2:$GD$21,$NJ128))</f>
        <v/>
      </c>
      <c r="OH128" s="161">
        <f>IF($NJ128=0,0,INDEX('DADOS_FORMAS'!$GF$2:$GF$21,$NJ128))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IF(IFERROR(INDEX('DADOS_FORMAS'!$AS$2:$AS$21,MATCH(SUBSTITUTE(SUBSTITUTE(SUBSTITUTE($MU128,"~","~~"),"*","~*"),"?","~?"),'DADOS_FORMAS'!$AH$2:$AH$21,0)),"")="",0,IFERROR(N(VLOOKUP(SUBSTITUTE(SUBSTITUTE(SUBSTITUTE(IFERROR(INDEX('DADOS_FORMAS'!$AS$2:$AS$21,MATCH(SUBSTITUTE(SUBSTITUTE(SUBSTITUTE($MU128,"~","~~"),"*","~*"),"?","~?"),'DADOS_FORMAS'!$AH$2:$AH$21,0)),""),"~","~~"),"*","~*"),"?","~?"),'DADOS_RESTRICOES'!$M$2:$Q$54,3,FALSE)=1),0))</f>
        <v/>
      </c>
      <c r="OT128" s="161">
        <f>COUNTIF($OI128:$OJ128,2)+IF(IFERROR(INDEX('DADOS_FORMAS'!$AS$2:$AS$21,MATCH(SUBSTITUTE(SUBSTITUTE(SUBSTITUTE($MU128,"~","~~"),"*","~*"),"?","~?"),'DADOS_FORMAS'!$AH$2:$AH$21,0)),"")="",0,IFERROR(N(VLOOKUP(SUBSTITUTE(SUBSTITUTE(SUBSTITUTE(IFERROR(INDEX('DADOS_FORMAS'!$AS$2:$AS$21,MATCH(SUBSTITUTE(SUBSTITUTE(SUBSTITUTE($MU128,"~","~~"),"*","~*"),"?","~?"),'DADOS_FORMAS'!$AH$2:$AH$21,0)),""),"~","~~"),"*","~*"),"?","~?"),'DADOS_RESTRICOES'!$M$2:$Q$54,3,FALSE)=2),0))</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",TRUE,IF($ND128=0,"",TEXTJOIN(" · ",TRUE,IF($MQ128&gt;$NE128,"Este lugar abre no nível "&amp;$MQ128,""),IF($MS128&gt;$NF128,"Classe "&amp;$MS128&amp;": o nível "&amp;$NE128&amp;" libera até a "&amp;$NF128,""),IF($NX128=1,"A Forma "&amp;$MU128&amp;" pede "&amp;INDEX('DADOS_FORMAS'!$GA$2:$GA$21,$NJ128)&amp;" aberta",""),IF(AND($MS128=0,$NJ128&gt;0,IF($NJ128=0,0,INDEX('DADOS_FORMAS'!$GJ$2:$GJ$21,$NJ128))=0),$MU128&amp;"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Corpo")&gt;0,$OF128=0,OR($RO128="Cone",$RO128="Linha")),"Corpo a Corpo não entra em "&amp;$MU128,""),IF(AND(COUNTIF($OK128:$OL128,"Corpo a Corpo")&gt;0,$RP128="Corpo a Corpo"),"A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"&amp;$NC128,""))),IF(AND($MU128&lt;&gt;"",COUNTIF('DADOS_FORMAS'!$AH$2:$AH$21,SUBSTITUTE(SUBSTITUTE(SUBSTITUTE($MU128,"~","~~"),"*","~*"),"?","~?"))=0),"Forma não cadastrada ou com erro: "&amp;$MU128,""),IF(AND(IFERROR(INDEX('DADOS_FORMAS'!$AS$2:$AS$21,MATCH(SUBSTITUTE(SUBSTITUTE(SUBSTITUTE($MU128,"~","~~"),"*","~*"),"?","~?"),'DADOS_FORMAS'!$AH$2:$AH$21,0)),"")&lt;&gt;"",OR(IFERROR(VLOOKUP(SUBSTITUTE(SUBSTITUTE(SUBSTITUTE(IFERROR(INDEX('DADOS_FORMAS'!$AS$2:$AS$21,MATCH(SUBSTITUTE(SUBSTITUTE(SUBSTITUTE($MU128,"~","~~"),"*","~*"),"?","~?"),'DADOS_FORMAS'!$AH$2:$AH$21,0)),""),"~","~~"),"*","~*"),"?","~?"),'DADOS_RESTRICOES'!$M$2:$Q$54,2,FALSE),"")=$OK128,IFERROR(VLOOKUP(SUBSTITUTE(SUBSTITUTE(SUBSTITUTE(IFERROR(INDEX('DADOS_FORMAS'!$AS$2:$AS$21,MATCH(SUBSTITUTE(SUBSTITUTE(SUBSTITUTE($MU128,"~","~~"),"*","~*"),"?","~?"),'DADOS_FORMAS'!$AH$2:$AH$21,0)),""),"~","~~"),"*","~*"),"?","~?"),'DADOS_RESTRICOES'!$M$2:$Q$54,2,FALSE),"")=$OL128)),"Restrição repetida, contando a embutida",""),IF(IF(IFERROR(INDEX('DADOS_FORMAS'!$AS$2:$AS$21,MATCH(SUBSTITUTE(SUBSTITUTE(SUBSTITUTE($MU128,"~","~~"),"*","~*"),"?","~?"),'DADOS_FORMAS'!$AH$2:$AH$21,0)),"")="",0,IFERROR(N(VLOOKUP(SUBSTITUTE(SUBSTITUTE(SUBSTITUTE(IFERROR(INDEX('DADOS_FORMAS'!$AS$2:$AS$21,MATCH(SUBSTITUTE(SUBSTITUTE(SUBSTITUTE($MU128,"~","~~"),"*","~*"),"?","~?"),'DADOS_FORMAS'!$AH$2:$AH$21,0)),""),"~","~~"),"*","~*"),"?","~?"),'DADOS_RESTRICOES'!$M$2:$Q$54,4,FALSE)=1),0))+IF($NB128="",0,IFERROR(N(VLOOKUP(SUBSTITUTE(SUBSTITUTE(SUBSTITUTE($NB128,"~","~~"),"*","~*"),"?","~?"),'DADOS_RESTRICOES'!$M$2:$Q$54,4,FALSE)=1),0))+IF($NC128="",0,IFERROR(N(VLOOKUP(SUBSTITUTE(SUBSTITUTE(SUBSTITUTE($NC128,"~","~~"),"*","~*"),"?","~?"),'DADOS_RESTRICOES'!$M$2:$Q$54,4,FALSE)=1),0))&gt;1,"Duas Restrições de frequência, contando a embutida",""),IF(AND(IFERROR(VLOOKUP(SUBSTITUTE(SUBSTITUTE(SUBSTITUTE(IFERROR(INDEX('DADOS_FORMAS'!$AS$2:$AS$21,MATCH(SUBSTITUTE(SUBSTITUTE(SUBSTITUTE($MU128,"~","~~"),"*","~*"),"?","~?"),'DADOS_FORMAS'!$AH$2:$AH$21,0)),""),"~","~~"),"*","~*"),"?","~?"),'DADOS_RESTRICOES'!$M$2:$Q$54,2,FALSE),"")="Tudo ou Nada",$OH128=0),"Tudo ou Nada exige TR",""),IF(AND(IFERROR(VLOOKUP(SUBSTITUTE(SUBSTITUTE(SUBSTITUTE(IFERROR(INDEX('DADOS_FORMAS'!$AS$2:$AS$21,MATCH(SUBSTITUTE(SUBSTITUTE(SUBSTITUTE($MU128,"~","~~"),"*","~*"),"?","~?"),'DADOS_FORMAS'!$AH$2:$AH$21,0)),""),"~","~~"),"*","~*"),"?","~?"),'DADOS_RESTRICOES'!$M$2:$Q$54,2,FALSE),"")="Corpo a Corpo",OR($RO128="Cone",$RO128="Linha")),"Corpo a Corpo não entra em Cone/Linha","")))</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dela",IF(COUNTIF($RQ128:$RS128,"Atrasar")&gt;0,"Sua Ação Completa",IF(COUNTIF($RK128:$RN128,"Rápido")&gt;0,"Sua Bônus",IF(COUNTIF($RK128:$RN128,"Reação")&gt;0,"Sua Reação","Sua Padrão")))&amp;" + a básica dela"&amp;IF(COUNTIF($RK128:$RN128,"Reação")&gt;0," e a coletiva","")&amp;IF(COUNTIF($RQ128:$RS128,"Carregar")&gt;0," · em dois turnos","")))</f>
        <v/>
      </c>
      <c r="QC128" s="161">
        <f>IF($MW128&lt;&gt;"",$MW128,IF($NJ128=0,"",INDEX('DADOS_FORMAS'!$GE$2:$GE$21,$NJ128)))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IF($NJ128=0,0,CHOOSE(1+INDEX('DADOS_FORMAS'!$GG$2:$GG$21,$NJ128),0,$QF128,$QG128,$QF128+$QG128))</f>
        <v/>
      </c>
      <c r="QI128" s="161">
        <f>IF($NJ128=0,0,CHOOSE(1+INDEX('DADOS_FORMAS'!$GH$2:$GH$21,$NJ128),0,$QF128,$QG128,$QF128+$QG128))</f>
        <v/>
      </c>
      <c r="QJ128" s="161">
        <f>IF(OR($ND128=0,$NJ128=0),"",INDEX('DADOS_FORMAS'!$HU$2:$HZ$81,($NJ128-1)*4+IF($MS128=0,1,IF($MS128&lt;=5,2,IF($MS128=6,3,4))),1+MIN(5,$QH128))&amp;INDEX('DADOS_FORMAS'!$IA$2:$IF$81,($NJ128-1)*4+IF($MS128=0,1,IF($MS128&lt;=5,2,IF($MS128=6,3,4))),1+MIN(5,$QI128))&amp;IF(INDEX('DADOS_FORMAS'!$GI$2:$GI$21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c r="RO128">
        <f>IFERROR(INDEX('DADOS_FORMAS'!$BJ$2:$BJ$21,MATCH(SUBSTITUTE(SUBSTITUTE(SUBSTITUTE($MU128,"~","~~"),"*","~*"),"?","~?"),'DADOS_FORMAS'!$AH$2:$AH$21,0)),"")</f>
        <v/>
      </c>
      <c r="RP128">
        <f>IFERROR(VLOOKUP(SUBSTITUTE(SUBSTITUTE(SUBSTITUTE(IFERROR(INDEX('DADOS_FORMAS'!$AS$2:$AS$21,MATCH(SUBSTITUTE(SUBSTITUTE(SUBSTITUTE($MU128,"~","~~"),"*","~*"),"?","~?"),'DADOS_FORMAS'!$AH$2:$AH$21,0)),""),"~","~~"),"*","~*"),"?","~?"),'DADOS_RESTRICOES'!$M$2:$Q$54,2,FALSE),"")</f>
        <v/>
      </c>
      <c r="RQ128">
        <f>$OK128</f>
        <v/>
      </c>
      <c r="RR128">
        <f>$OL128</f>
        <v/>
      </c>
      <c r="RS128">
        <f>$RP128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IFERROR(MATCH(SUBSTITUTE(SUBSTITUTE(SUBSTITUTE($MU129,"~","~~"),"*","~*"),"?","~?"),'DADOS_FORMAS'!$FZ$2:$FZ$21,0),0)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IF($MS129=0,0,IF($NJ129=0,0,INDEX('DADOS_FORMAS'!$GB$2:$GB$21,$NJ129)))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IF($NJ129=0,0,IF(INDEX('DADOS_FORMAS'!$GA$2:$GA$21,$NJ129)="",0,IF((COUNTIF(INDEX($EL$2:$EP$13,$MO129,0),INDEX('DADOS_FORMAS'!$GA$2:$GA$21,$NJ129))+COUNTIF(INDEX($QV$2:$QY$13,$MO129,0),INDEX('DADOS_FORMAS'!$GA$2:$GA$21,$NJ129)))=0,1,0)))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IFERROR(N(AND(INDEX('DADOS_FORMAS'!$AO$2:$AO$21,MATCH(SUBSTITUTE(SUBSTITUTE(SUBSTITUTE($MU129,"~","~~"),"*","~*"),"?","~?"),'DADOS_FORMAS'!$AH$2:$AH$21,0))="Acerto",$OH129=1)),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IF($NJ129=0,0,INDEX('DADOS_FORMAS'!$GC$2:$GC$21,$NJ129))</f>
        <v/>
      </c>
      <c r="OG129" s="161">
        <f>IF($NJ129=0,0,INDEX('DADOS_FORMAS'!$GD$2:$GD$21,$NJ129))</f>
        <v/>
      </c>
      <c r="OH129" s="161">
        <f>IF($NJ129=0,0,INDEX('DADOS_FORMAS'!$GF$2:$GF$21,$NJ129))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IF(IFERROR(INDEX('DADOS_FORMAS'!$AS$2:$AS$21,MATCH(SUBSTITUTE(SUBSTITUTE(SUBSTITUTE($MU129,"~","~~"),"*","~*"),"?","~?"),'DADOS_FORMAS'!$AH$2:$AH$21,0)),"")="",0,IFERROR(N(VLOOKUP(SUBSTITUTE(SUBSTITUTE(SUBSTITUTE(IFERROR(INDEX('DADOS_FORMAS'!$AS$2:$AS$21,MATCH(SUBSTITUTE(SUBSTITUTE(SUBSTITUTE($MU129,"~","~~"),"*","~*"),"?","~?"),'DADOS_FORMAS'!$AH$2:$AH$21,0)),""),"~","~~"),"*","~*"),"?","~?"),'DADOS_RESTRICOES'!$M$2:$Q$54,3,FALSE)=1),0))</f>
        <v/>
      </c>
      <c r="OT129" s="161">
        <f>COUNTIF($OI129:$OJ129,2)+IF(IFERROR(INDEX('DADOS_FORMAS'!$AS$2:$AS$21,MATCH(SUBSTITUTE(SUBSTITUTE(SUBSTITUTE($MU129,"~","~~"),"*","~*"),"?","~?"),'DADOS_FORMAS'!$AH$2:$AH$21,0)),"")="",0,IFERROR(N(VLOOKUP(SUBSTITUTE(SUBSTITUTE(SUBSTITUTE(IFERROR(INDEX('DADOS_FORMAS'!$AS$2:$AS$21,MATCH(SUBSTITUTE(SUBSTITUTE(SUBSTITUTE($MU129,"~","~~"),"*","~*"),"?","~?"),'DADOS_FORMAS'!$AH$2:$AH$21,0)),""),"~","~~"),"*","~*"),"?","~?"),'DADOS_RESTRICOES'!$M$2:$Q$54,3,FALSE)=2),0))</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",TRUE,IF($ND129=0,"",TEXTJOIN(" · ",TRUE,IF($MQ129&gt;$NE129,"Este lugar abre no nível "&amp;$MQ129,""),IF($MS129&gt;$NF129,"Classe "&amp;$MS129&amp;": o nível "&amp;$NE129&amp;" libera até a "&amp;$NF129,""),IF($NX129=1,"A Forma "&amp;$MU129&amp;" pede "&amp;INDEX('DADOS_FORMAS'!$GA$2:$GA$21,$NJ129)&amp;" aberta",""),IF(AND($MS129=0,$NJ129&gt;0,IF($NJ129=0,0,INDEX('DADOS_FORMAS'!$GJ$2:$GJ$21,$NJ129))=0),$MU129&amp;"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Corpo")&gt;0,$OF129=0,OR($RO129="Cone",$RO129="Linha")),"Corpo a Corpo não entra em "&amp;$MU129,""),IF(AND(COUNTIF($OK129:$OL129,"Corpo a Corpo")&gt;0,$RP129="Corpo a Corpo"),"A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"&amp;$NC129,""))),IF(AND($MU129&lt;&gt;"",COUNTIF('DADOS_FORMAS'!$AH$2:$AH$21,SUBSTITUTE(SUBSTITUTE(SUBSTITUTE($MU129,"~","~~"),"*","~*"),"?","~?"))=0),"Forma não cadastrada ou com erro: "&amp;$MU129,""),IF(AND(IFERROR(INDEX('DADOS_FORMAS'!$AS$2:$AS$21,MATCH(SUBSTITUTE(SUBSTITUTE(SUBSTITUTE($MU129,"~","~~"),"*","~*"),"?","~?"),'DADOS_FORMAS'!$AH$2:$AH$21,0)),"")&lt;&gt;"",OR(IFERROR(VLOOKUP(SUBSTITUTE(SUBSTITUTE(SUBSTITUTE(IFERROR(INDEX('DADOS_FORMAS'!$AS$2:$AS$21,MATCH(SUBSTITUTE(SUBSTITUTE(SUBSTITUTE($MU129,"~","~~"),"*","~*"),"?","~?"),'DADOS_FORMAS'!$AH$2:$AH$21,0)),""),"~","~~"),"*","~*"),"?","~?"),'DADOS_RESTRICOES'!$M$2:$Q$54,2,FALSE),"")=$OK129,IFERROR(VLOOKUP(SUBSTITUTE(SUBSTITUTE(SUBSTITUTE(IFERROR(INDEX('DADOS_FORMAS'!$AS$2:$AS$21,MATCH(SUBSTITUTE(SUBSTITUTE(SUBSTITUTE($MU129,"~","~~"),"*","~*"),"?","~?"),'DADOS_FORMAS'!$AH$2:$AH$21,0)),""),"~","~~"),"*","~*"),"?","~?"),'DADOS_RESTRICOES'!$M$2:$Q$54,2,FALSE),"")=$OL129)),"Restrição repetida, contando a embutida",""),IF(IF(IFERROR(INDEX('DADOS_FORMAS'!$AS$2:$AS$21,MATCH(SUBSTITUTE(SUBSTITUTE(SUBSTITUTE($MU129,"~","~~"),"*","~*"),"?","~?"),'DADOS_FORMAS'!$AH$2:$AH$21,0)),"")="",0,IFERROR(N(VLOOKUP(SUBSTITUTE(SUBSTITUTE(SUBSTITUTE(IFERROR(INDEX('DADOS_FORMAS'!$AS$2:$AS$21,MATCH(SUBSTITUTE(SUBSTITUTE(SUBSTITUTE($MU129,"~","~~"),"*","~*"),"?","~?"),'DADOS_FORMAS'!$AH$2:$AH$21,0)),""),"~","~~"),"*","~*"),"?","~?"),'DADOS_RESTRICOES'!$M$2:$Q$54,4,FALSE)=1),0))+IF($NB129="",0,IFERROR(N(VLOOKUP(SUBSTITUTE(SUBSTITUTE(SUBSTITUTE($NB129,"~","~~"),"*","~*"),"?","~?"),'DADOS_RESTRICOES'!$M$2:$Q$54,4,FALSE)=1),0))+IF($NC129="",0,IFERROR(N(VLOOKUP(SUBSTITUTE(SUBSTITUTE(SUBSTITUTE($NC129,"~","~~"),"*","~*"),"?","~?"),'DADOS_RESTRICOES'!$M$2:$Q$54,4,FALSE)=1),0))&gt;1,"Duas Restrições de frequência, contando a embutida",""),IF(AND(IFERROR(VLOOKUP(SUBSTITUTE(SUBSTITUTE(SUBSTITUTE(IFERROR(INDEX('DADOS_FORMAS'!$AS$2:$AS$21,MATCH(SUBSTITUTE(SUBSTITUTE(SUBSTITUTE($MU129,"~","~~"),"*","~*"),"?","~?"),'DADOS_FORMAS'!$AH$2:$AH$21,0)),""),"~","~~"),"*","~*"),"?","~?"),'DADOS_RESTRICOES'!$M$2:$Q$54,2,FALSE),"")="Tudo ou Nada",$OH129=0),"Tudo ou Nada exige TR",""),IF(AND(IFERROR(VLOOKUP(SUBSTITUTE(SUBSTITUTE(SUBSTITUTE(IFERROR(INDEX('DADOS_FORMAS'!$AS$2:$AS$21,MATCH(SUBSTITUTE(SUBSTITUTE(SUBSTITUTE($MU129,"~","~~"),"*","~*"),"?","~?"),'DADOS_FORMAS'!$AH$2:$AH$21,0)),""),"~","~~"),"*","~*"),"?","~?"),'DADOS_RESTRICOES'!$M$2:$Q$54,2,FALSE),"")="Corpo a Corpo",OR($RO129="Cone",$RO129="Linha")),"Corpo a Corpo não entra em Cone/Linha","")))</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dela",IF(COUNTIF($RQ129:$RS129,"Atrasar")&gt;0,"Sua Ação Completa",IF(COUNTIF($RK129:$RN129,"Rápido")&gt;0,"Sua Bônus",IF(COUNTIF($RK129:$RN129,"Reação")&gt;0,"Sua Reação","Sua Padrão")))&amp;" + a básica dela"&amp;IF(COUNTIF($RK129:$RN129,"Reação")&gt;0," e a coletiva","")&amp;IF(COUNTIF($RQ129:$RS129,"Carregar")&gt;0," · em dois turnos","")))</f>
        <v/>
      </c>
      <c r="QC129" s="161">
        <f>IF($MW129&lt;&gt;"",$MW129,IF($NJ129=0,"",INDEX('DADOS_FORMAS'!$GE$2:$GE$21,$NJ129)))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IF($NJ129=0,0,CHOOSE(1+INDEX('DADOS_FORMAS'!$GG$2:$GG$21,$NJ129),0,$QF129,$QG129,$QF129+$QG129))</f>
        <v/>
      </c>
      <c r="QI129" s="161">
        <f>IF($NJ129=0,0,CHOOSE(1+INDEX('DADOS_FORMAS'!$GH$2:$GH$21,$NJ129),0,$QF129,$QG129,$QF129+$QG129))</f>
        <v/>
      </c>
      <c r="QJ129" s="161">
        <f>IF(OR($ND129=0,$NJ129=0),"",INDEX('DADOS_FORMAS'!$HU$2:$HZ$81,($NJ129-1)*4+IF($MS129=0,1,IF($MS129&lt;=5,2,IF($MS129=6,3,4))),1+MIN(5,$QH129))&amp;INDEX('DADOS_FORMAS'!$IA$2:$IF$81,($NJ129-1)*4+IF($MS129=0,1,IF($MS129&lt;=5,2,IF($MS129=6,3,4))),1+MIN(5,$QI129))&amp;IF(INDEX('DADOS_FORMAS'!$GI$2:$GI$21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c r="RO129">
        <f>IFERROR(INDEX('DADOS_FORMAS'!$BJ$2:$BJ$21,MATCH(SUBSTITUTE(SUBSTITUTE(SUBSTITUTE($MU129,"~","~~"),"*","~*"),"?","~?"),'DADOS_FORMAS'!$AH$2:$AH$21,0)),"")</f>
        <v/>
      </c>
      <c r="RP129">
        <f>IFERROR(VLOOKUP(SUBSTITUTE(SUBSTITUTE(SUBSTITUTE(IFERROR(INDEX('DADOS_FORMAS'!$AS$2:$AS$21,MATCH(SUBSTITUTE(SUBSTITUTE(SUBSTITUTE($MU129,"~","~~"),"*","~*"),"?","~?"),'DADOS_FORMAS'!$AH$2:$AH$21,0)),""),"~","~~"),"*","~*"),"?","~?"),'DADOS_RESTRICOES'!$M$2:$Q$54,2,FALSE),"")</f>
        <v/>
      </c>
      <c r="RQ129">
        <f>$OK129</f>
        <v/>
      </c>
      <c r="RR129">
        <f>$OL129</f>
        <v/>
      </c>
      <c r="RS129">
        <f>$RP129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IFERROR(MATCH(SUBSTITUTE(SUBSTITUTE(SUBSTITUTE($MU130,"~","~~"),"*","~*"),"?","~?"),'DADOS_FORMAS'!$FZ$2:$FZ$21,0),0)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IF($MS130=0,0,IF($NJ130=0,0,INDEX('DADOS_FORMAS'!$GB$2:$GB$21,$NJ130)))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IF($NJ130=0,0,IF(INDEX('DADOS_FORMAS'!$GA$2:$GA$21,$NJ130)="",0,IF((COUNTIF(INDEX($EL$2:$EP$13,$MO130,0),INDEX('DADOS_FORMAS'!$GA$2:$GA$21,$NJ130))+COUNTIF(INDEX($QV$2:$QY$13,$MO130,0),INDEX('DADOS_FORMAS'!$GA$2:$GA$21,$NJ130)))=0,1,0)))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IFERROR(N(AND(INDEX('DADOS_FORMAS'!$AO$2:$AO$21,MATCH(SUBSTITUTE(SUBSTITUTE(SUBSTITUTE($MU130,"~","~~"),"*","~*"),"?","~?"),'DADOS_FORMAS'!$AH$2:$AH$21,0))="Acerto",$OH130=1)),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IF($NJ130=0,0,INDEX('DADOS_FORMAS'!$GC$2:$GC$21,$NJ130))</f>
        <v/>
      </c>
      <c r="OG130" s="161">
        <f>IF($NJ130=0,0,INDEX('DADOS_FORMAS'!$GD$2:$GD$21,$NJ130))</f>
        <v/>
      </c>
      <c r="OH130" s="161">
        <f>IF($NJ130=0,0,INDEX('DADOS_FORMAS'!$GF$2:$GF$21,$NJ130))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IF(IFERROR(INDEX('DADOS_FORMAS'!$AS$2:$AS$21,MATCH(SUBSTITUTE(SUBSTITUTE(SUBSTITUTE($MU130,"~","~~"),"*","~*"),"?","~?"),'DADOS_FORMAS'!$AH$2:$AH$21,0)),"")="",0,IFERROR(N(VLOOKUP(SUBSTITUTE(SUBSTITUTE(SUBSTITUTE(IFERROR(INDEX('DADOS_FORMAS'!$AS$2:$AS$21,MATCH(SUBSTITUTE(SUBSTITUTE(SUBSTITUTE($MU130,"~","~~"),"*","~*"),"?","~?"),'DADOS_FORMAS'!$AH$2:$AH$21,0)),""),"~","~~"),"*","~*"),"?","~?"),'DADOS_RESTRICOES'!$M$2:$Q$54,3,FALSE)=1),0))</f>
        <v/>
      </c>
      <c r="OT130" s="161">
        <f>COUNTIF($OI130:$OJ130,2)+IF(IFERROR(INDEX('DADOS_FORMAS'!$AS$2:$AS$21,MATCH(SUBSTITUTE(SUBSTITUTE(SUBSTITUTE($MU130,"~","~~"),"*","~*"),"?","~?"),'DADOS_FORMAS'!$AH$2:$AH$21,0)),"")="",0,IFERROR(N(VLOOKUP(SUBSTITUTE(SUBSTITUTE(SUBSTITUTE(IFERROR(INDEX('DADOS_FORMAS'!$AS$2:$AS$21,MATCH(SUBSTITUTE(SUBSTITUTE(SUBSTITUTE($MU130,"~","~~"),"*","~*"),"?","~?"),'DADOS_FORMAS'!$AH$2:$AH$21,0)),""),"~","~~"),"*","~*"),"?","~?"),'DADOS_RESTRICOES'!$M$2:$Q$54,3,FALSE)=2),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",TRUE,IF($ND130=0,"",TEXTJOIN(" · ",TRUE,IF($MQ130&gt;$NE130,"Este lugar abre no nível "&amp;$MQ130,""),IF($MS130&gt;$NF130,"Classe "&amp;$MS130&amp;": o nível "&amp;$NE130&amp;" libera até a "&amp;$NF130,""),IF($NX130=1,"A Forma "&amp;$MU130&amp;" pede "&amp;INDEX('DADOS_FORMAS'!$GA$2:$GA$21,$NJ130)&amp;" aberta",""),IF(AND($MS130=0,$NJ130&gt;0,IF($NJ130=0,0,INDEX('DADOS_FORMAS'!$GJ$2:$GJ$21,$NJ130))=0),$MU130&amp;"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Corpo")&gt;0,$OF130=0,OR($RO130="Cone",$RO130="Linha")),"Corpo a Corpo não entra em "&amp;$MU130,""),IF(AND(COUNTIF($OK130:$OL130,"Corpo a Corpo")&gt;0,$RP130="Corpo a Corpo"),"A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"&amp;$NC130,""))),IF(AND($MU130&lt;&gt;"",COUNTIF('DADOS_FORMAS'!$AH$2:$AH$21,SUBSTITUTE(SUBSTITUTE(SUBSTITUTE($MU130,"~","~~"),"*","~*"),"?","~?"))=0),"Forma não cadastrada ou com erro: "&amp;$MU130,""),IF(AND(IFERROR(INDEX('DADOS_FORMAS'!$AS$2:$AS$21,MATCH(SUBSTITUTE(SUBSTITUTE(SUBSTITUTE($MU130,"~","~~"),"*","~*"),"?","~?"),'DADOS_FORMAS'!$AH$2:$AH$21,0)),"")&lt;&gt;"",OR(IFERROR(VLOOKUP(SUBSTITUTE(SUBSTITUTE(SUBSTITUTE(IFERROR(INDEX('DADOS_FORMAS'!$AS$2:$AS$21,MATCH(SUBSTITUTE(SUBSTITUTE(SUBSTITUTE($MU130,"~","~~"),"*","~*"),"?","~?"),'DADOS_FORMAS'!$AH$2:$AH$21,0)),""),"~","~~"),"*","~*"),"?","~?"),'DADOS_RESTRICOES'!$M$2:$Q$54,2,FALSE),"")=$OK130,IFERROR(VLOOKUP(SUBSTITUTE(SUBSTITUTE(SUBSTITUTE(IFERROR(INDEX('DADOS_FORMAS'!$AS$2:$AS$21,MATCH(SUBSTITUTE(SUBSTITUTE(SUBSTITUTE($MU130,"~","~~"),"*","~*"),"?","~?"),'DADOS_FORMAS'!$AH$2:$AH$21,0)),""),"~","~~"),"*","~*"),"?","~?"),'DADOS_RESTRICOES'!$M$2:$Q$54,2,FALSE),"")=$OL130)),"Restrição repetida, contando a embutida",""),IF(IF(IFERROR(INDEX('DADOS_FORMAS'!$AS$2:$AS$21,MATCH(SUBSTITUTE(SUBSTITUTE(SUBSTITUTE($MU130,"~","~~"),"*","~*"),"?","~?"),'DADOS_FORMAS'!$AH$2:$AH$21,0)),"")="",0,IFERROR(N(VLOOKUP(SUBSTITUTE(SUBSTITUTE(SUBSTITUTE(IFERROR(INDEX('DADOS_FORMAS'!$AS$2:$AS$21,MATCH(SUBSTITUTE(SUBSTITUTE(SUBSTITUTE($MU130,"~","~~"),"*","~*"),"?","~?"),'DADOS_FORMAS'!$AH$2:$AH$21,0)),""),"~","~~"),"*","~*"),"?","~?"),'DADOS_RESTRICOES'!$M$2:$Q$54,4,FALSE)=1),0))+IF($NB130="",0,IFERROR(N(VLOOKUP(SUBSTITUTE(SUBSTITUTE(SUBSTITUTE($NB130,"~","~~"),"*","~*"),"?","~?"),'DADOS_RESTRICOES'!$M$2:$Q$54,4,FALSE)=1),0))+IF($NC130="",0,IFERROR(N(VLOOKUP(SUBSTITUTE(SUBSTITUTE(SUBSTITUTE($NC130,"~","~~"),"*","~*"),"?","~?"),'DADOS_RESTRICOES'!$M$2:$Q$54,4,FALSE)=1),0))&gt;1,"Duas Restrições de frequência, contando a embutida",""),IF(AND(IFERROR(VLOOKUP(SUBSTITUTE(SUBSTITUTE(SUBSTITUTE(IFERROR(INDEX('DADOS_FORMAS'!$AS$2:$AS$21,MATCH(SUBSTITUTE(SUBSTITUTE(SUBSTITUTE($MU130,"~","~~"),"*","~*"),"?","~?"),'DADOS_FORMAS'!$AH$2:$AH$21,0)),""),"~","~~"),"*","~*"),"?","~?"),'DADOS_RESTRICOES'!$M$2:$Q$54,2,FALSE),"")="Tudo ou Nada",$OH130=0),"Tudo ou Nada exige TR",""),IF(AND(IFERROR(VLOOKUP(SUBSTITUTE(SUBSTITUTE(SUBSTITUTE(IFERROR(INDEX('DADOS_FORMAS'!$AS$2:$AS$21,MATCH(SUBSTITUTE(SUBSTITUTE(SUBSTITUTE($MU130,"~","~~"),"*","~*"),"?","~?"),'DADOS_FORMAS'!$AH$2:$AH$21,0)),""),"~","~~"),"*","~*"),"?","~?"),'DADOS_RESTRICOES'!$M$2:$Q$54,2,FALSE),"")="Corpo a Corpo",OR($RO130="Cone",$RO130="Linha")),"Corpo a Corpo não entra em Cone/Linha","")))</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dela",IF(COUNTIF($RQ130:$RS130,"Atrasar")&gt;0,"Sua Ação Completa",IF(COUNTIF($RK130:$RN130,"Rápido")&gt;0,"Sua Bônus",IF(COUNTIF($RK130:$RN130,"Reação")&gt;0,"Sua Reação","Sua Padrão")))&amp;" + a básica dela"&amp;IF(COUNTIF($RK130:$RN130,"Reação")&gt;0," e a coletiva","")&amp;IF(COUNTIF($RQ130:$RS130,"Carregar")&gt;0," · em dois turnos","")))</f>
        <v/>
      </c>
      <c r="QC130" s="161">
        <f>IF($MW130&lt;&gt;"",$MW130,IF($NJ130=0,"",INDEX('DADOS_FORMAS'!$GE$2:$GE$21,$NJ130)))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IF($NJ130=0,0,CHOOSE(1+INDEX('DADOS_FORMAS'!$GG$2:$GG$21,$NJ130),0,$QF130,$QG130,$QF130+$QG130))</f>
        <v/>
      </c>
      <c r="QI130" s="161">
        <f>IF($NJ130=0,0,CHOOSE(1+INDEX('DADOS_FORMAS'!$GH$2:$GH$21,$NJ130),0,$QF130,$QG130,$QF130+$QG130))</f>
        <v/>
      </c>
      <c r="QJ130" s="161">
        <f>IF(OR($ND130=0,$NJ130=0),"",INDEX('DADOS_FORMAS'!$HU$2:$HZ$81,($NJ130-1)*4+IF($MS130=0,1,IF($MS130&lt;=5,2,IF($MS130=6,3,4))),1+MIN(5,$QH130))&amp;INDEX('DADOS_FORMAS'!$IA$2:$IF$81,($NJ130-1)*4+IF($MS130=0,1,IF($MS130&lt;=5,2,IF($MS130=6,3,4))),1+MIN(5,$QI130))&amp;IF(INDEX('DADOS_FORMAS'!$GI$2:$GI$21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c r="RO130">
        <f>IFERROR(INDEX('DADOS_FORMAS'!$BJ$2:$BJ$21,MATCH(SUBSTITUTE(SUBSTITUTE(SUBSTITUTE($MU130,"~","~~"),"*","~*"),"?","~?"),'DADOS_FORMAS'!$AH$2:$AH$21,0)),"")</f>
        <v/>
      </c>
      <c r="RP130">
        <f>IFERROR(VLOOKUP(SUBSTITUTE(SUBSTITUTE(SUBSTITUTE(IFERROR(INDEX('DADOS_FORMAS'!$AS$2:$AS$21,MATCH(SUBSTITUTE(SUBSTITUTE(SUBSTITUTE($MU130,"~","~~"),"*","~*"),"?","~?"),'DADOS_FORMAS'!$AH$2:$AH$21,0)),""),"~","~~"),"*","~*"),"?","~?"),'DADOS_RESTRICOES'!$M$2:$Q$54,2,FALSE),"")</f>
        <v/>
      </c>
      <c r="RQ130">
        <f>$OK130</f>
        <v/>
      </c>
      <c r="RR130">
        <f>$OL130</f>
        <v/>
      </c>
      <c r="RS130">
        <f>$RP130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IFERROR(MATCH(SUBSTITUTE(SUBSTITUTE(SUBSTITUTE($MU131,"~","~~"),"*","~*"),"?","~?"),'DADOS_FORMAS'!$FZ$2:$FZ$21,0),0)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IF($MS131=0,0,IF($NJ131=0,0,INDEX('DADOS_FORMAS'!$GB$2:$GB$21,$NJ131)))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IF($NJ131=0,0,IF(INDEX('DADOS_FORMAS'!$GA$2:$GA$21,$NJ131)="",0,IF((COUNTIF(INDEX($EL$2:$EP$13,$MO131,0),INDEX('DADOS_FORMAS'!$GA$2:$GA$21,$NJ131))+COUNTIF(INDEX($QV$2:$QY$13,$MO131,0),INDEX('DADOS_FORMAS'!$GA$2:$GA$21,$NJ131)))=0,1,0)))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IFERROR(N(AND(INDEX('DADOS_FORMAS'!$AO$2:$AO$21,MATCH(SUBSTITUTE(SUBSTITUTE(SUBSTITUTE($MU131,"~","~~"),"*","~*"),"?","~?"),'DADOS_FORMAS'!$AH$2:$AH$21,0))="Acerto",$OH131=1)),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IF($NJ131=0,0,INDEX('DADOS_FORMAS'!$GC$2:$GC$21,$NJ131))</f>
        <v/>
      </c>
      <c r="OG131" s="161">
        <f>IF($NJ131=0,0,INDEX('DADOS_FORMAS'!$GD$2:$GD$21,$NJ131))</f>
        <v/>
      </c>
      <c r="OH131" s="161">
        <f>IF($NJ131=0,0,INDEX('DADOS_FORMAS'!$GF$2:$GF$21,$NJ131))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IF(IFERROR(INDEX('DADOS_FORMAS'!$AS$2:$AS$21,MATCH(SUBSTITUTE(SUBSTITUTE(SUBSTITUTE($MU131,"~","~~"),"*","~*"),"?","~?"),'DADOS_FORMAS'!$AH$2:$AH$21,0)),"")="",0,IFERROR(N(VLOOKUP(SUBSTITUTE(SUBSTITUTE(SUBSTITUTE(IFERROR(INDEX('DADOS_FORMAS'!$AS$2:$AS$21,MATCH(SUBSTITUTE(SUBSTITUTE(SUBSTITUTE($MU131,"~","~~"),"*","~*"),"?","~?"),'DADOS_FORMAS'!$AH$2:$AH$21,0)),""),"~","~~"),"*","~*"),"?","~?"),'DADOS_RESTRICOES'!$M$2:$Q$54,3,FALSE)=1),0))</f>
        <v/>
      </c>
      <c r="OT131" s="161">
        <f>COUNTIF($OI131:$OJ131,2)+IF(IFERROR(INDEX('DADOS_FORMAS'!$AS$2:$AS$21,MATCH(SUBSTITUTE(SUBSTITUTE(SUBSTITUTE($MU131,"~","~~"),"*","~*"),"?","~?"),'DADOS_FORMAS'!$AH$2:$AH$21,0)),"")="",0,IFERROR(N(VLOOKUP(SUBSTITUTE(SUBSTITUTE(SUBSTITUTE(IFERROR(INDEX('DADOS_FORMAS'!$AS$2:$AS$21,MATCH(SUBSTITUTE(SUBSTITUTE(SUBSTITUTE($MU131,"~","~~"),"*","~*"),"?","~?"),'DADOS_FORMAS'!$AH$2:$AH$21,0)),""),"~","~~"),"*","~*"),"?","~?"),'DADOS_RESTRICOES'!$M$2:$Q$54,3,FALSE)=2),0))</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",TRUE,IF($ND131=0,"",TEXTJOIN(" · ",TRUE,IF($MQ131&gt;$NE131,"Este lugar abre no nível "&amp;$MQ131,""),IF($MS131&gt;$NF131,"Classe "&amp;$MS131&amp;": o nível "&amp;$NE131&amp;" libera até a "&amp;$NF131,""),IF($NX131=1,"A Forma "&amp;$MU131&amp;" pede "&amp;INDEX('DADOS_FORMAS'!$GA$2:$GA$21,$NJ131)&amp;" aberta",""),IF(AND($MS131=0,$NJ131&gt;0,IF($NJ131=0,0,INDEX('DADOS_FORMAS'!$GJ$2:$GJ$21,$NJ131))=0),$MU131&amp;"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Corpo")&gt;0,$OF131=0,OR($RO131="Cone",$RO131="Linha")),"Corpo a Corpo não entra em "&amp;$MU131,""),IF(AND(COUNTIF($OK131:$OL131,"Corpo a Corpo")&gt;0,$RP131="Corpo a Corpo"),"A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"&amp;$NC131,""))),IF(AND($MU131&lt;&gt;"",COUNTIF('DADOS_FORMAS'!$AH$2:$AH$21,SUBSTITUTE(SUBSTITUTE(SUBSTITUTE($MU131,"~","~~"),"*","~*"),"?","~?"))=0),"Forma não cadastrada ou com erro: "&amp;$MU131,""),IF(AND(IFERROR(INDEX('DADOS_FORMAS'!$AS$2:$AS$21,MATCH(SUBSTITUTE(SUBSTITUTE(SUBSTITUTE($MU131,"~","~~"),"*","~*"),"?","~?"),'DADOS_FORMAS'!$AH$2:$AH$21,0)),"")&lt;&gt;"",OR(IFERROR(VLOOKUP(SUBSTITUTE(SUBSTITUTE(SUBSTITUTE(IFERROR(INDEX('DADOS_FORMAS'!$AS$2:$AS$21,MATCH(SUBSTITUTE(SUBSTITUTE(SUBSTITUTE($MU131,"~","~~"),"*","~*"),"?","~?"),'DADOS_FORMAS'!$AH$2:$AH$21,0)),""),"~","~~"),"*","~*"),"?","~?"),'DADOS_RESTRICOES'!$M$2:$Q$54,2,FALSE),"")=$OK131,IFERROR(VLOOKUP(SUBSTITUTE(SUBSTITUTE(SUBSTITUTE(IFERROR(INDEX('DADOS_FORMAS'!$AS$2:$AS$21,MATCH(SUBSTITUTE(SUBSTITUTE(SUBSTITUTE($MU131,"~","~~"),"*","~*"),"?","~?"),'DADOS_FORMAS'!$AH$2:$AH$21,0)),""),"~","~~"),"*","~*"),"?","~?"),'DADOS_RESTRICOES'!$M$2:$Q$54,2,FALSE),"")=$OL131)),"Restrição repetida, contando a embutida",""),IF(IF(IFERROR(INDEX('DADOS_FORMAS'!$AS$2:$AS$21,MATCH(SUBSTITUTE(SUBSTITUTE(SUBSTITUTE($MU131,"~","~~"),"*","~*"),"?","~?"),'DADOS_FORMAS'!$AH$2:$AH$21,0)),"")="",0,IFERROR(N(VLOOKUP(SUBSTITUTE(SUBSTITUTE(SUBSTITUTE(IFERROR(INDEX('DADOS_FORMAS'!$AS$2:$AS$21,MATCH(SUBSTITUTE(SUBSTITUTE(SUBSTITUTE($MU131,"~","~~"),"*","~*"),"?","~?"),'DADOS_FORMAS'!$AH$2:$AH$21,0)),""),"~","~~"),"*","~*"),"?","~?"),'DADOS_RESTRICOES'!$M$2:$Q$54,4,FALSE)=1),0))+IF($NB131="",0,IFERROR(N(VLOOKUP(SUBSTITUTE(SUBSTITUTE(SUBSTITUTE($NB131,"~","~~"),"*","~*"),"?","~?"),'DADOS_RESTRICOES'!$M$2:$Q$54,4,FALSE)=1),0))+IF($NC131="",0,IFERROR(N(VLOOKUP(SUBSTITUTE(SUBSTITUTE(SUBSTITUTE($NC131,"~","~~"),"*","~*"),"?","~?"),'DADOS_RESTRICOES'!$M$2:$Q$54,4,FALSE)=1),0))&gt;1,"Duas Restrições de frequência, contando a embutida",""),IF(AND(IFERROR(VLOOKUP(SUBSTITUTE(SUBSTITUTE(SUBSTITUTE(IFERROR(INDEX('DADOS_FORMAS'!$AS$2:$AS$21,MATCH(SUBSTITUTE(SUBSTITUTE(SUBSTITUTE($MU131,"~","~~"),"*","~*"),"?","~?"),'DADOS_FORMAS'!$AH$2:$AH$21,0)),""),"~","~~"),"*","~*"),"?","~?"),'DADOS_RESTRICOES'!$M$2:$Q$54,2,FALSE),"")="Tudo ou Nada",$OH131=0),"Tudo ou Nada exige TR",""),IF(AND(IFERROR(VLOOKUP(SUBSTITUTE(SUBSTITUTE(SUBSTITUTE(IFERROR(INDEX('DADOS_FORMAS'!$AS$2:$AS$21,MATCH(SUBSTITUTE(SUBSTITUTE(SUBSTITUTE($MU131,"~","~~"),"*","~*"),"?","~?"),'DADOS_FORMAS'!$AH$2:$AH$21,0)),""),"~","~~"),"*","~*"),"?","~?"),'DADOS_RESTRICOES'!$M$2:$Q$54,2,FALSE),"")="Corpo a Corpo",OR($RO131="Cone",$RO131="Linha")),"Corpo a Corpo não entra em Cone/Linha","")))</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dela",IF(COUNTIF($RQ131:$RS131,"Atrasar")&gt;0,"Sua Ação Completa",IF(COUNTIF($RK131:$RN131,"Rápido")&gt;0,"Sua Bônus",IF(COUNTIF($RK131:$RN131,"Reação")&gt;0,"Sua Reação","Sua Padrão")))&amp;" + a básica dela"&amp;IF(COUNTIF($RK131:$RN131,"Reação")&gt;0," e a coletiva","")&amp;IF(COUNTIF($RQ131:$RS131,"Carregar")&gt;0," · em dois turnos","")))</f>
        <v/>
      </c>
      <c r="QC131" s="161">
        <f>IF($MW131&lt;&gt;"",$MW131,IF($NJ131=0,"",INDEX('DADOS_FORMAS'!$GE$2:$GE$21,$NJ131)))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IF($NJ131=0,0,CHOOSE(1+INDEX('DADOS_FORMAS'!$GG$2:$GG$21,$NJ131),0,$QF131,$QG131,$QF131+$QG131))</f>
        <v/>
      </c>
      <c r="QI131" s="161">
        <f>IF($NJ131=0,0,CHOOSE(1+INDEX('DADOS_FORMAS'!$GH$2:$GH$21,$NJ131),0,$QF131,$QG131,$QF131+$QG131))</f>
        <v/>
      </c>
      <c r="QJ131" s="161">
        <f>IF(OR($ND131=0,$NJ131=0),"",INDEX('DADOS_FORMAS'!$HU$2:$HZ$81,($NJ131-1)*4+IF($MS131=0,1,IF($MS131&lt;=5,2,IF($MS131=6,3,4))),1+MIN(5,$QH131))&amp;INDEX('DADOS_FORMAS'!$IA$2:$IF$81,($NJ131-1)*4+IF($MS131=0,1,IF($MS131&lt;=5,2,IF($MS131=6,3,4))),1+MIN(5,$QI131))&amp;IF(INDEX('DADOS_FORMAS'!$GI$2:$GI$21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c r="RO131">
        <f>IFERROR(INDEX('DADOS_FORMAS'!$BJ$2:$BJ$21,MATCH(SUBSTITUTE(SUBSTITUTE(SUBSTITUTE($MU131,"~","~~"),"*","~*"),"?","~?"),'DADOS_FORMAS'!$AH$2:$AH$21,0)),"")</f>
        <v/>
      </c>
      <c r="RP131">
        <f>IFERROR(VLOOKUP(SUBSTITUTE(SUBSTITUTE(SUBSTITUTE(IFERROR(INDEX('DADOS_FORMAS'!$AS$2:$AS$21,MATCH(SUBSTITUTE(SUBSTITUTE(SUBSTITUTE($MU131,"~","~~"),"*","~*"),"?","~?"),'DADOS_FORMAS'!$AH$2:$AH$21,0)),""),"~","~~"),"*","~*"),"?","~?"),'DADOS_RESTRICOES'!$M$2:$Q$54,2,FALSE),"")</f>
        <v/>
      </c>
      <c r="RQ131">
        <f>$OK131</f>
        <v/>
      </c>
      <c r="RR131">
        <f>$OL131</f>
        <v/>
      </c>
      <c r="RS131">
        <f>$RP131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IFERROR(MATCH(SUBSTITUTE(SUBSTITUTE(SUBSTITUTE($MU132,"~","~~"),"*","~*"),"?","~?"),'DADOS_FORMAS'!$FZ$2:$FZ$21,0),0)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IF($MS132=0,0,IF($NJ132=0,0,INDEX('DADOS_FORMAS'!$GB$2:$GB$21,$NJ132)))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IF($NJ132=0,0,IF(INDEX('DADOS_FORMAS'!$GA$2:$GA$21,$NJ132)="",0,IF((COUNTIF(INDEX($EL$2:$EP$13,$MO132,0),INDEX('DADOS_FORMAS'!$GA$2:$GA$21,$NJ132))+COUNTIF(INDEX($QV$2:$QY$13,$MO132,0),INDEX('DADOS_FORMAS'!$GA$2:$GA$21,$NJ132)))=0,1,0)))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IFERROR(N(AND(INDEX('DADOS_FORMAS'!$AO$2:$AO$21,MATCH(SUBSTITUTE(SUBSTITUTE(SUBSTITUTE($MU132,"~","~~"),"*","~*"),"?","~?"),'DADOS_FORMAS'!$AH$2:$AH$21,0))="Acerto",$OH132=1)),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IF($NJ132=0,0,INDEX('DADOS_FORMAS'!$GC$2:$GC$21,$NJ132))</f>
        <v/>
      </c>
      <c r="OG132" s="161">
        <f>IF($NJ132=0,0,INDEX('DADOS_FORMAS'!$GD$2:$GD$21,$NJ132))</f>
        <v/>
      </c>
      <c r="OH132" s="161">
        <f>IF($NJ132=0,0,INDEX('DADOS_FORMAS'!$GF$2:$GF$21,$NJ132))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IF(IFERROR(INDEX('DADOS_FORMAS'!$AS$2:$AS$21,MATCH(SUBSTITUTE(SUBSTITUTE(SUBSTITUTE($MU132,"~","~~"),"*","~*"),"?","~?"),'DADOS_FORMAS'!$AH$2:$AH$21,0)),"")="",0,IFERROR(N(VLOOKUP(SUBSTITUTE(SUBSTITUTE(SUBSTITUTE(IFERROR(INDEX('DADOS_FORMAS'!$AS$2:$AS$21,MATCH(SUBSTITUTE(SUBSTITUTE(SUBSTITUTE($MU132,"~","~~"),"*","~*"),"?","~?"),'DADOS_FORMAS'!$AH$2:$AH$21,0)),""),"~","~~"),"*","~*"),"?","~?"),'DADOS_RESTRICOES'!$M$2:$Q$54,3,FALSE)=1),0))</f>
        <v/>
      </c>
      <c r="OT132" s="161">
        <f>COUNTIF($OI132:$OJ132,2)+IF(IFERROR(INDEX('DADOS_FORMAS'!$AS$2:$AS$21,MATCH(SUBSTITUTE(SUBSTITUTE(SUBSTITUTE($MU132,"~","~~"),"*","~*"),"?","~?"),'DADOS_FORMAS'!$AH$2:$AH$21,0)),"")="",0,IFERROR(N(VLOOKUP(SUBSTITUTE(SUBSTITUTE(SUBSTITUTE(IFERROR(INDEX('DADOS_FORMAS'!$AS$2:$AS$21,MATCH(SUBSTITUTE(SUBSTITUTE(SUBSTITUTE($MU132,"~","~~"),"*","~*"),"?","~?"),'DADOS_FORMAS'!$AH$2:$AH$21,0)),""),"~","~~"),"*","~*"),"?","~?"),'DADOS_RESTRICOES'!$M$2:$Q$54,3,FALSE)=2),0))</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",TRUE,IF($ND132=0,"",TEXTJOIN(" · ",TRUE,IF($MQ132&gt;$NE132,"Este lugar abre no nível "&amp;$MQ132,""),IF($MS132&gt;$NF132,"Classe "&amp;$MS132&amp;": o nível "&amp;$NE132&amp;" libera até a "&amp;$NF132,""),IF($NX132=1,"A Forma "&amp;$MU132&amp;" pede "&amp;INDEX('DADOS_FORMAS'!$GA$2:$GA$21,$NJ132)&amp;" aberta",""),IF(AND($MS132=0,$NJ132&gt;0,IF($NJ132=0,0,INDEX('DADOS_FORMAS'!$GJ$2:$GJ$21,$NJ132))=0),$MU132&amp;"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Corpo")&gt;0,$OF132=0,OR($RO132="Cone",$RO132="Linha")),"Corpo a Corpo não entra em "&amp;$MU132,""),IF(AND(COUNTIF($OK132:$OL132,"Corpo a Corpo")&gt;0,$RP132="Corpo a Corpo"),"A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"&amp;$NC132,""))),IF(AND($MU132&lt;&gt;"",COUNTIF('DADOS_FORMAS'!$AH$2:$AH$21,SUBSTITUTE(SUBSTITUTE(SUBSTITUTE($MU132,"~","~~"),"*","~*"),"?","~?"))=0),"Forma não cadastrada ou com erro: "&amp;$MU132,""),IF(AND(IFERROR(INDEX('DADOS_FORMAS'!$AS$2:$AS$21,MATCH(SUBSTITUTE(SUBSTITUTE(SUBSTITUTE($MU132,"~","~~"),"*","~*"),"?","~?"),'DADOS_FORMAS'!$AH$2:$AH$21,0)),"")&lt;&gt;"",OR(IFERROR(VLOOKUP(SUBSTITUTE(SUBSTITUTE(SUBSTITUTE(IFERROR(INDEX('DADOS_FORMAS'!$AS$2:$AS$21,MATCH(SUBSTITUTE(SUBSTITUTE(SUBSTITUTE($MU132,"~","~~"),"*","~*"),"?","~?"),'DADOS_FORMAS'!$AH$2:$AH$21,0)),""),"~","~~"),"*","~*"),"?","~?"),'DADOS_RESTRICOES'!$M$2:$Q$54,2,FALSE),"")=$OK132,IFERROR(VLOOKUP(SUBSTITUTE(SUBSTITUTE(SUBSTITUTE(IFERROR(INDEX('DADOS_FORMAS'!$AS$2:$AS$21,MATCH(SUBSTITUTE(SUBSTITUTE(SUBSTITUTE($MU132,"~","~~"),"*","~*"),"?","~?"),'DADOS_FORMAS'!$AH$2:$AH$21,0)),""),"~","~~"),"*","~*"),"?","~?"),'DADOS_RESTRICOES'!$M$2:$Q$54,2,FALSE),"")=$OL132)),"Restrição repetida, contando a embutida",""),IF(IF(IFERROR(INDEX('DADOS_FORMAS'!$AS$2:$AS$21,MATCH(SUBSTITUTE(SUBSTITUTE(SUBSTITUTE($MU132,"~","~~"),"*","~*"),"?","~?"),'DADOS_FORMAS'!$AH$2:$AH$21,0)),"")="",0,IFERROR(N(VLOOKUP(SUBSTITUTE(SUBSTITUTE(SUBSTITUTE(IFERROR(INDEX('DADOS_FORMAS'!$AS$2:$AS$21,MATCH(SUBSTITUTE(SUBSTITUTE(SUBSTITUTE($MU132,"~","~~"),"*","~*"),"?","~?"),'DADOS_FORMAS'!$AH$2:$AH$21,0)),""),"~","~~"),"*","~*"),"?","~?"),'DADOS_RESTRICOES'!$M$2:$Q$54,4,FALSE)=1),0))+IF($NB132="",0,IFERROR(N(VLOOKUP(SUBSTITUTE(SUBSTITUTE(SUBSTITUTE($NB132,"~","~~"),"*","~*"),"?","~?"),'DADOS_RESTRICOES'!$M$2:$Q$54,4,FALSE)=1),0))+IF($NC132="",0,IFERROR(N(VLOOKUP(SUBSTITUTE(SUBSTITUTE(SUBSTITUTE($NC132,"~","~~"),"*","~*"),"?","~?"),'DADOS_RESTRICOES'!$M$2:$Q$54,4,FALSE)=1),0))&gt;1,"Duas Restrições de frequência, contando a embutida",""),IF(AND(IFERROR(VLOOKUP(SUBSTITUTE(SUBSTITUTE(SUBSTITUTE(IFERROR(INDEX('DADOS_FORMAS'!$AS$2:$AS$21,MATCH(SUBSTITUTE(SUBSTITUTE(SUBSTITUTE($MU132,"~","~~"),"*","~*"),"?","~?"),'DADOS_FORMAS'!$AH$2:$AH$21,0)),""),"~","~~"),"*","~*"),"?","~?"),'DADOS_RESTRICOES'!$M$2:$Q$54,2,FALSE),"")="Tudo ou Nada",$OH132=0),"Tudo ou Nada exige TR",""),IF(AND(IFERROR(VLOOKUP(SUBSTITUTE(SUBSTITUTE(SUBSTITUTE(IFERROR(INDEX('DADOS_FORMAS'!$AS$2:$AS$21,MATCH(SUBSTITUTE(SUBSTITUTE(SUBSTITUTE($MU132,"~","~~"),"*","~*"),"?","~?"),'DADOS_FORMAS'!$AH$2:$AH$21,0)),""),"~","~~"),"*","~*"),"?","~?"),'DADOS_RESTRICOES'!$M$2:$Q$54,2,FALSE),"")="Corpo a Corpo",OR($RO132="Cone",$RO132="Linha")),"Corpo a Corpo não entra em Cone/Linha","")))</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dela",IF(COUNTIF($RQ132:$RS132,"Atrasar")&gt;0,"Sua Ação Completa",IF(COUNTIF($RK132:$RN132,"Rápido")&gt;0,"Sua Bônus",IF(COUNTIF($RK132:$RN132,"Reação")&gt;0,"Sua Reação","Sua Padrão")))&amp;" + a básica dela"&amp;IF(COUNTIF($RK132:$RN132,"Reação")&gt;0," e a coletiva","")&amp;IF(COUNTIF($RQ132:$RS132,"Carregar")&gt;0," · em dois turnos","")))</f>
        <v/>
      </c>
      <c r="QC132" s="161">
        <f>IF($MW132&lt;&gt;"",$MW132,IF($NJ132=0,"",INDEX('DADOS_FORMAS'!$GE$2:$GE$21,$NJ132)))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IF($NJ132=0,0,CHOOSE(1+INDEX('DADOS_FORMAS'!$GG$2:$GG$21,$NJ132),0,$QF132,$QG132,$QF132+$QG132))</f>
        <v/>
      </c>
      <c r="QI132" s="161">
        <f>IF($NJ132=0,0,CHOOSE(1+INDEX('DADOS_FORMAS'!$GH$2:$GH$21,$NJ132),0,$QF132,$QG132,$QF132+$QG132))</f>
        <v/>
      </c>
      <c r="QJ132" s="161">
        <f>IF(OR($ND132=0,$NJ132=0),"",INDEX('DADOS_FORMAS'!$HU$2:$HZ$81,($NJ132-1)*4+IF($MS132=0,1,IF($MS132&lt;=5,2,IF($MS132=6,3,4))),1+MIN(5,$QH132))&amp;INDEX('DADOS_FORMAS'!$IA$2:$IF$81,($NJ132-1)*4+IF($MS132=0,1,IF($MS132&lt;=5,2,IF($MS132=6,3,4))),1+MIN(5,$QI132))&amp;IF(INDEX('DADOS_FORMAS'!$GI$2:$GI$21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c r="RO132">
        <f>IFERROR(INDEX('DADOS_FORMAS'!$BJ$2:$BJ$21,MATCH(SUBSTITUTE(SUBSTITUTE(SUBSTITUTE($MU132,"~","~~"),"*","~*"),"?","~?"),'DADOS_FORMAS'!$AH$2:$AH$21,0)),"")</f>
        <v/>
      </c>
      <c r="RP132">
        <f>IFERROR(VLOOKUP(SUBSTITUTE(SUBSTITUTE(SUBSTITUTE(IFERROR(INDEX('DADOS_FORMAS'!$AS$2:$AS$21,MATCH(SUBSTITUTE(SUBSTITUTE(SUBSTITUTE($MU132,"~","~~"),"*","~*"),"?","~?"),'DADOS_FORMAS'!$AH$2:$AH$21,0)),""),"~","~~"),"*","~*"),"?","~?"),'DADOS_RESTRICOES'!$M$2:$Q$54,2,FALSE),"")</f>
        <v/>
      </c>
      <c r="RQ132">
        <f>$OK132</f>
        <v/>
      </c>
      <c r="RR132">
        <f>$OL132</f>
        <v/>
      </c>
      <c r="RS132">
        <f>$RP132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IFERROR(MATCH(SUBSTITUTE(SUBSTITUTE(SUBSTITUTE($MU133,"~","~~"),"*","~*"),"?","~?"),'DADOS_FORMAS'!$FZ$2:$FZ$21,0),0)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IF($MS133=0,0,IF($NJ133=0,0,INDEX('DADOS_FORMAS'!$GB$2:$GB$21,$NJ133)))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IF($NJ133=0,0,IF(INDEX('DADOS_FORMAS'!$GA$2:$GA$21,$NJ133)="",0,IF((COUNTIF(INDEX($EL$2:$EP$13,$MO133,0),INDEX('DADOS_FORMAS'!$GA$2:$GA$21,$NJ133))+COUNTIF(INDEX($QV$2:$QY$13,$MO133,0),INDEX('DADOS_FORMAS'!$GA$2:$GA$21,$NJ133)))=0,1,0)))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IFERROR(N(AND(INDEX('DADOS_FORMAS'!$AO$2:$AO$21,MATCH(SUBSTITUTE(SUBSTITUTE(SUBSTITUTE($MU133,"~","~~"),"*","~*"),"?","~?"),'DADOS_FORMAS'!$AH$2:$AH$21,0))="Acerto",$OH133=1)),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IF($NJ133=0,0,INDEX('DADOS_FORMAS'!$GC$2:$GC$21,$NJ133))</f>
        <v/>
      </c>
      <c r="OG133" s="161">
        <f>IF($NJ133=0,0,INDEX('DADOS_FORMAS'!$GD$2:$GD$21,$NJ133))</f>
        <v/>
      </c>
      <c r="OH133" s="161">
        <f>IF($NJ133=0,0,INDEX('DADOS_FORMAS'!$GF$2:$GF$21,$NJ133))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IF(IFERROR(INDEX('DADOS_FORMAS'!$AS$2:$AS$21,MATCH(SUBSTITUTE(SUBSTITUTE(SUBSTITUTE($MU133,"~","~~"),"*","~*"),"?","~?"),'DADOS_FORMAS'!$AH$2:$AH$21,0)),"")="",0,IFERROR(N(VLOOKUP(SUBSTITUTE(SUBSTITUTE(SUBSTITUTE(IFERROR(INDEX('DADOS_FORMAS'!$AS$2:$AS$21,MATCH(SUBSTITUTE(SUBSTITUTE(SUBSTITUTE($MU133,"~","~~"),"*","~*"),"?","~?"),'DADOS_FORMAS'!$AH$2:$AH$21,0)),""),"~","~~"),"*","~*"),"?","~?"),'DADOS_RESTRICOES'!$M$2:$Q$54,3,FALSE)=1),0))</f>
        <v/>
      </c>
      <c r="OT133" s="161">
        <f>COUNTIF($OI133:$OJ133,2)+IF(IFERROR(INDEX('DADOS_FORMAS'!$AS$2:$AS$21,MATCH(SUBSTITUTE(SUBSTITUTE(SUBSTITUTE($MU133,"~","~~"),"*","~*"),"?","~?"),'DADOS_FORMAS'!$AH$2:$AH$21,0)),"")="",0,IFERROR(N(VLOOKUP(SUBSTITUTE(SUBSTITUTE(SUBSTITUTE(IFERROR(INDEX('DADOS_FORMAS'!$AS$2:$AS$21,MATCH(SUBSTITUTE(SUBSTITUTE(SUBSTITUTE($MU133,"~","~~"),"*","~*"),"?","~?"),'DADOS_FORMAS'!$AH$2:$AH$21,0)),""),"~","~~"),"*","~*"),"?","~?"),'DADOS_RESTRICOES'!$M$2:$Q$54,3,FALSE)=2),0))</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",TRUE,IF($ND133=0,"",TEXTJOIN(" · ",TRUE,IF($MQ133&gt;$NE133,"Este lugar abre no nível "&amp;$MQ133,""),IF($MS133&gt;$NF133,"Classe "&amp;$MS133&amp;": o nível "&amp;$NE133&amp;" libera até a "&amp;$NF133,""),IF($NX133=1,"A Forma "&amp;$MU133&amp;" pede "&amp;INDEX('DADOS_FORMAS'!$GA$2:$GA$21,$NJ133)&amp;" aberta",""),IF(AND($MS133=0,$NJ133&gt;0,IF($NJ133=0,0,INDEX('DADOS_FORMAS'!$GJ$2:$GJ$21,$NJ133))=0),$MU133&amp;"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Corpo")&gt;0,$OF133=0,OR($RO133="Cone",$RO133="Linha")),"Corpo a Corpo não entra em "&amp;$MU133,""),IF(AND(COUNTIF($OK133:$OL133,"Corpo a Corpo")&gt;0,$RP133="Corpo a Corpo"),"A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"&amp;$NC133,""))),IF(AND($MU133&lt;&gt;"",COUNTIF('DADOS_FORMAS'!$AH$2:$AH$21,SUBSTITUTE(SUBSTITUTE(SUBSTITUTE($MU133,"~","~~"),"*","~*"),"?","~?"))=0),"Forma não cadastrada ou com erro: "&amp;$MU133,""),IF(AND(IFERROR(INDEX('DADOS_FORMAS'!$AS$2:$AS$21,MATCH(SUBSTITUTE(SUBSTITUTE(SUBSTITUTE($MU133,"~","~~"),"*","~*"),"?","~?"),'DADOS_FORMAS'!$AH$2:$AH$21,0)),"")&lt;&gt;"",OR(IFERROR(VLOOKUP(SUBSTITUTE(SUBSTITUTE(SUBSTITUTE(IFERROR(INDEX('DADOS_FORMAS'!$AS$2:$AS$21,MATCH(SUBSTITUTE(SUBSTITUTE(SUBSTITUTE($MU133,"~","~~"),"*","~*"),"?","~?"),'DADOS_FORMAS'!$AH$2:$AH$21,0)),""),"~","~~"),"*","~*"),"?","~?"),'DADOS_RESTRICOES'!$M$2:$Q$54,2,FALSE),"")=$OK133,IFERROR(VLOOKUP(SUBSTITUTE(SUBSTITUTE(SUBSTITUTE(IFERROR(INDEX('DADOS_FORMAS'!$AS$2:$AS$21,MATCH(SUBSTITUTE(SUBSTITUTE(SUBSTITUTE($MU133,"~","~~"),"*","~*"),"?","~?"),'DADOS_FORMAS'!$AH$2:$AH$21,0)),""),"~","~~"),"*","~*"),"?","~?"),'DADOS_RESTRICOES'!$M$2:$Q$54,2,FALSE),"")=$OL133)),"Restrição repetida, contando a embutida",""),IF(IF(IFERROR(INDEX('DADOS_FORMAS'!$AS$2:$AS$21,MATCH(SUBSTITUTE(SUBSTITUTE(SUBSTITUTE($MU133,"~","~~"),"*","~*"),"?","~?"),'DADOS_FORMAS'!$AH$2:$AH$21,0)),"")="",0,IFERROR(N(VLOOKUP(SUBSTITUTE(SUBSTITUTE(SUBSTITUTE(IFERROR(INDEX('DADOS_FORMAS'!$AS$2:$AS$21,MATCH(SUBSTITUTE(SUBSTITUTE(SUBSTITUTE($MU133,"~","~~"),"*","~*"),"?","~?"),'DADOS_FORMAS'!$AH$2:$AH$21,0)),""),"~","~~"),"*","~*"),"?","~?"),'DADOS_RESTRICOES'!$M$2:$Q$54,4,FALSE)=1),0))+IF($NB133="",0,IFERROR(N(VLOOKUP(SUBSTITUTE(SUBSTITUTE(SUBSTITUTE($NB133,"~","~~"),"*","~*"),"?","~?"),'DADOS_RESTRICOES'!$M$2:$Q$54,4,FALSE)=1),0))+IF($NC133="",0,IFERROR(N(VLOOKUP(SUBSTITUTE(SUBSTITUTE(SUBSTITUTE($NC133,"~","~~"),"*","~*"),"?","~?"),'DADOS_RESTRICOES'!$M$2:$Q$54,4,FALSE)=1),0))&gt;1,"Duas Restrições de frequência, contando a embutida",""),IF(AND(IFERROR(VLOOKUP(SUBSTITUTE(SUBSTITUTE(SUBSTITUTE(IFERROR(INDEX('DADOS_FORMAS'!$AS$2:$AS$21,MATCH(SUBSTITUTE(SUBSTITUTE(SUBSTITUTE($MU133,"~","~~"),"*","~*"),"?","~?"),'DADOS_FORMAS'!$AH$2:$AH$21,0)),""),"~","~~"),"*","~*"),"?","~?"),'DADOS_RESTRICOES'!$M$2:$Q$54,2,FALSE),"")="Tudo ou Nada",$OH133=0),"Tudo ou Nada exige TR",""),IF(AND(IFERROR(VLOOKUP(SUBSTITUTE(SUBSTITUTE(SUBSTITUTE(IFERROR(INDEX('DADOS_FORMAS'!$AS$2:$AS$21,MATCH(SUBSTITUTE(SUBSTITUTE(SUBSTITUTE($MU133,"~","~~"),"*","~*"),"?","~?"),'DADOS_FORMAS'!$AH$2:$AH$21,0)),""),"~","~~"),"*","~*"),"?","~?"),'DADOS_RESTRICOES'!$M$2:$Q$54,2,FALSE),"")="Corpo a Corpo",OR($RO133="Cone",$RO133="Linha")),"Corpo a Corpo não entra em Cone/Linha","")))</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dela",IF(COUNTIF($RQ133:$RS133,"Atrasar")&gt;0,"Sua Ação Completa",IF(COUNTIF($RK133:$RN133,"Rápido")&gt;0,"Sua Bônus",IF(COUNTIF($RK133:$RN133,"Reação")&gt;0,"Sua Reação","Sua Padrão")))&amp;" + a básica dela"&amp;IF(COUNTIF($RK133:$RN133,"Reação")&gt;0," e a coletiva","")&amp;IF(COUNTIF($RQ133:$RS133,"Carregar")&gt;0," · em dois turnos","")))</f>
        <v/>
      </c>
      <c r="QC133" s="161">
        <f>IF($MW133&lt;&gt;"",$MW133,IF($NJ133=0,"",INDEX('DADOS_FORMAS'!$GE$2:$GE$21,$NJ133)))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IF($NJ133=0,0,CHOOSE(1+INDEX('DADOS_FORMAS'!$GG$2:$GG$21,$NJ133),0,$QF133,$QG133,$QF133+$QG133))</f>
        <v/>
      </c>
      <c r="QI133" s="161">
        <f>IF($NJ133=0,0,CHOOSE(1+INDEX('DADOS_FORMAS'!$GH$2:$GH$21,$NJ133),0,$QF133,$QG133,$QF133+$QG133))</f>
        <v/>
      </c>
      <c r="QJ133" s="161">
        <f>IF(OR($ND133=0,$NJ133=0),"",INDEX('DADOS_FORMAS'!$HU$2:$HZ$81,($NJ133-1)*4+IF($MS133=0,1,IF($MS133&lt;=5,2,IF($MS133=6,3,4))),1+MIN(5,$QH133))&amp;INDEX('DADOS_FORMAS'!$IA$2:$IF$81,($NJ133-1)*4+IF($MS133=0,1,IF($MS133&lt;=5,2,IF($MS133=6,3,4))),1+MIN(5,$QI133))&amp;IF(INDEX('DADOS_FORMAS'!$GI$2:$GI$21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c r="RO133">
        <f>IFERROR(INDEX('DADOS_FORMAS'!$BJ$2:$BJ$21,MATCH(SUBSTITUTE(SUBSTITUTE(SUBSTITUTE($MU133,"~","~~"),"*","~*"),"?","~?"),'DADOS_FORMAS'!$AH$2:$AH$21,0)),"")</f>
        <v/>
      </c>
      <c r="RP133">
        <f>IFERROR(VLOOKUP(SUBSTITUTE(SUBSTITUTE(SUBSTITUTE(IFERROR(INDEX('DADOS_FORMAS'!$AS$2:$AS$21,MATCH(SUBSTITUTE(SUBSTITUTE(SUBSTITUTE($MU133,"~","~~"),"*","~*"),"?","~?"),'DADOS_FORMAS'!$AH$2:$AH$21,0)),""),"~","~~"),"*","~*"),"?","~?"),'DADOS_RESTRICOES'!$M$2:$Q$54,2,FALSE),"")</f>
        <v/>
      </c>
      <c r="RQ133">
        <f>$OK133</f>
        <v/>
      </c>
      <c r="RR133">
        <f>$OL133</f>
        <v/>
      </c>
      <c r="RS133">
        <f>$RP133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IFERROR(MATCH(SUBSTITUTE(SUBSTITUTE(SUBSTITUTE($MU134,"~","~~"),"*","~*"),"?","~?"),'DADOS_FORMAS'!$FZ$2:$FZ$21,0),0)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IF($MS134=0,0,IF($NJ134=0,0,INDEX('DADOS_FORMAS'!$GB$2:$GB$21,$NJ134)))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IF($NJ134=0,0,IF(INDEX('DADOS_FORMAS'!$GA$2:$GA$21,$NJ134)="",0,IF((COUNTIF(INDEX($EL$2:$EP$13,$MO134,0),INDEX('DADOS_FORMAS'!$GA$2:$GA$21,$NJ134))+COUNTIF(INDEX($QV$2:$QY$13,$MO134,0),INDEX('DADOS_FORMAS'!$GA$2:$GA$21,$NJ134)))=0,1,0)))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IFERROR(N(AND(INDEX('DADOS_FORMAS'!$AO$2:$AO$21,MATCH(SUBSTITUTE(SUBSTITUTE(SUBSTITUTE($MU134,"~","~~"),"*","~*"),"?","~?"),'DADOS_FORMAS'!$AH$2:$AH$21,0))="Acerto",$OH134=1)),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IF($NJ134=0,0,INDEX('DADOS_FORMAS'!$GC$2:$GC$21,$NJ134))</f>
        <v/>
      </c>
      <c r="OG134" s="161">
        <f>IF($NJ134=0,0,INDEX('DADOS_FORMAS'!$GD$2:$GD$21,$NJ134))</f>
        <v/>
      </c>
      <c r="OH134" s="161">
        <f>IF($NJ134=0,0,INDEX('DADOS_FORMAS'!$GF$2:$GF$21,$NJ134))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IF(IFERROR(INDEX('DADOS_FORMAS'!$AS$2:$AS$21,MATCH(SUBSTITUTE(SUBSTITUTE(SUBSTITUTE($MU134,"~","~~"),"*","~*"),"?","~?"),'DADOS_FORMAS'!$AH$2:$AH$21,0)),"")="",0,IFERROR(N(VLOOKUP(SUBSTITUTE(SUBSTITUTE(SUBSTITUTE(IFERROR(INDEX('DADOS_FORMAS'!$AS$2:$AS$21,MATCH(SUBSTITUTE(SUBSTITUTE(SUBSTITUTE($MU134,"~","~~"),"*","~*"),"?","~?"),'DADOS_FORMAS'!$AH$2:$AH$21,0)),""),"~","~~"),"*","~*"),"?","~?"),'DADOS_RESTRICOES'!$M$2:$Q$54,3,FALSE)=1),0))</f>
        <v/>
      </c>
      <c r="OT134" s="161">
        <f>COUNTIF($OI134:$OJ134,2)+IF(IFERROR(INDEX('DADOS_FORMAS'!$AS$2:$AS$21,MATCH(SUBSTITUTE(SUBSTITUTE(SUBSTITUTE($MU134,"~","~~"),"*","~*"),"?","~?"),'DADOS_FORMAS'!$AH$2:$AH$21,0)),"")="",0,IFERROR(N(VLOOKUP(SUBSTITUTE(SUBSTITUTE(SUBSTITUTE(IFERROR(INDEX('DADOS_FORMAS'!$AS$2:$AS$21,MATCH(SUBSTITUTE(SUBSTITUTE(SUBSTITUTE($MU134,"~","~~"),"*","~*"),"?","~?"),'DADOS_FORMAS'!$AH$2:$AH$21,0)),""),"~","~~"),"*","~*"),"?","~?"),'DADOS_RESTRICOES'!$M$2:$Q$54,3,FALSE)=2),0))</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",TRUE,IF($ND134=0,"",TEXTJOIN(" · ",TRUE,IF($MQ134&gt;$NE134,"Este lugar abre no nível "&amp;$MQ134,""),IF($MS134&gt;$NF134,"Classe "&amp;$MS134&amp;": o nível "&amp;$NE134&amp;" libera até a "&amp;$NF134,""),IF($NX134=1,"A Forma "&amp;$MU134&amp;" pede "&amp;INDEX('DADOS_FORMAS'!$GA$2:$GA$21,$NJ134)&amp;" aberta",""),IF(AND($MS134=0,$NJ134&gt;0,IF($NJ134=0,0,INDEX('DADOS_FORMAS'!$GJ$2:$GJ$21,$NJ134))=0),$MU134&amp;"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Corpo")&gt;0,$OF134=0,OR($RO134="Cone",$RO134="Linha")),"Corpo a Corpo não entra em "&amp;$MU134,""),IF(AND(COUNTIF($OK134:$OL134,"Corpo a Corpo")&gt;0,$RP134="Corpo a Corpo"),"A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"&amp;$NC134,""))),IF(AND($MU134&lt;&gt;"",COUNTIF('DADOS_FORMAS'!$AH$2:$AH$21,SUBSTITUTE(SUBSTITUTE(SUBSTITUTE($MU134,"~","~~"),"*","~*"),"?","~?"))=0),"Forma não cadastrada ou com erro: "&amp;$MU134,""),IF(AND(IFERROR(INDEX('DADOS_FORMAS'!$AS$2:$AS$21,MATCH(SUBSTITUTE(SUBSTITUTE(SUBSTITUTE($MU134,"~","~~"),"*","~*"),"?","~?"),'DADOS_FORMAS'!$AH$2:$AH$21,0)),"")&lt;&gt;"",OR(IFERROR(VLOOKUP(SUBSTITUTE(SUBSTITUTE(SUBSTITUTE(IFERROR(INDEX('DADOS_FORMAS'!$AS$2:$AS$21,MATCH(SUBSTITUTE(SUBSTITUTE(SUBSTITUTE($MU134,"~","~~"),"*","~*"),"?","~?"),'DADOS_FORMAS'!$AH$2:$AH$21,0)),""),"~","~~"),"*","~*"),"?","~?"),'DADOS_RESTRICOES'!$M$2:$Q$54,2,FALSE),"")=$OK134,IFERROR(VLOOKUP(SUBSTITUTE(SUBSTITUTE(SUBSTITUTE(IFERROR(INDEX('DADOS_FORMAS'!$AS$2:$AS$21,MATCH(SUBSTITUTE(SUBSTITUTE(SUBSTITUTE($MU134,"~","~~"),"*","~*"),"?","~?"),'DADOS_FORMAS'!$AH$2:$AH$21,0)),""),"~","~~"),"*","~*"),"?","~?"),'DADOS_RESTRICOES'!$M$2:$Q$54,2,FALSE),"")=$OL134)),"Restrição repetida, contando a embutida",""),IF(IF(IFERROR(INDEX('DADOS_FORMAS'!$AS$2:$AS$21,MATCH(SUBSTITUTE(SUBSTITUTE(SUBSTITUTE($MU134,"~","~~"),"*","~*"),"?","~?"),'DADOS_FORMAS'!$AH$2:$AH$21,0)),"")="",0,IFERROR(N(VLOOKUP(SUBSTITUTE(SUBSTITUTE(SUBSTITUTE(IFERROR(INDEX('DADOS_FORMAS'!$AS$2:$AS$21,MATCH(SUBSTITUTE(SUBSTITUTE(SUBSTITUTE($MU134,"~","~~"),"*","~*"),"?","~?"),'DADOS_FORMAS'!$AH$2:$AH$21,0)),""),"~","~~"),"*","~*"),"?","~?"),'DADOS_RESTRICOES'!$M$2:$Q$54,4,FALSE)=1),0))+IF($NB134="",0,IFERROR(N(VLOOKUP(SUBSTITUTE(SUBSTITUTE(SUBSTITUTE($NB134,"~","~~"),"*","~*"),"?","~?"),'DADOS_RESTRICOES'!$M$2:$Q$54,4,FALSE)=1),0))+IF($NC134="",0,IFERROR(N(VLOOKUP(SUBSTITUTE(SUBSTITUTE(SUBSTITUTE($NC134,"~","~~"),"*","~*"),"?","~?"),'DADOS_RESTRICOES'!$M$2:$Q$54,4,FALSE)=1),0))&gt;1,"Duas Restrições de frequência, contando a embutida",""),IF(AND(IFERROR(VLOOKUP(SUBSTITUTE(SUBSTITUTE(SUBSTITUTE(IFERROR(INDEX('DADOS_FORMAS'!$AS$2:$AS$21,MATCH(SUBSTITUTE(SUBSTITUTE(SUBSTITUTE($MU134,"~","~~"),"*","~*"),"?","~?"),'DADOS_FORMAS'!$AH$2:$AH$21,0)),""),"~","~~"),"*","~*"),"?","~?"),'DADOS_RESTRICOES'!$M$2:$Q$54,2,FALSE),"")="Tudo ou Nada",$OH134=0),"Tudo ou Nada exige TR",""),IF(AND(IFERROR(VLOOKUP(SUBSTITUTE(SUBSTITUTE(SUBSTITUTE(IFERROR(INDEX('DADOS_FORMAS'!$AS$2:$AS$21,MATCH(SUBSTITUTE(SUBSTITUTE(SUBSTITUTE($MU134,"~","~~"),"*","~*"),"?","~?"),'DADOS_FORMAS'!$AH$2:$AH$21,0)),""),"~","~~"),"*","~*"),"?","~?"),'DADOS_RESTRICOES'!$M$2:$Q$54,2,FALSE),"")="Corpo a Corpo",OR($RO134="Cone",$RO134="Linha")),"Corpo a Corpo não entra em Cone/Linha","")))</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dela",IF(COUNTIF($RQ134:$RS134,"Atrasar")&gt;0,"Sua Ação Completa",IF(COUNTIF($RK134:$RN134,"Rápido")&gt;0,"Sua Bônus",IF(COUNTIF($RK134:$RN134,"Reação")&gt;0,"Sua Reação","Sua Padrão")))&amp;" + a básica dela"&amp;IF(COUNTIF($RK134:$RN134,"Reação")&gt;0," e a coletiva","")&amp;IF(COUNTIF($RQ134:$RS134,"Carregar")&gt;0," · em dois turnos","")))</f>
        <v/>
      </c>
      <c r="QC134" s="161">
        <f>IF($MW134&lt;&gt;"",$MW134,IF($NJ134=0,"",INDEX('DADOS_FORMAS'!$GE$2:$GE$21,$NJ134)))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IF($NJ134=0,0,CHOOSE(1+INDEX('DADOS_FORMAS'!$GG$2:$GG$21,$NJ134),0,$QF134,$QG134,$QF134+$QG134))</f>
        <v/>
      </c>
      <c r="QI134" s="161">
        <f>IF($NJ134=0,0,CHOOSE(1+INDEX('DADOS_FORMAS'!$GH$2:$GH$21,$NJ134),0,$QF134,$QG134,$QF134+$QG134))</f>
        <v/>
      </c>
      <c r="QJ134" s="161">
        <f>IF(OR($ND134=0,$NJ134=0),"",INDEX('DADOS_FORMAS'!$HU$2:$HZ$81,($NJ134-1)*4+IF($MS134=0,1,IF($MS134&lt;=5,2,IF($MS134=6,3,4))),1+MIN(5,$QH134))&amp;INDEX('DADOS_FORMAS'!$IA$2:$IF$81,($NJ134-1)*4+IF($MS134=0,1,IF($MS134&lt;=5,2,IF($MS134=6,3,4))),1+MIN(5,$QI134))&amp;IF(INDEX('DADOS_FORMAS'!$GI$2:$GI$21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c r="RO134">
        <f>IFERROR(INDEX('DADOS_FORMAS'!$BJ$2:$BJ$21,MATCH(SUBSTITUTE(SUBSTITUTE(SUBSTITUTE($MU134,"~","~~"),"*","~*"),"?","~?"),'DADOS_FORMAS'!$AH$2:$AH$21,0)),"")</f>
        <v/>
      </c>
      <c r="RP134">
        <f>IFERROR(VLOOKUP(SUBSTITUTE(SUBSTITUTE(SUBSTITUTE(IFERROR(INDEX('DADOS_FORMAS'!$AS$2:$AS$21,MATCH(SUBSTITUTE(SUBSTITUTE(SUBSTITUTE($MU134,"~","~~"),"*","~*"),"?","~?"),'DADOS_FORMAS'!$AH$2:$AH$21,0)),""),"~","~~"),"*","~*"),"?","~?"),'DADOS_RESTRICOES'!$M$2:$Q$54,2,FALSE),"")</f>
        <v/>
      </c>
      <c r="RQ134">
        <f>$OK134</f>
        <v/>
      </c>
      <c r="RR134">
        <f>$OL134</f>
        <v/>
      </c>
      <c r="RS134">
        <f>$RP134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IFERROR(MATCH(SUBSTITUTE(SUBSTITUTE(SUBSTITUTE($MU135,"~","~~"),"*","~*"),"?","~?"),'DADOS_FORMAS'!$FZ$2:$FZ$21,0),0)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IF($MS135=0,0,IF($NJ135=0,0,INDEX('DADOS_FORMAS'!$GB$2:$GB$21,$NJ135)))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IF($NJ135=0,0,IF(INDEX('DADOS_FORMAS'!$GA$2:$GA$21,$NJ135)="",0,IF((COUNTIF(INDEX($EL$2:$EP$13,$MO135,0),INDEX('DADOS_FORMAS'!$GA$2:$GA$21,$NJ135))+COUNTIF(INDEX($QV$2:$QY$13,$MO135,0),INDEX('DADOS_FORMAS'!$GA$2:$GA$21,$NJ135)))=0,1,0)))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IFERROR(N(AND(INDEX('DADOS_FORMAS'!$AO$2:$AO$21,MATCH(SUBSTITUTE(SUBSTITUTE(SUBSTITUTE($MU135,"~","~~"),"*","~*"),"?","~?"),'DADOS_FORMAS'!$AH$2:$AH$21,0))="Acerto",$OH135=1)),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IF($NJ135=0,0,INDEX('DADOS_FORMAS'!$GC$2:$GC$21,$NJ135))</f>
        <v/>
      </c>
      <c r="OG135" s="161">
        <f>IF($NJ135=0,0,INDEX('DADOS_FORMAS'!$GD$2:$GD$21,$NJ135))</f>
        <v/>
      </c>
      <c r="OH135" s="161">
        <f>IF($NJ135=0,0,INDEX('DADOS_FORMAS'!$GF$2:$GF$21,$NJ135))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IF(IFERROR(INDEX('DADOS_FORMAS'!$AS$2:$AS$21,MATCH(SUBSTITUTE(SUBSTITUTE(SUBSTITUTE($MU135,"~","~~"),"*","~*"),"?","~?"),'DADOS_FORMAS'!$AH$2:$AH$21,0)),"")="",0,IFERROR(N(VLOOKUP(SUBSTITUTE(SUBSTITUTE(SUBSTITUTE(IFERROR(INDEX('DADOS_FORMAS'!$AS$2:$AS$21,MATCH(SUBSTITUTE(SUBSTITUTE(SUBSTITUTE($MU135,"~","~~"),"*","~*"),"?","~?"),'DADOS_FORMAS'!$AH$2:$AH$21,0)),""),"~","~~"),"*","~*"),"?","~?"),'DADOS_RESTRICOES'!$M$2:$Q$54,3,FALSE)=1),0))</f>
        <v/>
      </c>
      <c r="OT135" s="161">
        <f>COUNTIF($OI135:$OJ135,2)+IF(IFERROR(INDEX('DADOS_FORMAS'!$AS$2:$AS$21,MATCH(SUBSTITUTE(SUBSTITUTE(SUBSTITUTE($MU135,"~","~~"),"*","~*"),"?","~?"),'DADOS_FORMAS'!$AH$2:$AH$21,0)),"")="",0,IFERROR(N(VLOOKUP(SUBSTITUTE(SUBSTITUTE(SUBSTITUTE(IFERROR(INDEX('DADOS_FORMAS'!$AS$2:$AS$21,MATCH(SUBSTITUTE(SUBSTITUTE(SUBSTITUTE($MU135,"~","~~"),"*","~*"),"?","~?"),'DADOS_FORMAS'!$AH$2:$AH$21,0)),""),"~","~~"),"*","~*"),"?","~?"),'DADOS_RESTRICOES'!$M$2:$Q$54,3,FALSE)=2),0))</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",TRUE,IF($ND135=0,"",TEXTJOIN(" · ",TRUE,IF($MQ135&gt;$NE135,"Este lugar abre no nível "&amp;$MQ135,""),IF($MS135&gt;$NF135,"Classe "&amp;$MS135&amp;": o nível "&amp;$NE135&amp;" libera até a "&amp;$NF135,""),IF($NX135=1,"A Forma "&amp;$MU135&amp;" pede "&amp;INDEX('DADOS_FORMAS'!$GA$2:$GA$21,$NJ135)&amp;" aberta",""),IF(AND($MS135=0,$NJ135&gt;0,IF($NJ135=0,0,INDEX('DADOS_FORMAS'!$GJ$2:$GJ$21,$NJ135))=0),$MU135&amp;"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Corpo")&gt;0,$OF135=0,OR($RO135="Cone",$RO135="Linha")),"Corpo a Corpo não entra em "&amp;$MU135,""),IF(AND(COUNTIF($OK135:$OL135,"Corpo a Corpo")&gt;0,$RP135="Corpo a Corpo"),"A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"&amp;$NC135,""))),IF(AND($MU135&lt;&gt;"",COUNTIF('DADOS_FORMAS'!$AH$2:$AH$21,SUBSTITUTE(SUBSTITUTE(SUBSTITUTE($MU135,"~","~~"),"*","~*"),"?","~?"))=0),"Forma não cadastrada ou com erro: "&amp;$MU135,""),IF(AND(IFERROR(INDEX('DADOS_FORMAS'!$AS$2:$AS$21,MATCH(SUBSTITUTE(SUBSTITUTE(SUBSTITUTE($MU135,"~","~~"),"*","~*"),"?","~?"),'DADOS_FORMAS'!$AH$2:$AH$21,0)),"")&lt;&gt;"",OR(IFERROR(VLOOKUP(SUBSTITUTE(SUBSTITUTE(SUBSTITUTE(IFERROR(INDEX('DADOS_FORMAS'!$AS$2:$AS$21,MATCH(SUBSTITUTE(SUBSTITUTE(SUBSTITUTE($MU135,"~","~~"),"*","~*"),"?","~?"),'DADOS_FORMAS'!$AH$2:$AH$21,0)),""),"~","~~"),"*","~*"),"?","~?"),'DADOS_RESTRICOES'!$M$2:$Q$54,2,FALSE),"")=$OK135,IFERROR(VLOOKUP(SUBSTITUTE(SUBSTITUTE(SUBSTITUTE(IFERROR(INDEX('DADOS_FORMAS'!$AS$2:$AS$21,MATCH(SUBSTITUTE(SUBSTITUTE(SUBSTITUTE($MU135,"~","~~"),"*","~*"),"?","~?"),'DADOS_FORMAS'!$AH$2:$AH$21,0)),""),"~","~~"),"*","~*"),"?","~?"),'DADOS_RESTRICOES'!$M$2:$Q$54,2,FALSE),"")=$OL135)),"Restrição repetida, contando a embutida",""),IF(IF(IFERROR(INDEX('DADOS_FORMAS'!$AS$2:$AS$21,MATCH(SUBSTITUTE(SUBSTITUTE(SUBSTITUTE($MU135,"~","~~"),"*","~*"),"?","~?"),'DADOS_FORMAS'!$AH$2:$AH$21,0)),"")="",0,IFERROR(N(VLOOKUP(SUBSTITUTE(SUBSTITUTE(SUBSTITUTE(IFERROR(INDEX('DADOS_FORMAS'!$AS$2:$AS$21,MATCH(SUBSTITUTE(SUBSTITUTE(SUBSTITUTE($MU135,"~","~~"),"*","~*"),"?","~?"),'DADOS_FORMAS'!$AH$2:$AH$21,0)),""),"~","~~"),"*","~*"),"?","~?"),'DADOS_RESTRICOES'!$M$2:$Q$54,4,FALSE)=1),0))+IF($NB135="",0,IFERROR(N(VLOOKUP(SUBSTITUTE(SUBSTITUTE(SUBSTITUTE($NB135,"~","~~"),"*","~*"),"?","~?"),'DADOS_RESTRICOES'!$M$2:$Q$54,4,FALSE)=1),0))+IF($NC135="",0,IFERROR(N(VLOOKUP(SUBSTITUTE(SUBSTITUTE(SUBSTITUTE($NC135,"~","~~"),"*","~*"),"?","~?"),'DADOS_RESTRICOES'!$M$2:$Q$54,4,FALSE)=1),0))&gt;1,"Duas Restrições de frequência, contando a embutida",""),IF(AND(IFERROR(VLOOKUP(SUBSTITUTE(SUBSTITUTE(SUBSTITUTE(IFERROR(INDEX('DADOS_FORMAS'!$AS$2:$AS$21,MATCH(SUBSTITUTE(SUBSTITUTE(SUBSTITUTE($MU135,"~","~~"),"*","~*"),"?","~?"),'DADOS_FORMAS'!$AH$2:$AH$21,0)),""),"~","~~"),"*","~*"),"?","~?"),'DADOS_RESTRICOES'!$M$2:$Q$54,2,FALSE),"")="Tudo ou Nada",$OH135=0),"Tudo ou Nada exige TR",""),IF(AND(IFERROR(VLOOKUP(SUBSTITUTE(SUBSTITUTE(SUBSTITUTE(IFERROR(INDEX('DADOS_FORMAS'!$AS$2:$AS$21,MATCH(SUBSTITUTE(SUBSTITUTE(SUBSTITUTE($MU135,"~","~~"),"*","~*"),"?","~?"),'DADOS_FORMAS'!$AH$2:$AH$21,0)),""),"~","~~"),"*","~*"),"?","~?"),'DADOS_RESTRICOES'!$M$2:$Q$54,2,FALSE),"")="Corpo a Corpo",OR($RO135="Cone",$RO135="Linha")),"Corpo a Corpo não entra em Cone/Linha","")))</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dela",IF(COUNTIF($RQ135:$RS135,"Atrasar")&gt;0,"Sua Ação Completa",IF(COUNTIF($RK135:$RN135,"Rápido")&gt;0,"Sua Bônus",IF(COUNTIF($RK135:$RN135,"Reação")&gt;0,"Sua Reação","Sua Padrão")))&amp;" + a básica dela"&amp;IF(COUNTIF($RK135:$RN135,"Reação")&gt;0," e a coletiva","")&amp;IF(COUNTIF($RQ135:$RS135,"Carregar")&gt;0," · em dois turnos","")))</f>
        <v/>
      </c>
      <c r="QC135" s="161">
        <f>IF($MW135&lt;&gt;"",$MW135,IF($NJ135=0,"",INDEX('DADOS_FORMAS'!$GE$2:$GE$21,$NJ135)))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IF($NJ135=0,0,CHOOSE(1+INDEX('DADOS_FORMAS'!$GG$2:$GG$21,$NJ135),0,$QF135,$QG135,$QF135+$QG135))</f>
        <v/>
      </c>
      <c r="QI135" s="161">
        <f>IF($NJ135=0,0,CHOOSE(1+INDEX('DADOS_FORMAS'!$GH$2:$GH$21,$NJ135),0,$QF135,$QG135,$QF135+$QG135))</f>
        <v/>
      </c>
      <c r="QJ135" s="161">
        <f>IF(OR($ND135=0,$NJ135=0),"",INDEX('DADOS_FORMAS'!$HU$2:$HZ$81,($NJ135-1)*4+IF($MS135=0,1,IF($MS135&lt;=5,2,IF($MS135=6,3,4))),1+MIN(5,$QH135))&amp;INDEX('DADOS_FORMAS'!$IA$2:$IF$81,($NJ135-1)*4+IF($MS135=0,1,IF($MS135&lt;=5,2,IF($MS135=6,3,4))),1+MIN(5,$QI135))&amp;IF(INDEX('DADOS_FORMAS'!$GI$2:$GI$21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c r="RO135">
        <f>IFERROR(INDEX('DADOS_FORMAS'!$BJ$2:$BJ$21,MATCH(SUBSTITUTE(SUBSTITUTE(SUBSTITUTE($MU135,"~","~~"),"*","~*"),"?","~?"),'DADOS_FORMAS'!$AH$2:$AH$21,0)),"")</f>
        <v/>
      </c>
      <c r="RP135">
        <f>IFERROR(VLOOKUP(SUBSTITUTE(SUBSTITUTE(SUBSTITUTE(IFERROR(INDEX('DADOS_FORMAS'!$AS$2:$AS$21,MATCH(SUBSTITUTE(SUBSTITUTE(SUBSTITUTE($MU135,"~","~~"),"*","~*"),"?","~?"),'DADOS_FORMAS'!$AH$2:$AH$21,0)),""),"~","~~"),"*","~*"),"?","~?"),'DADOS_RESTRICOES'!$M$2:$Q$54,2,FALSE),"")</f>
        <v/>
      </c>
      <c r="RQ135">
        <f>$OK135</f>
        <v/>
      </c>
      <c r="RR135">
        <f>$OL135</f>
        <v/>
      </c>
      <c r="RS135">
        <f>$RP135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IFERROR(MATCH(SUBSTITUTE(SUBSTITUTE(SUBSTITUTE($MU136,"~","~~"),"*","~*"),"?","~?"),'DADOS_FORMAS'!$FZ$2:$FZ$21,0),0)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IF($MS136=0,0,IF($NJ136=0,0,INDEX('DADOS_FORMAS'!$GB$2:$GB$21,$NJ136)))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IF($NJ136=0,0,IF(INDEX('DADOS_FORMAS'!$GA$2:$GA$21,$NJ136)="",0,IF((COUNTIF(INDEX($EL$2:$EP$13,$MO136,0),INDEX('DADOS_FORMAS'!$GA$2:$GA$21,$NJ136))+COUNTIF(INDEX($QV$2:$QY$13,$MO136,0),INDEX('DADOS_FORMAS'!$GA$2:$GA$21,$NJ136)))=0,1,0)))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IFERROR(N(AND(INDEX('DADOS_FORMAS'!$AO$2:$AO$21,MATCH(SUBSTITUTE(SUBSTITUTE(SUBSTITUTE($MU136,"~","~~"),"*","~*"),"?","~?"),'DADOS_FORMAS'!$AH$2:$AH$21,0))="Acerto",$OH136=1)),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IF($NJ136=0,0,INDEX('DADOS_FORMAS'!$GC$2:$GC$21,$NJ136))</f>
        <v/>
      </c>
      <c r="OG136" s="161">
        <f>IF($NJ136=0,0,INDEX('DADOS_FORMAS'!$GD$2:$GD$21,$NJ136))</f>
        <v/>
      </c>
      <c r="OH136" s="161">
        <f>IF($NJ136=0,0,INDEX('DADOS_FORMAS'!$GF$2:$GF$21,$NJ136))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IF(IFERROR(INDEX('DADOS_FORMAS'!$AS$2:$AS$21,MATCH(SUBSTITUTE(SUBSTITUTE(SUBSTITUTE($MU136,"~","~~"),"*","~*"),"?","~?"),'DADOS_FORMAS'!$AH$2:$AH$21,0)),"")="",0,IFERROR(N(VLOOKUP(SUBSTITUTE(SUBSTITUTE(SUBSTITUTE(IFERROR(INDEX('DADOS_FORMAS'!$AS$2:$AS$21,MATCH(SUBSTITUTE(SUBSTITUTE(SUBSTITUTE($MU136,"~","~~"),"*","~*"),"?","~?"),'DADOS_FORMAS'!$AH$2:$AH$21,0)),""),"~","~~"),"*","~*"),"?","~?"),'DADOS_RESTRICOES'!$M$2:$Q$54,3,FALSE)=1),0))</f>
        <v/>
      </c>
      <c r="OT136" s="161">
        <f>COUNTIF($OI136:$OJ136,2)+IF(IFERROR(INDEX('DADOS_FORMAS'!$AS$2:$AS$21,MATCH(SUBSTITUTE(SUBSTITUTE(SUBSTITUTE($MU136,"~","~~"),"*","~*"),"?","~?"),'DADOS_FORMAS'!$AH$2:$AH$21,0)),"")="",0,IFERROR(N(VLOOKUP(SUBSTITUTE(SUBSTITUTE(SUBSTITUTE(IFERROR(INDEX('DADOS_FORMAS'!$AS$2:$AS$21,MATCH(SUBSTITUTE(SUBSTITUTE(SUBSTITUTE($MU136,"~","~~"),"*","~*"),"?","~?"),'DADOS_FORMAS'!$AH$2:$AH$21,0)),""),"~","~~"),"*","~*"),"?","~?"),'DADOS_RESTRICOES'!$M$2:$Q$54,3,FALSE)=2),0))</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",TRUE,IF($ND136=0,"",TEXTJOIN(" · ",TRUE,IF($MQ136&gt;$NE136,"Este lugar abre no nível "&amp;$MQ136,""),IF($MS136&gt;$NF136,"Classe "&amp;$MS136&amp;": o nível "&amp;$NE136&amp;" libera até a "&amp;$NF136,""),IF($NX136=1,"A Forma "&amp;$MU136&amp;" pede "&amp;INDEX('DADOS_FORMAS'!$GA$2:$GA$21,$NJ136)&amp;" aberta",""),IF(AND($MS136=0,$NJ136&gt;0,IF($NJ136=0,0,INDEX('DADOS_FORMAS'!$GJ$2:$GJ$21,$NJ136))=0),$MU136&amp;"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Corpo")&gt;0,$OF136=0,OR($RO136="Cone",$RO136="Linha")),"Corpo a Corpo não entra em "&amp;$MU136,""),IF(AND(COUNTIF($OK136:$OL136,"Corpo a Corpo")&gt;0,$RP136="Corpo a Corpo"),"A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"&amp;$NC136,""))),IF(AND($MU136&lt;&gt;"",COUNTIF('DADOS_FORMAS'!$AH$2:$AH$21,SUBSTITUTE(SUBSTITUTE(SUBSTITUTE($MU136,"~","~~"),"*","~*"),"?","~?"))=0),"Forma não cadastrada ou com erro: "&amp;$MU136,""),IF(AND(IFERROR(INDEX('DADOS_FORMAS'!$AS$2:$AS$21,MATCH(SUBSTITUTE(SUBSTITUTE(SUBSTITUTE($MU136,"~","~~"),"*","~*"),"?","~?"),'DADOS_FORMAS'!$AH$2:$AH$21,0)),"")&lt;&gt;"",OR(IFERROR(VLOOKUP(SUBSTITUTE(SUBSTITUTE(SUBSTITUTE(IFERROR(INDEX('DADOS_FORMAS'!$AS$2:$AS$21,MATCH(SUBSTITUTE(SUBSTITUTE(SUBSTITUTE($MU136,"~","~~"),"*","~*"),"?","~?"),'DADOS_FORMAS'!$AH$2:$AH$21,0)),""),"~","~~"),"*","~*"),"?","~?"),'DADOS_RESTRICOES'!$M$2:$Q$54,2,FALSE),"")=$OK136,IFERROR(VLOOKUP(SUBSTITUTE(SUBSTITUTE(SUBSTITUTE(IFERROR(INDEX('DADOS_FORMAS'!$AS$2:$AS$21,MATCH(SUBSTITUTE(SUBSTITUTE(SUBSTITUTE($MU136,"~","~~"),"*","~*"),"?","~?"),'DADOS_FORMAS'!$AH$2:$AH$21,0)),""),"~","~~"),"*","~*"),"?","~?"),'DADOS_RESTRICOES'!$M$2:$Q$54,2,FALSE),"")=$OL136)),"Restrição repetida, contando a embutida",""),IF(IF(IFERROR(INDEX('DADOS_FORMAS'!$AS$2:$AS$21,MATCH(SUBSTITUTE(SUBSTITUTE(SUBSTITUTE($MU136,"~","~~"),"*","~*"),"?","~?"),'DADOS_FORMAS'!$AH$2:$AH$21,0)),"")="",0,IFERROR(N(VLOOKUP(SUBSTITUTE(SUBSTITUTE(SUBSTITUTE(IFERROR(INDEX('DADOS_FORMAS'!$AS$2:$AS$21,MATCH(SUBSTITUTE(SUBSTITUTE(SUBSTITUTE($MU136,"~","~~"),"*","~*"),"?","~?"),'DADOS_FORMAS'!$AH$2:$AH$21,0)),""),"~","~~"),"*","~*"),"?","~?"),'DADOS_RESTRICOES'!$M$2:$Q$54,4,FALSE)=1),0))+IF($NB136="",0,IFERROR(N(VLOOKUP(SUBSTITUTE(SUBSTITUTE(SUBSTITUTE($NB136,"~","~~"),"*","~*"),"?","~?"),'DADOS_RESTRICOES'!$M$2:$Q$54,4,FALSE)=1),0))+IF($NC136="",0,IFERROR(N(VLOOKUP(SUBSTITUTE(SUBSTITUTE(SUBSTITUTE($NC136,"~","~~"),"*","~*"),"?","~?"),'DADOS_RESTRICOES'!$M$2:$Q$54,4,FALSE)=1),0))&gt;1,"Duas Restrições de frequência, contando a embutida",""),IF(AND(IFERROR(VLOOKUP(SUBSTITUTE(SUBSTITUTE(SUBSTITUTE(IFERROR(INDEX('DADOS_FORMAS'!$AS$2:$AS$21,MATCH(SUBSTITUTE(SUBSTITUTE(SUBSTITUTE($MU136,"~","~~"),"*","~*"),"?","~?"),'DADOS_FORMAS'!$AH$2:$AH$21,0)),""),"~","~~"),"*","~*"),"?","~?"),'DADOS_RESTRICOES'!$M$2:$Q$54,2,FALSE),"")="Tudo ou Nada",$OH136=0),"Tudo ou Nada exige TR",""),IF(AND(IFERROR(VLOOKUP(SUBSTITUTE(SUBSTITUTE(SUBSTITUTE(IFERROR(INDEX('DADOS_FORMAS'!$AS$2:$AS$21,MATCH(SUBSTITUTE(SUBSTITUTE(SUBSTITUTE($MU136,"~","~~"),"*","~*"),"?","~?"),'DADOS_FORMAS'!$AH$2:$AH$21,0)),""),"~","~~"),"*","~*"),"?","~?"),'DADOS_RESTRICOES'!$M$2:$Q$54,2,FALSE),"")="Corpo a Corpo",OR($RO136="Cone",$RO136="Linha")),"Corpo a Corpo não entra em Cone/Linha","")))</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dela",IF(COUNTIF($RQ136:$RS136,"Atrasar")&gt;0,"Sua Ação Completa",IF(COUNTIF($RK136:$RN136,"Rápido")&gt;0,"Sua Bônus",IF(COUNTIF($RK136:$RN136,"Reação")&gt;0,"Sua Reação","Sua Padrão")))&amp;" + a básica dela"&amp;IF(COUNTIF($RK136:$RN136,"Reação")&gt;0," e a coletiva","")&amp;IF(COUNTIF($RQ136:$RS136,"Carregar")&gt;0," · em dois turnos","")))</f>
        <v/>
      </c>
      <c r="QC136" s="161">
        <f>IF($MW136&lt;&gt;"",$MW136,IF($NJ136=0,"",INDEX('DADOS_FORMAS'!$GE$2:$GE$21,$NJ136)))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IF($NJ136=0,0,CHOOSE(1+INDEX('DADOS_FORMAS'!$GG$2:$GG$21,$NJ136),0,$QF136,$QG136,$QF136+$QG136))</f>
        <v/>
      </c>
      <c r="QI136" s="161">
        <f>IF($NJ136=0,0,CHOOSE(1+INDEX('DADOS_FORMAS'!$GH$2:$GH$21,$NJ136),0,$QF136,$QG136,$QF136+$QG136))</f>
        <v/>
      </c>
      <c r="QJ136" s="161">
        <f>IF(OR($ND136=0,$NJ136=0),"",INDEX('DADOS_FORMAS'!$HU$2:$HZ$81,($NJ136-1)*4+IF($MS136=0,1,IF($MS136&lt;=5,2,IF($MS136=6,3,4))),1+MIN(5,$QH136))&amp;INDEX('DADOS_FORMAS'!$IA$2:$IF$81,($NJ136-1)*4+IF($MS136=0,1,IF($MS136&lt;=5,2,IF($MS136=6,3,4))),1+MIN(5,$QI136))&amp;IF(INDEX('DADOS_FORMAS'!$GI$2:$GI$21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c r="RO136">
        <f>IFERROR(INDEX('DADOS_FORMAS'!$BJ$2:$BJ$21,MATCH(SUBSTITUTE(SUBSTITUTE(SUBSTITUTE($MU136,"~","~~"),"*","~*"),"?","~?"),'DADOS_FORMAS'!$AH$2:$AH$21,0)),"")</f>
        <v/>
      </c>
      <c r="RP136">
        <f>IFERROR(VLOOKUP(SUBSTITUTE(SUBSTITUTE(SUBSTITUTE(IFERROR(INDEX('DADOS_FORMAS'!$AS$2:$AS$21,MATCH(SUBSTITUTE(SUBSTITUTE(SUBSTITUTE($MU136,"~","~~"),"*","~*"),"?","~?"),'DADOS_FORMAS'!$AH$2:$AH$21,0)),""),"~","~~"),"*","~*"),"?","~?"),'DADOS_RESTRICOES'!$M$2:$Q$54,2,FALSE),"")</f>
        <v/>
      </c>
      <c r="RQ136">
        <f>$OK136</f>
        <v/>
      </c>
      <c r="RR136">
        <f>$OL136</f>
        <v/>
      </c>
      <c r="RS136">
        <f>$RP136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IFERROR(MATCH(SUBSTITUTE(SUBSTITUTE(SUBSTITUTE($MU137,"~","~~"),"*","~*"),"?","~?"),'DADOS_FORMAS'!$FZ$2:$FZ$21,0),0)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IF($MS137=0,0,IF($NJ137=0,0,INDEX('DADOS_FORMAS'!$GB$2:$GB$21,$NJ137)))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IF($NJ137=0,0,IF(INDEX('DADOS_FORMAS'!$GA$2:$GA$21,$NJ137)="",0,IF((COUNTIF(INDEX($EL$2:$EP$13,$MO137,0),INDEX('DADOS_FORMAS'!$GA$2:$GA$21,$NJ137))+COUNTIF(INDEX($QV$2:$QY$13,$MO137,0),INDEX('DADOS_FORMAS'!$GA$2:$GA$21,$NJ137)))=0,1,0)))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IFERROR(N(AND(INDEX('DADOS_FORMAS'!$AO$2:$AO$21,MATCH(SUBSTITUTE(SUBSTITUTE(SUBSTITUTE($MU137,"~","~~"),"*","~*"),"?","~?"),'DADOS_FORMAS'!$AH$2:$AH$21,0))="Acerto",$OH137=1)),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IF($NJ137=0,0,INDEX('DADOS_FORMAS'!$GC$2:$GC$21,$NJ137))</f>
        <v/>
      </c>
      <c r="OG137" s="161">
        <f>IF($NJ137=0,0,INDEX('DADOS_FORMAS'!$GD$2:$GD$21,$NJ137))</f>
        <v/>
      </c>
      <c r="OH137" s="161">
        <f>IF($NJ137=0,0,INDEX('DADOS_FORMAS'!$GF$2:$GF$21,$NJ137))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IF(IFERROR(INDEX('DADOS_FORMAS'!$AS$2:$AS$21,MATCH(SUBSTITUTE(SUBSTITUTE(SUBSTITUTE($MU137,"~","~~"),"*","~*"),"?","~?"),'DADOS_FORMAS'!$AH$2:$AH$21,0)),"")="",0,IFERROR(N(VLOOKUP(SUBSTITUTE(SUBSTITUTE(SUBSTITUTE(IFERROR(INDEX('DADOS_FORMAS'!$AS$2:$AS$21,MATCH(SUBSTITUTE(SUBSTITUTE(SUBSTITUTE($MU137,"~","~~"),"*","~*"),"?","~?"),'DADOS_FORMAS'!$AH$2:$AH$21,0)),""),"~","~~"),"*","~*"),"?","~?"),'DADOS_RESTRICOES'!$M$2:$Q$54,3,FALSE)=1),0))</f>
        <v/>
      </c>
      <c r="OT137" s="161">
        <f>COUNTIF($OI137:$OJ137,2)+IF(IFERROR(INDEX('DADOS_FORMAS'!$AS$2:$AS$21,MATCH(SUBSTITUTE(SUBSTITUTE(SUBSTITUTE($MU137,"~","~~"),"*","~*"),"?","~?"),'DADOS_FORMAS'!$AH$2:$AH$21,0)),"")="",0,IFERROR(N(VLOOKUP(SUBSTITUTE(SUBSTITUTE(SUBSTITUTE(IFERROR(INDEX('DADOS_FORMAS'!$AS$2:$AS$21,MATCH(SUBSTITUTE(SUBSTITUTE(SUBSTITUTE($MU137,"~","~~"),"*","~*"),"?","~?"),'DADOS_FORMAS'!$AH$2:$AH$21,0)),""),"~","~~"),"*","~*"),"?","~?"),'DADOS_RESTRICOES'!$M$2:$Q$54,3,FALSE)=2),0))</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",TRUE,IF($ND137=0,"",TEXTJOIN(" · ",TRUE,IF($MQ137&gt;$NE137,"Este lugar abre no nível "&amp;$MQ137,""),IF($MS137&gt;$NF137,"Classe "&amp;$MS137&amp;": o nível "&amp;$NE137&amp;" libera até a "&amp;$NF137,""),IF($NX137=1,"A Forma "&amp;$MU137&amp;" pede "&amp;INDEX('DADOS_FORMAS'!$GA$2:$GA$21,$NJ137)&amp;" aberta",""),IF(AND($MS137=0,$NJ137&gt;0,IF($NJ137=0,0,INDEX('DADOS_FORMAS'!$GJ$2:$GJ$21,$NJ137))=0),$MU137&amp;"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Corpo")&gt;0,$OF137=0,OR($RO137="Cone",$RO137="Linha")),"Corpo a Corpo não entra em "&amp;$MU137,""),IF(AND(COUNTIF($OK137:$OL137,"Corpo a Corpo")&gt;0,$RP137="Corpo a Corpo"),"A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"&amp;$NC137,""))),IF(AND($MU137&lt;&gt;"",COUNTIF('DADOS_FORMAS'!$AH$2:$AH$21,SUBSTITUTE(SUBSTITUTE(SUBSTITUTE($MU137,"~","~~"),"*","~*"),"?","~?"))=0),"Forma não cadastrada ou com erro: "&amp;$MU137,""),IF(AND(IFERROR(INDEX('DADOS_FORMAS'!$AS$2:$AS$21,MATCH(SUBSTITUTE(SUBSTITUTE(SUBSTITUTE($MU137,"~","~~"),"*","~*"),"?","~?"),'DADOS_FORMAS'!$AH$2:$AH$21,0)),"")&lt;&gt;"",OR(IFERROR(VLOOKUP(SUBSTITUTE(SUBSTITUTE(SUBSTITUTE(IFERROR(INDEX('DADOS_FORMAS'!$AS$2:$AS$21,MATCH(SUBSTITUTE(SUBSTITUTE(SUBSTITUTE($MU137,"~","~~"),"*","~*"),"?","~?"),'DADOS_FORMAS'!$AH$2:$AH$21,0)),""),"~","~~"),"*","~*"),"?","~?"),'DADOS_RESTRICOES'!$M$2:$Q$54,2,FALSE),"")=$OK137,IFERROR(VLOOKUP(SUBSTITUTE(SUBSTITUTE(SUBSTITUTE(IFERROR(INDEX('DADOS_FORMAS'!$AS$2:$AS$21,MATCH(SUBSTITUTE(SUBSTITUTE(SUBSTITUTE($MU137,"~","~~"),"*","~*"),"?","~?"),'DADOS_FORMAS'!$AH$2:$AH$21,0)),""),"~","~~"),"*","~*"),"?","~?"),'DADOS_RESTRICOES'!$M$2:$Q$54,2,FALSE),"")=$OL137)),"Restrição repetida, contando a embutida",""),IF(IF(IFERROR(INDEX('DADOS_FORMAS'!$AS$2:$AS$21,MATCH(SUBSTITUTE(SUBSTITUTE(SUBSTITUTE($MU137,"~","~~"),"*","~*"),"?","~?"),'DADOS_FORMAS'!$AH$2:$AH$21,0)),"")="",0,IFERROR(N(VLOOKUP(SUBSTITUTE(SUBSTITUTE(SUBSTITUTE(IFERROR(INDEX('DADOS_FORMAS'!$AS$2:$AS$21,MATCH(SUBSTITUTE(SUBSTITUTE(SUBSTITUTE($MU137,"~","~~"),"*","~*"),"?","~?"),'DADOS_FORMAS'!$AH$2:$AH$21,0)),""),"~","~~"),"*","~*"),"?","~?"),'DADOS_RESTRICOES'!$M$2:$Q$54,4,FALSE)=1),0))+IF($NB137="",0,IFERROR(N(VLOOKUP(SUBSTITUTE(SUBSTITUTE(SUBSTITUTE($NB137,"~","~~"),"*","~*"),"?","~?"),'DADOS_RESTRICOES'!$M$2:$Q$54,4,FALSE)=1),0))+IF($NC137="",0,IFERROR(N(VLOOKUP(SUBSTITUTE(SUBSTITUTE(SUBSTITUTE($NC137,"~","~~"),"*","~*"),"?","~?"),'DADOS_RESTRICOES'!$M$2:$Q$54,4,FALSE)=1),0))&gt;1,"Duas Restrições de frequência, contando a embutida",""),IF(AND(IFERROR(VLOOKUP(SUBSTITUTE(SUBSTITUTE(SUBSTITUTE(IFERROR(INDEX('DADOS_FORMAS'!$AS$2:$AS$21,MATCH(SUBSTITUTE(SUBSTITUTE(SUBSTITUTE($MU137,"~","~~"),"*","~*"),"?","~?"),'DADOS_FORMAS'!$AH$2:$AH$21,0)),""),"~","~~"),"*","~*"),"?","~?"),'DADOS_RESTRICOES'!$M$2:$Q$54,2,FALSE),"")="Tudo ou Nada",$OH137=0),"Tudo ou Nada exige TR",""),IF(AND(IFERROR(VLOOKUP(SUBSTITUTE(SUBSTITUTE(SUBSTITUTE(IFERROR(INDEX('DADOS_FORMAS'!$AS$2:$AS$21,MATCH(SUBSTITUTE(SUBSTITUTE(SUBSTITUTE($MU137,"~","~~"),"*","~*"),"?","~?"),'DADOS_FORMAS'!$AH$2:$AH$21,0)),""),"~","~~"),"*","~*"),"?","~?"),'DADOS_RESTRICOES'!$M$2:$Q$54,2,FALSE),"")="Corpo a Corpo",OR($RO137="Cone",$RO137="Linha")),"Corpo a Corpo não entra em Cone/Linha","")))</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dela",IF(COUNTIF($RQ137:$RS137,"Atrasar")&gt;0,"Sua Ação Completa",IF(COUNTIF($RK137:$RN137,"Rápido")&gt;0,"Sua Bônus",IF(COUNTIF($RK137:$RN137,"Reação")&gt;0,"Sua Reação","Sua Padrão")))&amp;" + a básica dela"&amp;IF(COUNTIF($RK137:$RN137,"Reação")&gt;0," e a coletiva","")&amp;IF(COUNTIF($RQ137:$RS137,"Carregar")&gt;0," · em dois turnos","")))</f>
        <v/>
      </c>
      <c r="QC137" s="161">
        <f>IF($MW137&lt;&gt;"",$MW137,IF($NJ137=0,"",INDEX('DADOS_FORMAS'!$GE$2:$GE$21,$NJ137)))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IF($NJ137=0,0,CHOOSE(1+INDEX('DADOS_FORMAS'!$GG$2:$GG$21,$NJ137),0,$QF137,$QG137,$QF137+$QG137))</f>
        <v/>
      </c>
      <c r="QI137" s="161">
        <f>IF($NJ137=0,0,CHOOSE(1+INDEX('DADOS_FORMAS'!$GH$2:$GH$21,$NJ137),0,$QF137,$QG137,$QF137+$QG137))</f>
        <v/>
      </c>
      <c r="QJ137" s="161">
        <f>IF(OR($ND137=0,$NJ137=0),"",INDEX('DADOS_FORMAS'!$HU$2:$HZ$81,($NJ137-1)*4+IF($MS137=0,1,IF($MS137&lt;=5,2,IF($MS137=6,3,4))),1+MIN(5,$QH137))&amp;INDEX('DADOS_FORMAS'!$IA$2:$IF$81,($NJ137-1)*4+IF($MS137=0,1,IF($MS137&lt;=5,2,IF($MS137=6,3,4))),1+MIN(5,$QI137))&amp;IF(INDEX('DADOS_FORMAS'!$GI$2:$GI$21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c r="RO137">
        <f>IFERROR(INDEX('DADOS_FORMAS'!$BJ$2:$BJ$21,MATCH(SUBSTITUTE(SUBSTITUTE(SUBSTITUTE($MU137,"~","~~"),"*","~*"),"?","~?"),'DADOS_FORMAS'!$AH$2:$AH$21,0)),"")</f>
        <v/>
      </c>
      <c r="RP137">
        <f>IFERROR(VLOOKUP(SUBSTITUTE(SUBSTITUTE(SUBSTITUTE(IFERROR(INDEX('DADOS_FORMAS'!$AS$2:$AS$21,MATCH(SUBSTITUTE(SUBSTITUTE(SUBSTITUTE($MU137,"~","~~"),"*","~*"),"?","~?"),'DADOS_FORMAS'!$AH$2:$AH$21,0)),""),"~","~~"),"*","~*"),"?","~?"),'DADOS_RESTRICOES'!$M$2:$Q$54,2,FALSE),"")</f>
        <v/>
      </c>
      <c r="RQ137">
        <f>$OK137</f>
        <v/>
      </c>
      <c r="RR137">
        <f>$OL137</f>
        <v/>
      </c>
      <c r="RS137">
        <f>$RP137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IFERROR(MATCH(SUBSTITUTE(SUBSTITUTE(SUBSTITUTE($MU138,"~","~~"),"*","~*"),"?","~?"),'DADOS_FORMAS'!$FZ$2:$FZ$21,0),0)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IF($MS138=0,0,IF($NJ138=0,0,INDEX('DADOS_FORMAS'!$GB$2:$GB$21,$NJ138)))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IF($NJ138=0,0,IF(INDEX('DADOS_FORMAS'!$GA$2:$GA$21,$NJ138)="",0,IF((COUNTIF(INDEX($EL$2:$EP$13,$MO138,0),INDEX('DADOS_FORMAS'!$GA$2:$GA$21,$NJ138))+COUNTIF(INDEX($QV$2:$QY$13,$MO138,0),INDEX('DADOS_FORMAS'!$GA$2:$GA$21,$NJ138)))=0,1,0)))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IFERROR(N(AND(INDEX('DADOS_FORMAS'!$AO$2:$AO$21,MATCH(SUBSTITUTE(SUBSTITUTE(SUBSTITUTE($MU138,"~","~~"),"*","~*"),"?","~?"),'DADOS_FORMAS'!$AH$2:$AH$21,0))="Acerto",$OH138=1)),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IF($NJ138=0,0,INDEX('DADOS_FORMAS'!$GC$2:$GC$21,$NJ138))</f>
        <v/>
      </c>
      <c r="OG138" s="161">
        <f>IF($NJ138=0,0,INDEX('DADOS_FORMAS'!$GD$2:$GD$21,$NJ138))</f>
        <v/>
      </c>
      <c r="OH138" s="161">
        <f>IF($NJ138=0,0,INDEX('DADOS_FORMAS'!$GF$2:$GF$21,$NJ138))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IF(IFERROR(INDEX('DADOS_FORMAS'!$AS$2:$AS$21,MATCH(SUBSTITUTE(SUBSTITUTE(SUBSTITUTE($MU138,"~","~~"),"*","~*"),"?","~?"),'DADOS_FORMAS'!$AH$2:$AH$21,0)),"")="",0,IFERROR(N(VLOOKUP(SUBSTITUTE(SUBSTITUTE(SUBSTITUTE(IFERROR(INDEX('DADOS_FORMAS'!$AS$2:$AS$21,MATCH(SUBSTITUTE(SUBSTITUTE(SUBSTITUTE($MU138,"~","~~"),"*","~*"),"?","~?"),'DADOS_FORMAS'!$AH$2:$AH$21,0)),""),"~","~~"),"*","~*"),"?","~?"),'DADOS_RESTRICOES'!$M$2:$Q$54,3,FALSE)=1),0))</f>
        <v/>
      </c>
      <c r="OT138" s="161">
        <f>COUNTIF($OI138:$OJ138,2)+IF(IFERROR(INDEX('DADOS_FORMAS'!$AS$2:$AS$21,MATCH(SUBSTITUTE(SUBSTITUTE(SUBSTITUTE($MU138,"~","~~"),"*","~*"),"?","~?"),'DADOS_FORMAS'!$AH$2:$AH$21,0)),"")="",0,IFERROR(N(VLOOKUP(SUBSTITUTE(SUBSTITUTE(SUBSTITUTE(IFERROR(INDEX('DADOS_FORMAS'!$AS$2:$AS$21,MATCH(SUBSTITUTE(SUBSTITUTE(SUBSTITUTE($MU138,"~","~~"),"*","~*"),"?","~?"),'DADOS_FORMAS'!$AH$2:$AH$21,0)),""),"~","~~"),"*","~*"),"?","~?"),'DADOS_RESTRICOES'!$M$2:$Q$54,3,FALSE)=2),0))</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",TRUE,IF($ND138=0,"",TEXTJOIN(" · ",TRUE,IF($MQ138&gt;$NE138,"Este lugar abre no nível "&amp;$MQ138,""),IF($MS138&gt;$NF138,"Classe "&amp;$MS138&amp;": o nível "&amp;$NE138&amp;" libera até a "&amp;$NF138,""),IF($NX138=1,"A Forma "&amp;$MU138&amp;" pede "&amp;INDEX('DADOS_FORMAS'!$GA$2:$GA$21,$NJ138)&amp;" aberta",""),IF(AND($MS138=0,$NJ138&gt;0,IF($NJ138=0,0,INDEX('DADOS_FORMAS'!$GJ$2:$GJ$21,$NJ138))=0),$MU138&amp;"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Corpo")&gt;0,$OF138=0,OR($RO138="Cone",$RO138="Linha")),"Corpo a Corpo não entra em "&amp;$MU138,""),IF(AND(COUNTIF($OK138:$OL138,"Corpo a Corpo")&gt;0,$RP138="Corpo a Corpo"),"A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"&amp;$NC138,""))),IF(AND($MU138&lt;&gt;"",COUNTIF('DADOS_FORMAS'!$AH$2:$AH$21,SUBSTITUTE(SUBSTITUTE(SUBSTITUTE($MU138,"~","~~"),"*","~*"),"?","~?"))=0),"Forma não cadastrada ou com erro: "&amp;$MU138,""),IF(AND(IFERROR(INDEX('DADOS_FORMAS'!$AS$2:$AS$21,MATCH(SUBSTITUTE(SUBSTITUTE(SUBSTITUTE($MU138,"~","~~"),"*","~*"),"?","~?"),'DADOS_FORMAS'!$AH$2:$AH$21,0)),"")&lt;&gt;"",OR(IFERROR(VLOOKUP(SUBSTITUTE(SUBSTITUTE(SUBSTITUTE(IFERROR(INDEX('DADOS_FORMAS'!$AS$2:$AS$21,MATCH(SUBSTITUTE(SUBSTITUTE(SUBSTITUTE($MU138,"~","~~"),"*","~*"),"?","~?"),'DADOS_FORMAS'!$AH$2:$AH$21,0)),""),"~","~~"),"*","~*"),"?","~?"),'DADOS_RESTRICOES'!$M$2:$Q$54,2,FALSE),"")=$OK138,IFERROR(VLOOKUP(SUBSTITUTE(SUBSTITUTE(SUBSTITUTE(IFERROR(INDEX('DADOS_FORMAS'!$AS$2:$AS$21,MATCH(SUBSTITUTE(SUBSTITUTE(SUBSTITUTE($MU138,"~","~~"),"*","~*"),"?","~?"),'DADOS_FORMAS'!$AH$2:$AH$21,0)),""),"~","~~"),"*","~*"),"?","~?"),'DADOS_RESTRICOES'!$M$2:$Q$54,2,FALSE),"")=$OL138)),"Restrição repetida, contando a embutida",""),IF(IF(IFERROR(INDEX('DADOS_FORMAS'!$AS$2:$AS$21,MATCH(SUBSTITUTE(SUBSTITUTE(SUBSTITUTE($MU138,"~","~~"),"*","~*"),"?","~?"),'DADOS_FORMAS'!$AH$2:$AH$21,0)),"")="",0,IFERROR(N(VLOOKUP(SUBSTITUTE(SUBSTITUTE(SUBSTITUTE(IFERROR(INDEX('DADOS_FORMAS'!$AS$2:$AS$21,MATCH(SUBSTITUTE(SUBSTITUTE(SUBSTITUTE($MU138,"~","~~"),"*","~*"),"?","~?"),'DADOS_FORMAS'!$AH$2:$AH$21,0)),""),"~","~~"),"*","~*"),"?","~?"),'DADOS_RESTRICOES'!$M$2:$Q$54,4,FALSE)=1),0))+IF($NB138="",0,IFERROR(N(VLOOKUP(SUBSTITUTE(SUBSTITUTE(SUBSTITUTE($NB138,"~","~~"),"*","~*"),"?","~?"),'DADOS_RESTRICOES'!$M$2:$Q$54,4,FALSE)=1),0))+IF($NC138="",0,IFERROR(N(VLOOKUP(SUBSTITUTE(SUBSTITUTE(SUBSTITUTE($NC138,"~","~~"),"*","~*"),"?","~?"),'DADOS_RESTRICOES'!$M$2:$Q$54,4,FALSE)=1),0))&gt;1,"Duas Restrições de frequência, contando a embutida",""),IF(AND(IFERROR(VLOOKUP(SUBSTITUTE(SUBSTITUTE(SUBSTITUTE(IFERROR(INDEX('DADOS_FORMAS'!$AS$2:$AS$21,MATCH(SUBSTITUTE(SUBSTITUTE(SUBSTITUTE($MU138,"~","~~"),"*","~*"),"?","~?"),'DADOS_FORMAS'!$AH$2:$AH$21,0)),""),"~","~~"),"*","~*"),"?","~?"),'DADOS_RESTRICOES'!$M$2:$Q$54,2,FALSE),"")="Tudo ou Nada",$OH138=0),"Tudo ou Nada exige TR",""),IF(AND(IFERROR(VLOOKUP(SUBSTITUTE(SUBSTITUTE(SUBSTITUTE(IFERROR(INDEX('DADOS_FORMAS'!$AS$2:$AS$21,MATCH(SUBSTITUTE(SUBSTITUTE(SUBSTITUTE($MU138,"~","~~"),"*","~*"),"?","~?"),'DADOS_FORMAS'!$AH$2:$AH$21,0)),""),"~","~~"),"*","~*"),"?","~?"),'DADOS_RESTRICOES'!$M$2:$Q$54,2,FALSE),"")="Corpo a Corpo",OR($RO138="Cone",$RO138="Linha")),"Corpo a Corpo não entra em Cone/Linha","")))</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dela",IF(COUNTIF($RQ138:$RS138,"Atrasar")&gt;0,"Sua Ação Completa",IF(COUNTIF($RK138:$RN138,"Rápido")&gt;0,"Sua Bônus",IF(COUNTIF($RK138:$RN138,"Reação")&gt;0,"Sua Reação","Sua Padrão")))&amp;" + a básica dela"&amp;IF(COUNTIF($RK138:$RN138,"Reação")&gt;0," e a coletiva","")&amp;IF(COUNTIF($RQ138:$RS138,"Carregar")&gt;0," · em dois turnos","")))</f>
        <v/>
      </c>
      <c r="QC138" s="161">
        <f>IF($MW138&lt;&gt;"",$MW138,IF($NJ138=0,"",INDEX('DADOS_FORMAS'!$GE$2:$GE$21,$NJ138)))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IF($NJ138=0,0,CHOOSE(1+INDEX('DADOS_FORMAS'!$GG$2:$GG$21,$NJ138),0,$QF138,$QG138,$QF138+$QG138))</f>
        <v/>
      </c>
      <c r="QI138" s="161">
        <f>IF($NJ138=0,0,CHOOSE(1+INDEX('DADOS_FORMAS'!$GH$2:$GH$21,$NJ138),0,$QF138,$QG138,$QF138+$QG138))</f>
        <v/>
      </c>
      <c r="QJ138" s="161">
        <f>IF(OR($ND138=0,$NJ138=0),"",INDEX('DADOS_FORMAS'!$HU$2:$HZ$81,($NJ138-1)*4+IF($MS138=0,1,IF($MS138&lt;=5,2,IF($MS138=6,3,4))),1+MIN(5,$QH138))&amp;INDEX('DADOS_FORMAS'!$IA$2:$IF$81,($NJ138-1)*4+IF($MS138=0,1,IF($MS138&lt;=5,2,IF($MS138=6,3,4))),1+MIN(5,$QI138))&amp;IF(INDEX('DADOS_FORMAS'!$GI$2:$GI$21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c r="RO138">
        <f>IFERROR(INDEX('DADOS_FORMAS'!$BJ$2:$BJ$21,MATCH(SUBSTITUTE(SUBSTITUTE(SUBSTITUTE($MU138,"~","~~"),"*","~*"),"?","~?"),'DADOS_FORMAS'!$AH$2:$AH$21,0)),"")</f>
        <v/>
      </c>
      <c r="RP138">
        <f>IFERROR(VLOOKUP(SUBSTITUTE(SUBSTITUTE(SUBSTITUTE(IFERROR(INDEX('DADOS_FORMAS'!$AS$2:$AS$21,MATCH(SUBSTITUTE(SUBSTITUTE(SUBSTITUTE($MU138,"~","~~"),"*","~*"),"?","~?"),'DADOS_FORMAS'!$AH$2:$AH$21,0)),""),"~","~~"),"*","~*"),"?","~?"),'DADOS_RESTRICOES'!$M$2:$Q$54,2,FALSE),"")</f>
        <v/>
      </c>
      <c r="RQ138">
        <f>$OK138</f>
        <v/>
      </c>
      <c r="RR138">
        <f>$OL138</f>
        <v/>
      </c>
      <c r="RS138">
        <f>$RP138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IFERROR(MATCH(SUBSTITUTE(SUBSTITUTE(SUBSTITUTE($MU139,"~","~~"),"*","~*"),"?","~?"),'DADOS_FORMAS'!$FZ$2:$FZ$21,0),0)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IF($MS139=0,0,IF($NJ139=0,0,INDEX('DADOS_FORMAS'!$GB$2:$GB$21,$NJ139)))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IF($NJ139=0,0,IF(INDEX('DADOS_FORMAS'!$GA$2:$GA$21,$NJ139)="",0,IF((COUNTIF(INDEX($EL$2:$EP$13,$MO139,0),INDEX('DADOS_FORMAS'!$GA$2:$GA$21,$NJ139))+COUNTIF(INDEX($QV$2:$QY$13,$MO139,0),INDEX('DADOS_FORMAS'!$GA$2:$GA$21,$NJ139)))=0,1,0)))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IFERROR(N(AND(INDEX('DADOS_FORMAS'!$AO$2:$AO$21,MATCH(SUBSTITUTE(SUBSTITUTE(SUBSTITUTE($MU139,"~","~~"),"*","~*"),"?","~?"),'DADOS_FORMAS'!$AH$2:$AH$21,0))="Acerto",$OH139=1)),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IF($NJ139=0,0,INDEX('DADOS_FORMAS'!$GC$2:$GC$21,$NJ139))</f>
        <v/>
      </c>
      <c r="OG139" s="161">
        <f>IF($NJ139=0,0,INDEX('DADOS_FORMAS'!$GD$2:$GD$21,$NJ139))</f>
        <v/>
      </c>
      <c r="OH139" s="161">
        <f>IF($NJ139=0,0,INDEX('DADOS_FORMAS'!$GF$2:$GF$21,$NJ139))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IF(IFERROR(INDEX('DADOS_FORMAS'!$AS$2:$AS$21,MATCH(SUBSTITUTE(SUBSTITUTE(SUBSTITUTE($MU139,"~","~~"),"*","~*"),"?","~?"),'DADOS_FORMAS'!$AH$2:$AH$21,0)),"")="",0,IFERROR(N(VLOOKUP(SUBSTITUTE(SUBSTITUTE(SUBSTITUTE(IFERROR(INDEX('DADOS_FORMAS'!$AS$2:$AS$21,MATCH(SUBSTITUTE(SUBSTITUTE(SUBSTITUTE($MU139,"~","~~"),"*","~*"),"?","~?"),'DADOS_FORMAS'!$AH$2:$AH$21,0)),""),"~","~~"),"*","~*"),"?","~?"),'DADOS_RESTRICOES'!$M$2:$Q$54,3,FALSE)=1),0))</f>
        <v/>
      </c>
      <c r="OT139" s="161">
        <f>COUNTIF($OI139:$OJ139,2)+IF(IFERROR(INDEX('DADOS_FORMAS'!$AS$2:$AS$21,MATCH(SUBSTITUTE(SUBSTITUTE(SUBSTITUTE($MU139,"~","~~"),"*","~*"),"?","~?"),'DADOS_FORMAS'!$AH$2:$AH$21,0)),"")="",0,IFERROR(N(VLOOKUP(SUBSTITUTE(SUBSTITUTE(SUBSTITUTE(IFERROR(INDEX('DADOS_FORMAS'!$AS$2:$AS$21,MATCH(SUBSTITUTE(SUBSTITUTE(SUBSTITUTE($MU139,"~","~~"),"*","~*"),"?","~?"),'DADOS_FORMAS'!$AH$2:$AH$21,0)),""),"~","~~"),"*","~*"),"?","~?"),'DADOS_RESTRICOES'!$M$2:$Q$54,3,FALSE)=2),0))</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",TRUE,IF($ND139=0,"",TEXTJOIN(" · ",TRUE,IF($MQ139&gt;$NE139,"Este lugar abre no nível "&amp;$MQ139,""),IF($MS139&gt;$NF139,"Classe "&amp;$MS139&amp;": o nível "&amp;$NE139&amp;" libera até a "&amp;$NF139,""),IF($NX139=1,"A Forma "&amp;$MU139&amp;" pede "&amp;INDEX('DADOS_FORMAS'!$GA$2:$GA$21,$NJ139)&amp;" aberta",""),IF(AND($MS139=0,$NJ139&gt;0,IF($NJ139=0,0,INDEX('DADOS_FORMAS'!$GJ$2:$GJ$21,$NJ139))=0),$MU139&amp;"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Corpo")&gt;0,$OF139=0,OR($RO139="Cone",$RO139="Linha")),"Corpo a Corpo não entra em "&amp;$MU139,""),IF(AND(COUNTIF($OK139:$OL139,"Corpo a Corpo")&gt;0,$RP139="Corpo a Corpo"),"A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"&amp;$NC139,""))),IF(AND($MU139&lt;&gt;"",COUNTIF('DADOS_FORMAS'!$AH$2:$AH$21,SUBSTITUTE(SUBSTITUTE(SUBSTITUTE($MU139,"~","~~"),"*","~*"),"?","~?"))=0),"Forma não cadastrada ou com erro: "&amp;$MU139,""),IF(AND(IFERROR(INDEX('DADOS_FORMAS'!$AS$2:$AS$21,MATCH(SUBSTITUTE(SUBSTITUTE(SUBSTITUTE($MU139,"~","~~"),"*","~*"),"?","~?"),'DADOS_FORMAS'!$AH$2:$AH$21,0)),"")&lt;&gt;"",OR(IFERROR(VLOOKUP(SUBSTITUTE(SUBSTITUTE(SUBSTITUTE(IFERROR(INDEX('DADOS_FORMAS'!$AS$2:$AS$21,MATCH(SUBSTITUTE(SUBSTITUTE(SUBSTITUTE($MU139,"~","~~"),"*","~*"),"?","~?"),'DADOS_FORMAS'!$AH$2:$AH$21,0)),""),"~","~~"),"*","~*"),"?","~?"),'DADOS_RESTRICOES'!$M$2:$Q$54,2,FALSE),"")=$OK139,IFERROR(VLOOKUP(SUBSTITUTE(SUBSTITUTE(SUBSTITUTE(IFERROR(INDEX('DADOS_FORMAS'!$AS$2:$AS$21,MATCH(SUBSTITUTE(SUBSTITUTE(SUBSTITUTE($MU139,"~","~~"),"*","~*"),"?","~?"),'DADOS_FORMAS'!$AH$2:$AH$21,0)),""),"~","~~"),"*","~*"),"?","~?"),'DADOS_RESTRICOES'!$M$2:$Q$54,2,FALSE),"")=$OL139)),"Restrição repetida, contando a embutida",""),IF(IF(IFERROR(INDEX('DADOS_FORMAS'!$AS$2:$AS$21,MATCH(SUBSTITUTE(SUBSTITUTE(SUBSTITUTE($MU139,"~","~~"),"*","~*"),"?","~?"),'DADOS_FORMAS'!$AH$2:$AH$21,0)),"")="",0,IFERROR(N(VLOOKUP(SUBSTITUTE(SUBSTITUTE(SUBSTITUTE(IFERROR(INDEX('DADOS_FORMAS'!$AS$2:$AS$21,MATCH(SUBSTITUTE(SUBSTITUTE(SUBSTITUTE($MU139,"~","~~"),"*","~*"),"?","~?"),'DADOS_FORMAS'!$AH$2:$AH$21,0)),""),"~","~~"),"*","~*"),"?","~?"),'DADOS_RESTRICOES'!$M$2:$Q$54,4,FALSE)=1),0))+IF($NB139="",0,IFERROR(N(VLOOKUP(SUBSTITUTE(SUBSTITUTE(SUBSTITUTE($NB139,"~","~~"),"*","~*"),"?","~?"),'DADOS_RESTRICOES'!$M$2:$Q$54,4,FALSE)=1),0))+IF($NC139="",0,IFERROR(N(VLOOKUP(SUBSTITUTE(SUBSTITUTE(SUBSTITUTE($NC139,"~","~~"),"*","~*"),"?","~?"),'DADOS_RESTRICOES'!$M$2:$Q$54,4,FALSE)=1),0))&gt;1,"Duas Restrições de frequência, contando a embutida",""),IF(AND(IFERROR(VLOOKUP(SUBSTITUTE(SUBSTITUTE(SUBSTITUTE(IFERROR(INDEX('DADOS_FORMAS'!$AS$2:$AS$21,MATCH(SUBSTITUTE(SUBSTITUTE(SUBSTITUTE($MU139,"~","~~"),"*","~*"),"?","~?"),'DADOS_FORMAS'!$AH$2:$AH$21,0)),""),"~","~~"),"*","~*"),"?","~?"),'DADOS_RESTRICOES'!$M$2:$Q$54,2,FALSE),"")="Tudo ou Nada",$OH139=0),"Tudo ou Nada exige TR",""),IF(AND(IFERROR(VLOOKUP(SUBSTITUTE(SUBSTITUTE(SUBSTITUTE(IFERROR(INDEX('DADOS_FORMAS'!$AS$2:$AS$21,MATCH(SUBSTITUTE(SUBSTITUTE(SUBSTITUTE($MU139,"~","~~"),"*","~*"),"?","~?"),'DADOS_FORMAS'!$AH$2:$AH$21,0)),""),"~","~~"),"*","~*"),"?","~?"),'DADOS_RESTRICOES'!$M$2:$Q$54,2,FALSE),"")="Corpo a Corpo",OR($RO139="Cone",$RO139="Linha")),"Corpo a Corpo não entra em Cone/Linha","")))</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dela",IF(COUNTIF($RQ139:$RS139,"Atrasar")&gt;0,"Sua Ação Completa",IF(COUNTIF($RK139:$RN139,"Rápido")&gt;0,"Sua Bônus",IF(COUNTIF($RK139:$RN139,"Reação")&gt;0,"Sua Reação","Sua Padrão")))&amp;" + a básica dela"&amp;IF(COUNTIF($RK139:$RN139,"Reação")&gt;0," e a coletiva","")&amp;IF(COUNTIF($RQ139:$RS139,"Carregar")&gt;0," · em dois turnos","")))</f>
        <v/>
      </c>
      <c r="QC139" s="161">
        <f>IF($MW139&lt;&gt;"",$MW139,IF($NJ139=0,"",INDEX('DADOS_FORMAS'!$GE$2:$GE$21,$NJ139)))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IF($NJ139=0,0,CHOOSE(1+INDEX('DADOS_FORMAS'!$GG$2:$GG$21,$NJ139),0,$QF139,$QG139,$QF139+$QG139))</f>
        <v/>
      </c>
      <c r="QI139" s="161">
        <f>IF($NJ139=0,0,CHOOSE(1+INDEX('DADOS_FORMAS'!$GH$2:$GH$21,$NJ139),0,$QF139,$QG139,$QF139+$QG139))</f>
        <v/>
      </c>
      <c r="QJ139" s="161">
        <f>IF(OR($ND139=0,$NJ139=0),"",INDEX('DADOS_FORMAS'!$HU$2:$HZ$81,($NJ139-1)*4+IF($MS139=0,1,IF($MS139&lt;=5,2,IF($MS139=6,3,4))),1+MIN(5,$QH139))&amp;INDEX('DADOS_FORMAS'!$IA$2:$IF$81,($NJ139-1)*4+IF($MS139=0,1,IF($MS139&lt;=5,2,IF($MS139=6,3,4))),1+MIN(5,$QI139))&amp;IF(INDEX('DADOS_FORMAS'!$GI$2:$GI$21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c r="RO139">
        <f>IFERROR(INDEX('DADOS_FORMAS'!$BJ$2:$BJ$21,MATCH(SUBSTITUTE(SUBSTITUTE(SUBSTITUTE($MU139,"~","~~"),"*","~*"),"?","~?"),'DADOS_FORMAS'!$AH$2:$AH$21,0)),"")</f>
        <v/>
      </c>
      <c r="RP139">
        <f>IFERROR(VLOOKUP(SUBSTITUTE(SUBSTITUTE(SUBSTITUTE(IFERROR(INDEX('DADOS_FORMAS'!$AS$2:$AS$21,MATCH(SUBSTITUTE(SUBSTITUTE(SUBSTITUTE($MU139,"~","~~"),"*","~*"),"?","~?"),'DADOS_FORMAS'!$AH$2:$AH$21,0)),""),"~","~~"),"*","~*"),"?","~?"),'DADOS_RESTRICOES'!$M$2:$Q$54,2,FALSE),"")</f>
        <v/>
      </c>
      <c r="RQ139">
        <f>$OK139</f>
        <v/>
      </c>
      <c r="RR139">
        <f>$OL139</f>
        <v/>
      </c>
      <c r="RS139">
        <f>$RP139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IFERROR(MATCH(SUBSTITUTE(SUBSTITUTE(SUBSTITUTE($MU140,"~","~~"),"*","~*"),"?","~?"),'DADOS_FORMAS'!$FZ$2:$FZ$21,0),0)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IF($MS140=0,0,IF($NJ140=0,0,INDEX('DADOS_FORMAS'!$GB$2:$GB$21,$NJ140)))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IF($NJ140=0,0,IF(INDEX('DADOS_FORMAS'!$GA$2:$GA$21,$NJ140)="",0,IF((COUNTIF(INDEX($EL$2:$EP$13,$MO140,0),INDEX('DADOS_FORMAS'!$GA$2:$GA$21,$NJ140))+COUNTIF(INDEX($QV$2:$QY$13,$MO140,0),INDEX('DADOS_FORMAS'!$GA$2:$GA$21,$NJ140)))=0,1,0)))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IFERROR(N(AND(INDEX('DADOS_FORMAS'!$AO$2:$AO$21,MATCH(SUBSTITUTE(SUBSTITUTE(SUBSTITUTE($MU140,"~","~~"),"*","~*"),"?","~?"),'DADOS_FORMAS'!$AH$2:$AH$21,0))="Acerto",$OH140=1)),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IF($NJ140=0,0,INDEX('DADOS_FORMAS'!$GC$2:$GC$21,$NJ140))</f>
        <v/>
      </c>
      <c r="OG140" s="161">
        <f>IF($NJ140=0,0,INDEX('DADOS_FORMAS'!$GD$2:$GD$21,$NJ140))</f>
        <v/>
      </c>
      <c r="OH140" s="161">
        <f>IF($NJ140=0,0,INDEX('DADOS_FORMAS'!$GF$2:$GF$21,$NJ140))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IF(IFERROR(INDEX('DADOS_FORMAS'!$AS$2:$AS$21,MATCH(SUBSTITUTE(SUBSTITUTE(SUBSTITUTE($MU140,"~","~~"),"*","~*"),"?","~?"),'DADOS_FORMAS'!$AH$2:$AH$21,0)),"")="",0,IFERROR(N(VLOOKUP(SUBSTITUTE(SUBSTITUTE(SUBSTITUTE(IFERROR(INDEX('DADOS_FORMAS'!$AS$2:$AS$21,MATCH(SUBSTITUTE(SUBSTITUTE(SUBSTITUTE($MU140,"~","~~"),"*","~*"),"?","~?"),'DADOS_FORMAS'!$AH$2:$AH$21,0)),""),"~","~~"),"*","~*"),"?","~?"),'DADOS_RESTRICOES'!$M$2:$Q$54,3,FALSE)=1),0))</f>
        <v/>
      </c>
      <c r="OT140" s="161">
        <f>COUNTIF($OI140:$OJ140,2)+IF(IFERROR(INDEX('DADOS_FORMAS'!$AS$2:$AS$21,MATCH(SUBSTITUTE(SUBSTITUTE(SUBSTITUTE($MU140,"~","~~"),"*","~*"),"?","~?"),'DADOS_FORMAS'!$AH$2:$AH$21,0)),"")="",0,IFERROR(N(VLOOKUP(SUBSTITUTE(SUBSTITUTE(SUBSTITUTE(IFERROR(INDEX('DADOS_FORMAS'!$AS$2:$AS$21,MATCH(SUBSTITUTE(SUBSTITUTE(SUBSTITUTE($MU140,"~","~~"),"*","~*"),"?","~?"),'DADOS_FORMAS'!$AH$2:$AH$21,0)),""),"~","~~"),"*","~*"),"?","~?"),'DADOS_RESTRICOES'!$M$2:$Q$54,3,FALSE)=2),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",TRUE,IF($ND140=0,"",TEXTJOIN(" · ",TRUE,IF($MQ140&gt;$NE140,"Este lugar abre no nível "&amp;$MQ140,""),IF($MS140&gt;$NF140,"Classe "&amp;$MS140&amp;": o nível "&amp;$NE140&amp;" libera até a "&amp;$NF140,""),IF($NX140=1,"A Forma "&amp;$MU140&amp;" pede "&amp;INDEX('DADOS_FORMAS'!$GA$2:$GA$21,$NJ140)&amp;" aberta",""),IF(AND($MS140=0,$NJ140&gt;0,IF($NJ140=0,0,INDEX('DADOS_FORMAS'!$GJ$2:$GJ$21,$NJ140))=0),$MU140&amp;"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Corpo")&gt;0,$OF140=0,OR($RO140="Cone",$RO140="Linha")),"Corpo a Corpo não entra em "&amp;$MU140,""),IF(AND(COUNTIF($OK140:$OL140,"Corpo a Corpo")&gt;0,$RP140="Corpo a Corpo"),"A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"&amp;$NC140,""))),IF(AND($MU140&lt;&gt;"",COUNTIF('DADOS_FORMAS'!$AH$2:$AH$21,SUBSTITUTE(SUBSTITUTE(SUBSTITUTE($MU140,"~","~~"),"*","~*"),"?","~?"))=0),"Forma não cadastrada ou com erro: "&amp;$MU140,""),IF(AND(IFERROR(INDEX('DADOS_FORMAS'!$AS$2:$AS$21,MATCH(SUBSTITUTE(SUBSTITUTE(SUBSTITUTE($MU140,"~","~~"),"*","~*"),"?","~?"),'DADOS_FORMAS'!$AH$2:$AH$21,0)),"")&lt;&gt;"",OR(IFERROR(VLOOKUP(SUBSTITUTE(SUBSTITUTE(SUBSTITUTE(IFERROR(INDEX('DADOS_FORMAS'!$AS$2:$AS$21,MATCH(SUBSTITUTE(SUBSTITUTE(SUBSTITUTE($MU140,"~","~~"),"*","~*"),"?","~?"),'DADOS_FORMAS'!$AH$2:$AH$21,0)),""),"~","~~"),"*","~*"),"?","~?"),'DADOS_RESTRICOES'!$M$2:$Q$54,2,FALSE),"")=$OK140,IFERROR(VLOOKUP(SUBSTITUTE(SUBSTITUTE(SUBSTITUTE(IFERROR(INDEX('DADOS_FORMAS'!$AS$2:$AS$21,MATCH(SUBSTITUTE(SUBSTITUTE(SUBSTITUTE($MU140,"~","~~"),"*","~*"),"?","~?"),'DADOS_FORMAS'!$AH$2:$AH$21,0)),""),"~","~~"),"*","~*"),"?","~?"),'DADOS_RESTRICOES'!$M$2:$Q$54,2,FALSE),"")=$OL140)),"Restrição repetida, contando a embutida",""),IF(IF(IFERROR(INDEX('DADOS_FORMAS'!$AS$2:$AS$21,MATCH(SUBSTITUTE(SUBSTITUTE(SUBSTITUTE($MU140,"~","~~"),"*","~*"),"?","~?"),'DADOS_FORMAS'!$AH$2:$AH$21,0)),"")="",0,IFERROR(N(VLOOKUP(SUBSTITUTE(SUBSTITUTE(SUBSTITUTE(IFERROR(INDEX('DADOS_FORMAS'!$AS$2:$AS$21,MATCH(SUBSTITUTE(SUBSTITUTE(SUBSTITUTE($MU140,"~","~~"),"*","~*"),"?","~?"),'DADOS_FORMAS'!$AH$2:$AH$21,0)),""),"~","~~"),"*","~*"),"?","~?"),'DADOS_RESTRICOES'!$M$2:$Q$54,4,FALSE)=1),0))+IF($NB140="",0,IFERROR(N(VLOOKUP(SUBSTITUTE(SUBSTITUTE(SUBSTITUTE($NB140,"~","~~"),"*","~*"),"?","~?"),'DADOS_RESTRICOES'!$M$2:$Q$54,4,FALSE)=1),0))+IF($NC140="",0,IFERROR(N(VLOOKUP(SUBSTITUTE(SUBSTITUTE(SUBSTITUTE($NC140,"~","~~"),"*","~*"),"?","~?"),'DADOS_RESTRICOES'!$M$2:$Q$54,4,FALSE)=1),0))&gt;1,"Duas Restrições de frequência, contando a embutida",""),IF(AND(IFERROR(VLOOKUP(SUBSTITUTE(SUBSTITUTE(SUBSTITUTE(IFERROR(INDEX('DADOS_FORMAS'!$AS$2:$AS$21,MATCH(SUBSTITUTE(SUBSTITUTE(SUBSTITUTE($MU140,"~","~~"),"*","~*"),"?","~?"),'DADOS_FORMAS'!$AH$2:$AH$21,0)),""),"~","~~"),"*","~*"),"?","~?"),'DADOS_RESTRICOES'!$M$2:$Q$54,2,FALSE),"")="Tudo ou Nada",$OH140=0),"Tudo ou Nada exige TR",""),IF(AND(IFERROR(VLOOKUP(SUBSTITUTE(SUBSTITUTE(SUBSTITUTE(IFERROR(INDEX('DADOS_FORMAS'!$AS$2:$AS$21,MATCH(SUBSTITUTE(SUBSTITUTE(SUBSTITUTE($MU140,"~","~~"),"*","~*"),"?","~?"),'DADOS_FORMAS'!$AH$2:$AH$21,0)),""),"~","~~"),"*","~*"),"?","~?"),'DADOS_RESTRICOES'!$M$2:$Q$54,2,FALSE),"")="Corpo a Corpo",OR($RO140="Cone",$RO140="Linha")),"Corpo a Corpo não entra em Cone/Linha","")))</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dela",IF(COUNTIF($RQ140:$RS140,"Atrasar")&gt;0,"Sua Ação Completa",IF(COUNTIF($RK140:$RN140,"Rápido")&gt;0,"Sua Bônus",IF(COUNTIF($RK140:$RN140,"Reação")&gt;0,"Sua Reação","Sua Padrão")))&amp;" + a básica dela"&amp;IF(COUNTIF($RK140:$RN140,"Reação")&gt;0," e a coletiva","")&amp;IF(COUNTIF($RQ140:$RS140,"Carregar")&gt;0," · em dois turnos","")))</f>
        <v/>
      </c>
      <c r="QC140" s="161">
        <f>IF($MW140&lt;&gt;"",$MW140,IF($NJ140=0,"",INDEX('DADOS_FORMAS'!$GE$2:$GE$21,$NJ140)))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IF($NJ140=0,0,CHOOSE(1+INDEX('DADOS_FORMAS'!$GG$2:$GG$21,$NJ140),0,$QF140,$QG140,$QF140+$QG140))</f>
        <v/>
      </c>
      <c r="QI140" s="161">
        <f>IF($NJ140=0,0,CHOOSE(1+INDEX('DADOS_FORMAS'!$GH$2:$GH$21,$NJ140),0,$QF140,$QG140,$QF140+$QG140))</f>
        <v/>
      </c>
      <c r="QJ140" s="161">
        <f>IF(OR($ND140=0,$NJ140=0),"",INDEX('DADOS_FORMAS'!$HU$2:$HZ$81,($NJ140-1)*4+IF($MS140=0,1,IF($MS140&lt;=5,2,IF($MS140=6,3,4))),1+MIN(5,$QH140))&amp;INDEX('DADOS_FORMAS'!$IA$2:$IF$81,($NJ140-1)*4+IF($MS140=0,1,IF($MS140&lt;=5,2,IF($MS140=6,3,4))),1+MIN(5,$QI140))&amp;IF(INDEX('DADOS_FORMAS'!$GI$2:$GI$21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c r="RO140">
        <f>IFERROR(INDEX('DADOS_FORMAS'!$BJ$2:$BJ$21,MATCH(SUBSTITUTE(SUBSTITUTE(SUBSTITUTE($MU140,"~","~~"),"*","~*"),"?","~?"),'DADOS_FORMAS'!$AH$2:$AH$21,0)),"")</f>
        <v/>
      </c>
      <c r="RP140">
        <f>IFERROR(VLOOKUP(SUBSTITUTE(SUBSTITUTE(SUBSTITUTE(IFERROR(INDEX('DADOS_FORMAS'!$AS$2:$AS$21,MATCH(SUBSTITUTE(SUBSTITUTE(SUBSTITUTE($MU140,"~","~~"),"*","~*"),"?","~?"),'DADOS_FORMAS'!$AH$2:$AH$21,0)),""),"~","~~"),"*","~*"),"?","~?"),'DADOS_RESTRICOES'!$M$2:$Q$54,2,FALSE),"")</f>
        <v/>
      </c>
      <c r="RQ140">
        <f>$OK140</f>
        <v/>
      </c>
      <c r="RR140">
        <f>$OL140</f>
        <v/>
      </c>
      <c r="RS140">
        <f>$RP140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IFERROR(MATCH(SUBSTITUTE(SUBSTITUTE(SUBSTITUTE($MU141,"~","~~"),"*","~*"),"?","~?"),'DADOS_FORMAS'!$FZ$2:$FZ$21,0),0)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IF($MS141=0,0,IF($NJ141=0,0,INDEX('DADOS_FORMAS'!$GB$2:$GB$21,$NJ141)))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IF($NJ141=0,0,IF(INDEX('DADOS_FORMAS'!$GA$2:$GA$21,$NJ141)="",0,IF((COUNTIF(INDEX($EL$2:$EP$13,$MO141,0),INDEX('DADOS_FORMAS'!$GA$2:$GA$21,$NJ141))+COUNTIF(INDEX($QV$2:$QY$13,$MO141,0),INDEX('DADOS_FORMAS'!$GA$2:$GA$21,$NJ141)))=0,1,0)))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IFERROR(N(AND(INDEX('DADOS_FORMAS'!$AO$2:$AO$21,MATCH(SUBSTITUTE(SUBSTITUTE(SUBSTITUTE($MU141,"~","~~"),"*","~*"),"?","~?"),'DADOS_FORMAS'!$AH$2:$AH$21,0))="Acerto",$OH141=1)),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IF($NJ141=0,0,INDEX('DADOS_FORMAS'!$GC$2:$GC$21,$NJ141))</f>
        <v/>
      </c>
      <c r="OG141" s="161">
        <f>IF($NJ141=0,0,INDEX('DADOS_FORMAS'!$GD$2:$GD$21,$NJ141))</f>
        <v/>
      </c>
      <c r="OH141" s="161">
        <f>IF($NJ141=0,0,INDEX('DADOS_FORMAS'!$GF$2:$GF$21,$NJ141))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IF(IFERROR(INDEX('DADOS_FORMAS'!$AS$2:$AS$21,MATCH(SUBSTITUTE(SUBSTITUTE(SUBSTITUTE($MU141,"~","~~"),"*","~*"),"?","~?"),'DADOS_FORMAS'!$AH$2:$AH$21,0)),"")="",0,IFERROR(N(VLOOKUP(SUBSTITUTE(SUBSTITUTE(SUBSTITUTE(IFERROR(INDEX('DADOS_FORMAS'!$AS$2:$AS$21,MATCH(SUBSTITUTE(SUBSTITUTE(SUBSTITUTE($MU141,"~","~~"),"*","~*"),"?","~?"),'DADOS_FORMAS'!$AH$2:$AH$21,0)),""),"~","~~"),"*","~*"),"?","~?"),'DADOS_RESTRICOES'!$M$2:$Q$54,3,FALSE)=1),0))</f>
        <v/>
      </c>
      <c r="OT141" s="161">
        <f>COUNTIF($OI141:$OJ141,2)+IF(IFERROR(INDEX('DADOS_FORMAS'!$AS$2:$AS$21,MATCH(SUBSTITUTE(SUBSTITUTE(SUBSTITUTE($MU141,"~","~~"),"*","~*"),"?","~?"),'DADOS_FORMAS'!$AH$2:$AH$21,0)),"")="",0,IFERROR(N(VLOOKUP(SUBSTITUTE(SUBSTITUTE(SUBSTITUTE(IFERROR(INDEX('DADOS_FORMAS'!$AS$2:$AS$21,MATCH(SUBSTITUTE(SUBSTITUTE(SUBSTITUTE($MU141,"~","~~"),"*","~*"),"?","~?"),'DADOS_FORMAS'!$AH$2:$AH$21,0)),""),"~","~~"),"*","~*"),"?","~?"),'DADOS_RESTRICOES'!$M$2:$Q$54,3,FALSE)=2),0))</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",TRUE,IF($ND141=0,"",TEXTJOIN(" · ",TRUE,IF($MQ141&gt;$NE141,"Este lugar abre no nível "&amp;$MQ141,""),IF($MS141&gt;$NF141,"Classe "&amp;$MS141&amp;": o nível "&amp;$NE141&amp;" libera até a "&amp;$NF141,""),IF($NX141=1,"A Forma "&amp;$MU141&amp;" pede "&amp;INDEX('DADOS_FORMAS'!$GA$2:$GA$21,$NJ141)&amp;" aberta",""),IF(AND($MS141=0,$NJ141&gt;0,IF($NJ141=0,0,INDEX('DADOS_FORMAS'!$GJ$2:$GJ$21,$NJ141))=0),$MU141&amp;"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Corpo")&gt;0,$OF141=0,OR($RO141="Cone",$RO141="Linha")),"Corpo a Corpo não entra em "&amp;$MU141,""),IF(AND(COUNTIF($OK141:$OL141,"Corpo a Corpo")&gt;0,$RP141="Corpo a Corpo"),"A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"&amp;$NC141,""))),IF(AND($MU141&lt;&gt;"",COUNTIF('DADOS_FORMAS'!$AH$2:$AH$21,SUBSTITUTE(SUBSTITUTE(SUBSTITUTE($MU141,"~","~~"),"*","~*"),"?","~?"))=0),"Forma não cadastrada ou com erro: "&amp;$MU141,""),IF(AND(IFERROR(INDEX('DADOS_FORMAS'!$AS$2:$AS$21,MATCH(SUBSTITUTE(SUBSTITUTE(SUBSTITUTE($MU141,"~","~~"),"*","~*"),"?","~?"),'DADOS_FORMAS'!$AH$2:$AH$21,0)),"")&lt;&gt;"",OR(IFERROR(VLOOKUP(SUBSTITUTE(SUBSTITUTE(SUBSTITUTE(IFERROR(INDEX('DADOS_FORMAS'!$AS$2:$AS$21,MATCH(SUBSTITUTE(SUBSTITUTE(SUBSTITUTE($MU141,"~","~~"),"*","~*"),"?","~?"),'DADOS_FORMAS'!$AH$2:$AH$21,0)),""),"~","~~"),"*","~*"),"?","~?"),'DADOS_RESTRICOES'!$M$2:$Q$54,2,FALSE),"")=$OK141,IFERROR(VLOOKUP(SUBSTITUTE(SUBSTITUTE(SUBSTITUTE(IFERROR(INDEX('DADOS_FORMAS'!$AS$2:$AS$21,MATCH(SUBSTITUTE(SUBSTITUTE(SUBSTITUTE($MU141,"~","~~"),"*","~*"),"?","~?"),'DADOS_FORMAS'!$AH$2:$AH$21,0)),""),"~","~~"),"*","~*"),"?","~?"),'DADOS_RESTRICOES'!$M$2:$Q$54,2,FALSE),"")=$OL141)),"Restrição repetida, contando a embutida",""),IF(IF(IFERROR(INDEX('DADOS_FORMAS'!$AS$2:$AS$21,MATCH(SUBSTITUTE(SUBSTITUTE(SUBSTITUTE($MU141,"~","~~"),"*","~*"),"?","~?"),'DADOS_FORMAS'!$AH$2:$AH$21,0)),"")="",0,IFERROR(N(VLOOKUP(SUBSTITUTE(SUBSTITUTE(SUBSTITUTE(IFERROR(INDEX('DADOS_FORMAS'!$AS$2:$AS$21,MATCH(SUBSTITUTE(SUBSTITUTE(SUBSTITUTE($MU141,"~","~~"),"*","~*"),"?","~?"),'DADOS_FORMAS'!$AH$2:$AH$21,0)),""),"~","~~"),"*","~*"),"?","~?"),'DADOS_RESTRICOES'!$M$2:$Q$54,4,FALSE)=1),0))+IF($NB141="",0,IFERROR(N(VLOOKUP(SUBSTITUTE(SUBSTITUTE(SUBSTITUTE($NB141,"~","~~"),"*","~*"),"?","~?"),'DADOS_RESTRICOES'!$M$2:$Q$54,4,FALSE)=1),0))+IF($NC141="",0,IFERROR(N(VLOOKUP(SUBSTITUTE(SUBSTITUTE(SUBSTITUTE($NC141,"~","~~"),"*","~*"),"?","~?"),'DADOS_RESTRICOES'!$M$2:$Q$54,4,FALSE)=1),0))&gt;1,"Duas Restrições de frequência, contando a embutida",""),IF(AND(IFERROR(VLOOKUP(SUBSTITUTE(SUBSTITUTE(SUBSTITUTE(IFERROR(INDEX('DADOS_FORMAS'!$AS$2:$AS$21,MATCH(SUBSTITUTE(SUBSTITUTE(SUBSTITUTE($MU141,"~","~~"),"*","~*"),"?","~?"),'DADOS_FORMAS'!$AH$2:$AH$21,0)),""),"~","~~"),"*","~*"),"?","~?"),'DADOS_RESTRICOES'!$M$2:$Q$54,2,FALSE),"")="Tudo ou Nada",$OH141=0),"Tudo ou Nada exige TR",""),IF(AND(IFERROR(VLOOKUP(SUBSTITUTE(SUBSTITUTE(SUBSTITUTE(IFERROR(INDEX('DADOS_FORMAS'!$AS$2:$AS$21,MATCH(SUBSTITUTE(SUBSTITUTE(SUBSTITUTE($MU141,"~","~~"),"*","~*"),"?","~?"),'DADOS_FORMAS'!$AH$2:$AH$21,0)),""),"~","~~"),"*","~*"),"?","~?"),'DADOS_RESTRICOES'!$M$2:$Q$54,2,FALSE),"")="Corpo a Corpo",OR($RO141="Cone",$RO141="Linha")),"Corpo a Corpo não entra em Cone/Linha","")))</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dela",IF(COUNTIF($RQ141:$RS141,"Atrasar")&gt;0,"Sua Ação Completa",IF(COUNTIF($RK141:$RN141,"Rápido")&gt;0,"Sua Bônus",IF(COUNTIF($RK141:$RN141,"Reação")&gt;0,"Sua Reação","Sua Padrão")))&amp;" + a básica dela"&amp;IF(COUNTIF($RK141:$RN141,"Reação")&gt;0," e a coletiva","")&amp;IF(COUNTIF($RQ141:$RS141,"Carregar")&gt;0," · em dois turnos","")))</f>
        <v/>
      </c>
      <c r="QC141" s="161">
        <f>IF($MW141&lt;&gt;"",$MW141,IF($NJ141=0,"",INDEX('DADOS_FORMAS'!$GE$2:$GE$21,$NJ141)))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IF($NJ141=0,0,CHOOSE(1+INDEX('DADOS_FORMAS'!$GG$2:$GG$21,$NJ141),0,$QF141,$QG141,$QF141+$QG141))</f>
        <v/>
      </c>
      <c r="QI141" s="161">
        <f>IF($NJ141=0,0,CHOOSE(1+INDEX('DADOS_FORMAS'!$GH$2:$GH$21,$NJ141),0,$QF141,$QG141,$QF141+$QG141))</f>
        <v/>
      </c>
      <c r="QJ141" s="161">
        <f>IF(OR($ND141=0,$NJ141=0),"",INDEX('DADOS_FORMAS'!$HU$2:$HZ$81,($NJ141-1)*4+IF($MS141=0,1,IF($MS141&lt;=5,2,IF($MS141=6,3,4))),1+MIN(5,$QH141))&amp;INDEX('DADOS_FORMAS'!$IA$2:$IF$81,($NJ141-1)*4+IF($MS141=0,1,IF($MS141&lt;=5,2,IF($MS141=6,3,4))),1+MIN(5,$QI141))&amp;IF(INDEX('DADOS_FORMAS'!$GI$2:$GI$21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c r="RO141">
        <f>IFERROR(INDEX('DADOS_FORMAS'!$BJ$2:$BJ$21,MATCH(SUBSTITUTE(SUBSTITUTE(SUBSTITUTE($MU141,"~","~~"),"*","~*"),"?","~?"),'DADOS_FORMAS'!$AH$2:$AH$21,0)),"")</f>
        <v/>
      </c>
      <c r="RP141">
        <f>IFERROR(VLOOKUP(SUBSTITUTE(SUBSTITUTE(SUBSTITUTE(IFERROR(INDEX('DADOS_FORMAS'!$AS$2:$AS$21,MATCH(SUBSTITUTE(SUBSTITUTE(SUBSTITUTE($MU141,"~","~~"),"*","~*"),"?","~?"),'DADOS_FORMAS'!$AH$2:$AH$21,0)),""),"~","~~"),"*","~*"),"?","~?"),'DADOS_RESTRICOES'!$M$2:$Q$54,2,FALSE),"")</f>
        <v/>
      </c>
      <c r="RQ141">
        <f>$OK141</f>
        <v/>
      </c>
      <c r="RR141">
        <f>$OL141</f>
        <v/>
      </c>
      <c r="RS141">
        <f>$RP141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IFERROR(MATCH(SUBSTITUTE(SUBSTITUTE(SUBSTITUTE($MU142,"~","~~"),"*","~*"),"?","~?"),'DADOS_FORMAS'!$FZ$2:$FZ$21,0),0)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IF($MS142=0,0,IF($NJ142=0,0,INDEX('DADOS_FORMAS'!$GB$2:$GB$21,$NJ142)))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IF($NJ142=0,0,IF(INDEX('DADOS_FORMAS'!$GA$2:$GA$21,$NJ142)="",0,IF((COUNTIF(INDEX($EL$2:$EP$13,$MO142,0),INDEX('DADOS_FORMAS'!$GA$2:$GA$21,$NJ142))+COUNTIF(INDEX($QV$2:$QY$13,$MO142,0),INDEX('DADOS_FORMAS'!$GA$2:$GA$21,$NJ142)))=0,1,0)))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IFERROR(N(AND(INDEX('DADOS_FORMAS'!$AO$2:$AO$21,MATCH(SUBSTITUTE(SUBSTITUTE(SUBSTITUTE($MU142,"~","~~"),"*","~*"),"?","~?"),'DADOS_FORMAS'!$AH$2:$AH$21,0))="Acerto",$OH142=1)),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IF($NJ142=0,0,INDEX('DADOS_FORMAS'!$GC$2:$GC$21,$NJ142))</f>
        <v/>
      </c>
      <c r="OG142" s="161">
        <f>IF($NJ142=0,0,INDEX('DADOS_FORMAS'!$GD$2:$GD$21,$NJ142))</f>
        <v/>
      </c>
      <c r="OH142" s="161">
        <f>IF($NJ142=0,0,INDEX('DADOS_FORMAS'!$GF$2:$GF$21,$NJ142))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IF(IFERROR(INDEX('DADOS_FORMAS'!$AS$2:$AS$21,MATCH(SUBSTITUTE(SUBSTITUTE(SUBSTITUTE($MU142,"~","~~"),"*","~*"),"?","~?"),'DADOS_FORMAS'!$AH$2:$AH$21,0)),"")="",0,IFERROR(N(VLOOKUP(SUBSTITUTE(SUBSTITUTE(SUBSTITUTE(IFERROR(INDEX('DADOS_FORMAS'!$AS$2:$AS$21,MATCH(SUBSTITUTE(SUBSTITUTE(SUBSTITUTE($MU142,"~","~~"),"*","~*"),"?","~?"),'DADOS_FORMAS'!$AH$2:$AH$21,0)),""),"~","~~"),"*","~*"),"?","~?"),'DADOS_RESTRICOES'!$M$2:$Q$54,3,FALSE)=1),0))</f>
        <v/>
      </c>
      <c r="OT142" s="161">
        <f>COUNTIF($OI142:$OJ142,2)+IF(IFERROR(INDEX('DADOS_FORMAS'!$AS$2:$AS$21,MATCH(SUBSTITUTE(SUBSTITUTE(SUBSTITUTE($MU142,"~","~~"),"*","~*"),"?","~?"),'DADOS_FORMAS'!$AH$2:$AH$21,0)),"")="",0,IFERROR(N(VLOOKUP(SUBSTITUTE(SUBSTITUTE(SUBSTITUTE(IFERROR(INDEX('DADOS_FORMAS'!$AS$2:$AS$21,MATCH(SUBSTITUTE(SUBSTITUTE(SUBSTITUTE($MU142,"~","~~"),"*","~*"),"?","~?"),'DADOS_FORMAS'!$AH$2:$AH$21,0)),""),"~","~~"),"*","~*"),"?","~?"),'DADOS_RESTRICOES'!$M$2:$Q$54,3,FALSE)=2),0))</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",TRUE,IF($ND142=0,"",TEXTJOIN(" · ",TRUE,IF($MQ142&gt;$NE142,"Este lugar abre no nível "&amp;$MQ142,""),IF($MS142&gt;$NF142,"Classe "&amp;$MS142&amp;": o nível "&amp;$NE142&amp;" libera até a "&amp;$NF142,""),IF($NX142=1,"A Forma "&amp;$MU142&amp;" pede "&amp;INDEX('DADOS_FORMAS'!$GA$2:$GA$21,$NJ142)&amp;" aberta",""),IF(AND($MS142=0,$NJ142&gt;0,IF($NJ142=0,0,INDEX('DADOS_FORMAS'!$GJ$2:$GJ$21,$NJ142))=0),$MU142&amp;"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Corpo")&gt;0,$OF142=0,OR($RO142="Cone",$RO142="Linha")),"Corpo a Corpo não entra em "&amp;$MU142,""),IF(AND(COUNTIF($OK142:$OL142,"Corpo a Corpo")&gt;0,$RP142="Corpo a Corpo"),"A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"&amp;$NC142,""))),IF(AND($MU142&lt;&gt;"",COUNTIF('DADOS_FORMAS'!$AH$2:$AH$21,SUBSTITUTE(SUBSTITUTE(SUBSTITUTE($MU142,"~","~~"),"*","~*"),"?","~?"))=0),"Forma não cadastrada ou com erro: "&amp;$MU142,""),IF(AND(IFERROR(INDEX('DADOS_FORMAS'!$AS$2:$AS$21,MATCH(SUBSTITUTE(SUBSTITUTE(SUBSTITUTE($MU142,"~","~~"),"*","~*"),"?","~?"),'DADOS_FORMAS'!$AH$2:$AH$21,0)),"")&lt;&gt;"",OR(IFERROR(VLOOKUP(SUBSTITUTE(SUBSTITUTE(SUBSTITUTE(IFERROR(INDEX('DADOS_FORMAS'!$AS$2:$AS$21,MATCH(SUBSTITUTE(SUBSTITUTE(SUBSTITUTE($MU142,"~","~~"),"*","~*"),"?","~?"),'DADOS_FORMAS'!$AH$2:$AH$21,0)),""),"~","~~"),"*","~*"),"?","~?"),'DADOS_RESTRICOES'!$M$2:$Q$54,2,FALSE),"")=$OK142,IFERROR(VLOOKUP(SUBSTITUTE(SUBSTITUTE(SUBSTITUTE(IFERROR(INDEX('DADOS_FORMAS'!$AS$2:$AS$21,MATCH(SUBSTITUTE(SUBSTITUTE(SUBSTITUTE($MU142,"~","~~"),"*","~*"),"?","~?"),'DADOS_FORMAS'!$AH$2:$AH$21,0)),""),"~","~~"),"*","~*"),"?","~?"),'DADOS_RESTRICOES'!$M$2:$Q$54,2,FALSE),"")=$OL142)),"Restrição repetida, contando a embutida",""),IF(IF(IFERROR(INDEX('DADOS_FORMAS'!$AS$2:$AS$21,MATCH(SUBSTITUTE(SUBSTITUTE(SUBSTITUTE($MU142,"~","~~"),"*","~*"),"?","~?"),'DADOS_FORMAS'!$AH$2:$AH$21,0)),"")="",0,IFERROR(N(VLOOKUP(SUBSTITUTE(SUBSTITUTE(SUBSTITUTE(IFERROR(INDEX('DADOS_FORMAS'!$AS$2:$AS$21,MATCH(SUBSTITUTE(SUBSTITUTE(SUBSTITUTE($MU142,"~","~~"),"*","~*"),"?","~?"),'DADOS_FORMAS'!$AH$2:$AH$21,0)),""),"~","~~"),"*","~*"),"?","~?"),'DADOS_RESTRICOES'!$M$2:$Q$54,4,FALSE)=1),0))+IF($NB142="",0,IFERROR(N(VLOOKUP(SUBSTITUTE(SUBSTITUTE(SUBSTITUTE($NB142,"~","~~"),"*","~*"),"?","~?"),'DADOS_RESTRICOES'!$M$2:$Q$54,4,FALSE)=1),0))+IF($NC142="",0,IFERROR(N(VLOOKUP(SUBSTITUTE(SUBSTITUTE(SUBSTITUTE($NC142,"~","~~"),"*","~*"),"?","~?"),'DADOS_RESTRICOES'!$M$2:$Q$54,4,FALSE)=1),0))&gt;1,"Duas Restrições de frequência, contando a embutida",""),IF(AND(IFERROR(VLOOKUP(SUBSTITUTE(SUBSTITUTE(SUBSTITUTE(IFERROR(INDEX('DADOS_FORMAS'!$AS$2:$AS$21,MATCH(SUBSTITUTE(SUBSTITUTE(SUBSTITUTE($MU142,"~","~~"),"*","~*"),"?","~?"),'DADOS_FORMAS'!$AH$2:$AH$21,0)),""),"~","~~"),"*","~*"),"?","~?"),'DADOS_RESTRICOES'!$M$2:$Q$54,2,FALSE),"")="Tudo ou Nada",$OH142=0),"Tudo ou Nada exige TR",""),IF(AND(IFERROR(VLOOKUP(SUBSTITUTE(SUBSTITUTE(SUBSTITUTE(IFERROR(INDEX('DADOS_FORMAS'!$AS$2:$AS$21,MATCH(SUBSTITUTE(SUBSTITUTE(SUBSTITUTE($MU142,"~","~~"),"*","~*"),"?","~?"),'DADOS_FORMAS'!$AH$2:$AH$21,0)),""),"~","~~"),"*","~*"),"?","~?"),'DADOS_RESTRICOES'!$M$2:$Q$54,2,FALSE),"")="Corpo a Corpo",OR($RO142="Cone",$RO142="Linha")),"Corpo a Corpo não entra em Cone/Linha","")))</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dela",IF(COUNTIF($RQ142:$RS142,"Atrasar")&gt;0,"Sua Ação Completa",IF(COUNTIF($RK142:$RN142,"Rápido")&gt;0,"Sua Bônus",IF(COUNTIF($RK142:$RN142,"Reação")&gt;0,"Sua Reação","Sua Padrão")))&amp;" + a básica dela"&amp;IF(COUNTIF($RK142:$RN142,"Reação")&gt;0," e a coletiva","")&amp;IF(COUNTIF($RQ142:$RS142,"Carregar")&gt;0," · em dois turnos","")))</f>
        <v/>
      </c>
      <c r="QC142" s="161">
        <f>IF($MW142&lt;&gt;"",$MW142,IF($NJ142=0,"",INDEX('DADOS_FORMAS'!$GE$2:$GE$21,$NJ142)))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IF($NJ142=0,0,CHOOSE(1+INDEX('DADOS_FORMAS'!$GG$2:$GG$21,$NJ142),0,$QF142,$QG142,$QF142+$QG142))</f>
        <v/>
      </c>
      <c r="QI142" s="161">
        <f>IF($NJ142=0,0,CHOOSE(1+INDEX('DADOS_FORMAS'!$GH$2:$GH$21,$NJ142),0,$QF142,$QG142,$QF142+$QG142))</f>
        <v/>
      </c>
      <c r="QJ142" s="161">
        <f>IF(OR($ND142=0,$NJ142=0),"",INDEX('DADOS_FORMAS'!$HU$2:$HZ$81,($NJ142-1)*4+IF($MS142=0,1,IF($MS142&lt;=5,2,IF($MS142=6,3,4))),1+MIN(5,$QH142))&amp;INDEX('DADOS_FORMAS'!$IA$2:$IF$81,($NJ142-1)*4+IF($MS142=0,1,IF($MS142&lt;=5,2,IF($MS142=6,3,4))),1+MIN(5,$QI142))&amp;IF(INDEX('DADOS_FORMAS'!$GI$2:$GI$21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c r="RO142">
        <f>IFERROR(INDEX('DADOS_FORMAS'!$BJ$2:$BJ$21,MATCH(SUBSTITUTE(SUBSTITUTE(SUBSTITUTE($MU142,"~","~~"),"*","~*"),"?","~?"),'DADOS_FORMAS'!$AH$2:$AH$21,0)),"")</f>
        <v/>
      </c>
      <c r="RP142">
        <f>IFERROR(VLOOKUP(SUBSTITUTE(SUBSTITUTE(SUBSTITUTE(IFERROR(INDEX('DADOS_FORMAS'!$AS$2:$AS$21,MATCH(SUBSTITUTE(SUBSTITUTE(SUBSTITUTE($MU142,"~","~~"),"*","~*"),"?","~?"),'DADOS_FORMAS'!$AH$2:$AH$21,0)),""),"~","~~"),"*","~*"),"?","~?"),'DADOS_RESTRICOES'!$M$2:$Q$54,2,FALSE),"")</f>
        <v/>
      </c>
      <c r="RQ142">
        <f>$OK142</f>
        <v/>
      </c>
      <c r="RR142">
        <f>$OL142</f>
        <v/>
      </c>
      <c r="RS142">
        <f>$RP142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IFERROR(MATCH(SUBSTITUTE(SUBSTITUTE(SUBSTITUTE($MU143,"~","~~"),"*","~*"),"?","~?"),'DADOS_FORMAS'!$FZ$2:$FZ$21,0),0)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IF($MS143=0,0,IF($NJ143=0,0,INDEX('DADOS_FORMAS'!$GB$2:$GB$21,$NJ143)))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IF($NJ143=0,0,IF(INDEX('DADOS_FORMAS'!$GA$2:$GA$21,$NJ143)="",0,IF((COUNTIF(INDEX($EL$2:$EP$13,$MO143,0),INDEX('DADOS_FORMAS'!$GA$2:$GA$21,$NJ143))+COUNTIF(INDEX($QV$2:$QY$13,$MO143,0),INDEX('DADOS_FORMAS'!$GA$2:$GA$21,$NJ143)))=0,1,0)))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IFERROR(N(AND(INDEX('DADOS_FORMAS'!$AO$2:$AO$21,MATCH(SUBSTITUTE(SUBSTITUTE(SUBSTITUTE($MU143,"~","~~"),"*","~*"),"?","~?"),'DADOS_FORMAS'!$AH$2:$AH$21,0))="Acerto",$OH143=1)),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IF($NJ143=0,0,INDEX('DADOS_FORMAS'!$GC$2:$GC$21,$NJ143))</f>
        <v/>
      </c>
      <c r="OG143" s="161">
        <f>IF($NJ143=0,0,INDEX('DADOS_FORMAS'!$GD$2:$GD$21,$NJ143))</f>
        <v/>
      </c>
      <c r="OH143" s="161">
        <f>IF($NJ143=0,0,INDEX('DADOS_FORMAS'!$GF$2:$GF$21,$NJ143))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IF(IFERROR(INDEX('DADOS_FORMAS'!$AS$2:$AS$21,MATCH(SUBSTITUTE(SUBSTITUTE(SUBSTITUTE($MU143,"~","~~"),"*","~*"),"?","~?"),'DADOS_FORMAS'!$AH$2:$AH$21,0)),"")="",0,IFERROR(N(VLOOKUP(SUBSTITUTE(SUBSTITUTE(SUBSTITUTE(IFERROR(INDEX('DADOS_FORMAS'!$AS$2:$AS$21,MATCH(SUBSTITUTE(SUBSTITUTE(SUBSTITUTE($MU143,"~","~~"),"*","~*"),"?","~?"),'DADOS_FORMAS'!$AH$2:$AH$21,0)),""),"~","~~"),"*","~*"),"?","~?"),'DADOS_RESTRICOES'!$M$2:$Q$54,3,FALSE)=1),0))</f>
        <v/>
      </c>
      <c r="OT143" s="161">
        <f>COUNTIF($OI143:$OJ143,2)+IF(IFERROR(INDEX('DADOS_FORMAS'!$AS$2:$AS$21,MATCH(SUBSTITUTE(SUBSTITUTE(SUBSTITUTE($MU143,"~","~~"),"*","~*"),"?","~?"),'DADOS_FORMAS'!$AH$2:$AH$21,0)),"")="",0,IFERROR(N(VLOOKUP(SUBSTITUTE(SUBSTITUTE(SUBSTITUTE(IFERROR(INDEX('DADOS_FORMAS'!$AS$2:$AS$21,MATCH(SUBSTITUTE(SUBSTITUTE(SUBSTITUTE($MU143,"~","~~"),"*","~*"),"?","~?"),'DADOS_FORMAS'!$AH$2:$AH$21,0)),""),"~","~~"),"*","~*"),"?","~?"),'DADOS_RESTRICOES'!$M$2:$Q$54,3,FALSE)=2),0))</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",TRUE,IF($ND143=0,"",TEXTJOIN(" · ",TRUE,IF($MQ143&gt;$NE143,"Este lugar abre no nível "&amp;$MQ143,""),IF($MS143&gt;$NF143,"Classe "&amp;$MS143&amp;": o nível "&amp;$NE143&amp;" libera até a "&amp;$NF143,""),IF($NX143=1,"A Forma "&amp;$MU143&amp;" pede "&amp;INDEX('DADOS_FORMAS'!$GA$2:$GA$21,$NJ143)&amp;" aberta",""),IF(AND($MS143=0,$NJ143&gt;0,IF($NJ143=0,0,INDEX('DADOS_FORMAS'!$GJ$2:$GJ$21,$NJ143))=0),$MU143&amp;"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Corpo")&gt;0,$OF143=0,OR($RO143="Cone",$RO143="Linha")),"Corpo a Corpo não entra em "&amp;$MU143,""),IF(AND(COUNTIF($OK143:$OL143,"Corpo a Corpo")&gt;0,$RP143="Corpo a Corpo"),"A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"&amp;$NC143,""))),IF(AND($MU143&lt;&gt;"",COUNTIF('DADOS_FORMAS'!$AH$2:$AH$21,SUBSTITUTE(SUBSTITUTE(SUBSTITUTE($MU143,"~","~~"),"*","~*"),"?","~?"))=0),"Forma não cadastrada ou com erro: "&amp;$MU143,""),IF(AND(IFERROR(INDEX('DADOS_FORMAS'!$AS$2:$AS$21,MATCH(SUBSTITUTE(SUBSTITUTE(SUBSTITUTE($MU143,"~","~~"),"*","~*"),"?","~?"),'DADOS_FORMAS'!$AH$2:$AH$21,0)),"")&lt;&gt;"",OR(IFERROR(VLOOKUP(SUBSTITUTE(SUBSTITUTE(SUBSTITUTE(IFERROR(INDEX('DADOS_FORMAS'!$AS$2:$AS$21,MATCH(SUBSTITUTE(SUBSTITUTE(SUBSTITUTE($MU143,"~","~~"),"*","~*"),"?","~?"),'DADOS_FORMAS'!$AH$2:$AH$21,0)),""),"~","~~"),"*","~*"),"?","~?"),'DADOS_RESTRICOES'!$M$2:$Q$54,2,FALSE),"")=$OK143,IFERROR(VLOOKUP(SUBSTITUTE(SUBSTITUTE(SUBSTITUTE(IFERROR(INDEX('DADOS_FORMAS'!$AS$2:$AS$21,MATCH(SUBSTITUTE(SUBSTITUTE(SUBSTITUTE($MU143,"~","~~"),"*","~*"),"?","~?"),'DADOS_FORMAS'!$AH$2:$AH$21,0)),""),"~","~~"),"*","~*"),"?","~?"),'DADOS_RESTRICOES'!$M$2:$Q$54,2,FALSE),"")=$OL143)),"Restrição repetida, contando a embutida",""),IF(IF(IFERROR(INDEX('DADOS_FORMAS'!$AS$2:$AS$21,MATCH(SUBSTITUTE(SUBSTITUTE(SUBSTITUTE($MU143,"~","~~"),"*","~*"),"?","~?"),'DADOS_FORMAS'!$AH$2:$AH$21,0)),"")="",0,IFERROR(N(VLOOKUP(SUBSTITUTE(SUBSTITUTE(SUBSTITUTE(IFERROR(INDEX('DADOS_FORMAS'!$AS$2:$AS$21,MATCH(SUBSTITUTE(SUBSTITUTE(SUBSTITUTE($MU143,"~","~~"),"*","~*"),"?","~?"),'DADOS_FORMAS'!$AH$2:$AH$21,0)),""),"~","~~"),"*","~*"),"?","~?"),'DADOS_RESTRICOES'!$M$2:$Q$54,4,FALSE)=1),0))+IF($NB143="",0,IFERROR(N(VLOOKUP(SUBSTITUTE(SUBSTITUTE(SUBSTITUTE($NB143,"~","~~"),"*","~*"),"?","~?"),'DADOS_RESTRICOES'!$M$2:$Q$54,4,FALSE)=1),0))+IF($NC143="",0,IFERROR(N(VLOOKUP(SUBSTITUTE(SUBSTITUTE(SUBSTITUTE($NC143,"~","~~"),"*","~*"),"?","~?"),'DADOS_RESTRICOES'!$M$2:$Q$54,4,FALSE)=1),0))&gt;1,"Duas Restrições de frequência, contando a embutida",""),IF(AND(IFERROR(VLOOKUP(SUBSTITUTE(SUBSTITUTE(SUBSTITUTE(IFERROR(INDEX('DADOS_FORMAS'!$AS$2:$AS$21,MATCH(SUBSTITUTE(SUBSTITUTE(SUBSTITUTE($MU143,"~","~~"),"*","~*"),"?","~?"),'DADOS_FORMAS'!$AH$2:$AH$21,0)),""),"~","~~"),"*","~*"),"?","~?"),'DADOS_RESTRICOES'!$M$2:$Q$54,2,FALSE),"")="Tudo ou Nada",$OH143=0),"Tudo ou Nada exige TR",""),IF(AND(IFERROR(VLOOKUP(SUBSTITUTE(SUBSTITUTE(SUBSTITUTE(IFERROR(INDEX('DADOS_FORMAS'!$AS$2:$AS$21,MATCH(SUBSTITUTE(SUBSTITUTE(SUBSTITUTE($MU143,"~","~~"),"*","~*"),"?","~?"),'DADOS_FORMAS'!$AH$2:$AH$21,0)),""),"~","~~"),"*","~*"),"?","~?"),'DADOS_RESTRICOES'!$M$2:$Q$54,2,FALSE),"")="Corpo a Corpo",OR($RO143="Cone",$RO143="Linha")),"Corpo a Corpo não entra em Cone/Linha","")))</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dela",IF(COUNTIF($RQ143:$RS143,"Atrasar")&gt;0,"Sua Ação Completa",IF(COUNTIF($RK143:$RN143,"Rápido")&gt;0,"Sua Bônus",IF(COUNTIF($RK143:$RN143,"Reação")&gt;0,"Sua Reação","Sua Padrão")))&amp;" + a básica dela"&amp;IF(COUNTIF($RK143:$RN143,"Reação")&gt;0," e a coletiva","")&amp;IF(COUNTIF($RQ143:$RS143,"Carregar")&gt;0," · em dois turnos","")))</f>
        <v/>
      </c>
      <c r="QC143" s="161">
        <f>IF($MW143&lt;&gt;"",$MW143,IF($NJ143=0,"",INDEX('DADOS_FORMAS'!$GE$2:$GE$21,$NJ143)))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IF($NJ143=0,0,CHOOSE(1+INDEX('DADOS_FORMAS'!$GG$2:$GG$21,$NJ143),0,$QF143,$QG143,$QF143+$QG143))</f>
        <v/>
      </c>
      <c r="QI143" s="161">
        <f>IF($NJ143=0,0,CHOOSE(1+INDEX('DADOS_FORMAS'!$GH$2:$GH$21,$NJ143),0,$QF143,$QG143,$QF143+$QG143))</f>
        <v/>
      </c>
      <c r="QJ143" s="161">
        <f>IF(OR($ND143=0,$NJ143=0),"",INDEX('DADOS_FORMAS'!$HU$2:$HZ$81,($NJ143-1)*4+IF($MS143=0,1,IF($MS143&lt;=5,2,IF($MS143=6,3,4))),1+MIN(5,$QH143))&amp;INDEX('DADOS_FORMAS'!$IA$2:$IF$81,($NJ143-1)*4+IF($MS143=0,1,IF($MS143&lt;=5,2,IF($MS143=6,3,4))),1+MIN(5,$QI143))&amp;IF(INDEX('DADOS_FORMAS'!$GI$2:$GI$21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c r="RO143">
        <f>IFERROR(INDEX('DADOS_FORMAS'!$BJ$2:$BJ$21,MATCH(SUBSTITUTE(SUBSTITUTE(SUBSTITUTE($MU143,"~","~~"),"*","~*"),"?","~?"),'DADOS_FORMAS'!$AH$2:$AH$21,0)),"")</f>
        <v/>
      </c>
      <c r="RP143">
        <f>IFERROR(VLOOKUP(SUBSTITUTE(SUBSTITUTE(SUBSTITUTE(IFERROR(INDEX('DADOS_FORMAS'!$AS$2:$AS$21,MATCH(SUBSTITUTE(SUBSTITUTE(SUBSTITUTE($MU143,"~","~~"),"*","~*"),"?","~?"),'DADOS_FORMAS'!$AH$2:$AH$21,0)),""),"~","~~"),"*","~*"),"?","~?"),'DADOS_RESTRICOES'!$M$2:$Q$54,2,FALSE),"")</f>
        <v/>
      </c>
      <c r="RQ143">
        <f>$OK143</f>
        <v/>
      </c>
      <c r="RR143">
        <f>$OL143</f>
        <v/>
      </c>
      <c r="RS143">
        <f>$RP143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IFERROR(MATCH(SUBSTITUTE(SUBSTITUTE(SUBSTITUTE($MU144,"~","~~"),"*","~*"),"?","~?"),'DADOS_FORMAS'!$FZ$2:$FZ$21,0),0)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IF($MS144=0,0,IF($NJ144=0,0,INDEX('DADOS_FORMAS'!$GB$2:$GB$21,$NJ144)))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IF($NJ144=0,0,IF(INDEX('DADOS_FORMAS'!$GA$2:$GA$21,$NJ144)="",0,IF((COUNTIF(INDEX($EL$2:$EP$13,$MO144,0),INDEX('DADOS_FORMAS'!$GA$2:$GA$21,$NJ144))+COUNTIF(INDEX($QV$2:$QY$13,$MO144,0),INDEX('DADOS_FORMAS'!$GA$2:$GA$21,$NJ144)))=0,1,0)))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IFERROR(N(AND(INDEX('DADOS_FORMAS'!$AO$2:$AO$21,MATCH(SUBSTITUTE(SUBSTITUTE(SUBSTITUTE($MU144,"~","~~"),"*","~*"),"?","~?"),'DADOS_FORMAS'!$AH$2:$AH$21,0))="Acerto",$OH144=1)),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IF($NJ144=0,0,INDEX('DADOS_FORMAS'!$GC$2:$GC$21,$NJ144))</f>
        <v/>
      </c>
      <c r="OG144" s="161">
        <f>IF($NJ144=0,0,INDEX('DADOS_FORMAS'!$GD$2:$GD$21,$NJ144))</f>
        <v/>
      </c>
      <c r="OH144" s="161">
        <f>IF($NJ144=0,0,INDEX('DADOS_FORMAS'!$GF$2:$GF$21,$NJ144))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IF(IFERROR(INDEX('DADOS_FORMAS'!$AS$2:$AS$21,MATCH(SUBSTITUTE(SUBSTITUTE(SUBSTITUTE($MU144,"~","~~"),"*","~*"),"?","~?"),'DADOS_FORMAS'!$AH$2:$AH$21,0)),"")="",0,IFERROR(N(VLOOKUP(SUBSTITUTE(SUBSTITUTE(SUBSTITUTE(IFERROR(INDEX('DADOS_FORMAS'!$AS$2:$AS$21,MATCH(SUBSTITUTE(SUBSTITUTE(SUBSTITUTE($MU144,"~","~~"),"*","~*"),"?","~?"),'DADOS_FORMAS'!$AH$2:$AH$21,0)),""),"~","~~"),"*","~*"),"?","~?"),'DADOS_RESTRICOES'!$M$2:$Q$54,3,FALSE)=1),0))</f>
        <v/>
      </c>
      <c r="OT144" s="161">
        <f>COUNTIF($OI144:$OJ144,2)+IF(IFERROR(INDEX('DADOS_FORMAS'!$AS$2:$AS$21,MATCH(SUBSTITUTE(SUBSTITUTE(SUBSTITUTE($MU144,"~","~~"),"*","~*"),"?","~?"),'DADOS_FORMAS'!$AH$2:$AH$21,0)),"")="",0,IFERROR(N(VLOOKUP(SUBSTITUTE(SUBSTITUTE(SUBSTITUTE(IFERROR(INDEX('DADOS_FORMAS'!$AS$2:$AS$21,MATCH(SUBSTITUTE(SUBSTITUTE(SUBSTITUTE($MU144,"~","~~"),"*","~*"),"?","~?"),'DADOS_FORMAS'!$AH$2:$AH$21,0)),""),"~","~~"),"*","~*"),"?","~?"),'DADOS_RESTRICOES'!$M$2:$Q$54,3,FALSE)=2),0))</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",TRUE,IF($ND144=0,"",TEXTJOIN(" · ",TRUE,IF($MQ144&gt;$NE144,"Este lugar abre no nível "&amp;$MQ144,""),IF($MS144&gt;$NF144,"Classe "&amp;$MS144&amp;": o nível "&amp;$NE144&amp;" libera até a "&amp;$NF144,""),IF($NX144=1,"A Forma "&amp;$MU144&amp;" pede "&amp;INDEX('DADOS_FORMAS'!$GA$2:$GA$21,$NJ144)&amp;" aberta",""),IF(AND($MS144=0,$NJ144&gt;0,IF($NJ144=0,0,INDEX('DADOS_FORMAS'!$GJ$2:$GJ$21,$NJ144))=0),$MU144&amp;"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Corpo")&gt;0,$OF144=0,OR($RO144="Cone",$RO144="Linha")),"Corpo a Corpo não entra em "&amp;$MU144,""),IF(AND(COUNTIF($OK144:$OL144,"Corpo a Corpo")&gt;0,$RP144="Corpo a Corpo"),"A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"&amp;$NC144,""))),IF(AND($MU144&lt;&gt;"",COUNTIF('DADOS_FORMAS'!$AH$2:$AH$21,SUBSTITUTE(SUBSTITUTE(SUBSTITUTE($MU144,"~","~~"),"*","~*"),"?","~?"))=0),"Forma não cadastrada ou com erro: "&amp;$MU144,""),IF(AND(IFERROR(INDEX('DADOS_FORMAS'!$AS$2:$AS$21,MATCH(SUBSTITUTE(SUBSTITUTE(SUBSTITUTE($MU144,"~","~~"),"*","~*"),"?","~?"),'DADOS_FORMAS'!$AH$2:$AH$21,0)),"")&lt;&gt;"",OR(IFERROR(VLOOKUP(SUBSTITUTE(SUBSTITUTE(SUBSTITUTE(IFERROR(INDEX('DADOS_FORMAS'!$AS$2:$AS$21,MATCH(SUBSTITUTE(SUBSTITUTE(SUBSTITUTE($MU144,"~","~~"),"*","~*"),"?","~?"),'DADOS_FORMAS'!$AH$2:$AH$21,0)),""),"~","~~"),"*","~*"),"?","~?"),'DADOS_RESTRICOES'!$M$2:$Q$54,2,FALSE),"")=$OK144,IFERROR(VLOOKUP(SUBSTITUTE(SUBSTITUTE(SUBSTITUTE(IFERROR(INDEX('DADOS_FORMAS'!$AS$2:$AS$21,MATCH(SUBSTITUTE(SUBSTITUTE(SUBSTITUTE($MU144,"~","~~"),"*","~*"),"?","~?"),'DADOS_FORMAS'!$AH$2:$AH$21,0)),""),"~","~~"),"*","~*"),"?","~?"),'DADOS_RESTRICOES'!$M$2:$Q$54,2,FALSE),"")=$OL144)),"Restrição repetida, contando a embutida",""),IF(IF(IFERROR(INDEX('DADOS_FORMAS'!$AS$2:$AS$21,MATCH(SUBSTITUTE(SUBSTITUTE(SUBSTITUTE($MU144,"~","~~"),"*","~*"),"?","~?"),'DADOS_FORMAS'!$AH$2:$AH$21,0)),"")="",0,IFERROR(N(VLOOKUP(SUBSTITUTE(SUBSTITUTE(SUBSTITUTE(IFERROR(INDEX('DADOS_FORMAS'!$AS$2:$AS$21,MATCH(SUBSTITUTE(SUBSTITUTE(SUBSTITUTE($MU144,"~","~~"),"*","~*"),"?","~?"),'DADOS_FORMAS'!$AH$2:$AH$21,0)),""),"~","~~"),"*","~*"),"?","~?"),'DADOS_RESTRICOES'!$M$2:$Q$54,4,FALSE)=1),0))+IF($NB144="",0,IFERROR(N(VLOOKUP(SUBSTITUTE(SUBSTITUTE(SUBSTITUTE($NB144,"~","~~"),"*","~*"),"?","~?"),'DADOS_RESTRICOES'!$M$2:$Q$54,4,FALSE)=1),0))+IF($NC144="",0,IFERROR(N(VLOOKUP(SUBSTITUTE(SUBSTITUTE(SUBSTITUTE($NC144,"~","~~"),"*","~*"),"?","~?"),'DADOS_RESTRICOES'!$M$2:$Q$54,4,FALSE)=1),0))&gt;1,"Duas Restrições de frequência, contando a embutida",""),IF(AND(IFERROR(VLOOKUP(SUBSTITUTE(SUBSTITUTE(SUBSTITUTE(IFERROR(INDEX('DADOS_FORMAS'!$AS$2:$AS$21,MATCH(SUBSTITUTE(SUBSTITUTE(SUBSTITUTE($MU144,"~","~~"),"*","~*"),"?","~?"),'DADOS_FORMAS'!$AH$2:$AH$21,0)),""),"~","~~"),"*","~*"),"?","~?"),'DADOS_RESTRICOES'!$M$2:$Q$54,2,FALSE),"")="Tudo ou Nada",$OH144=0),"Tudo ou Nada exige TR",""),IF(AND(IFERROR(VLOOKUP(SUBSTITUTE(SUBSTITUTE(SUBSTITUTE(IFERROR(INDEX('DADOS_FORMAS'!$AS$2:$AS$21,MATCH(SUBSTITUTE(SUBSTITUTE(SUBSTITUTE($MU144,"~","~~"),"*","~*"),"?","~?"),'DADOS_FORMAS'!$AH$2:$AH$21,0)),""),"~","~~"),"*","~*"),"?","~?"),'DADOS_RESTRICOES'!$M$2:$Q$54,2,FALSE),"")="Corpo a Corpo",OR($RO144="Cone",$RO144="Linha")),"Corpo a Corpo não entra em Cone/Linha","")))</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dela",IF(COUNTIF($RQ144:$RS144,"Atrasar")&gt;0,"Sua Ação Completa",IF(COUNTIF($RK144:$RN144,"Rápido")&gt;0,"Sua Bônus",IF(COUNTIF($RK144:$RN144,"Reação")&gt;0,"Sua Reação","Sua Padrão")))&amp;" + a básica dela"&amp;IF(COUNTIF($RK144:$RN144,"Reação")&gt;0," e a coletiva","")&amp;IF(COUNTIF($RQ144:$RS144,"Carregar")&gt;0," · em dois turnos","")))</f>
        <v/>
      </c>
      <c r="QC144" s="161">
        <f>IF($MW144&lt;&gt;"",$MW144,IF($NJ144=0,"",INDEX('DADOS_FORMAS'!$GE$2:$GE$21,$NJ144)))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IF($NJ144=0,0,CHOOSE(1+INDEX('DADOS_FORMAS'!$GG$2:$GG$21,$NJ144),0,$QF144,$QG144,$QF144+$QG144))</f>
        <v/>
      </c>
      <c r="QI144" s="161">
        <f>IF($NJ144=0,0,CHOOSE(1+INDEX('DADOS_FORMAS'!$GH$2:$GH$21,$NJ144),0,$QF144,$QG144,$QF144+$QG144))</f>
        <v/>
      </c>
      <c r="QJ144" s="161">
        <f>IF(OR($ND144=0,$NJ144=0),"",INDEX('DADOS_FORMAS'!$HU$2:$HZ$81,($NJ144-1)*4+IF($MS144=0,1,IF($MS144&lt;=5,2,IF($MS144=6,3,4))),1+MIN(5,$QH144))&amp;INDEX('DADOS_FORMAS'!$IA$2:$IF$81,($NJ144-1)*4+IF($MS144=0,1,IF($MS144&lt;=5,2,IF($MS144=6,3,4))),1+MIN(5,$QI144))&amp;IF(INDEX('DADOS_FORMAS'!$GI$2:$GI$21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c r="RO144">
        <f>IFERROR(INDEX('DADOS_FORMAS'!$BJ$2:$BJ$21,MATCH(SUBSTITUTE(SUBSTITUTE(SUBSTITUTE($MU144,"~","~~"),"*","~*"),"?","~?"),'DADOS_FORMAS'!$AH$2:$AH$21,0)),"")</f>
        <v/>
      </c>
      <c r="RP144">
        <f>IFERROR(VLOOKUP(SUBSTITUTE(SUBSTITUTE(SUBSTITUTE(IFERROR(INDEX('DADOS_FORMAS'!$AS$2:$AS$21,MATCH(SUBSTITUTE(SUBSTITUTE(SUBSTITUTE($MU144,"~","~~"),"*","~*"),"?","~?"),'DADOS_FORMAS'!$AH$2:$AH$21,0)),""),"~","~~"),"*","~*"),"?","~?"),'DADOS_RESTRICOES'!$M$2:$Q$54,2,FALSE),"")</f>
        <v/>
      </c>
      <c r="RQ144">
        <f>$OK144</f>
        <v/>
      </c>
      <c r="RR144">
        <f>$OL144</f>
        <v/>
      </c>
      <c r="RS144">
        <f>$RP144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IFERROR(MATCH(SUBSTITUTE(SUBSTITUTE(SUBSTITUTE($MU145,"~","~~"),"*","~*"),"?","~?"),'DADOS_FORMAS'!$FZ$2:$FZ$21,0),0)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IF($MS145=0,0,IF($NJ145=0,0,INDEX('DADOS_FORMAS'!$GB$2:$GB$21,$NJ145)))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IF($NJ145=0,0,IF(INDEX('DADOS_FORMAS'!$GA$2:$GA$21,$NJ145)="",0,IF((COUNTIF(INDEX($EL$2:$EP$13,$MO145,0),INDEX('DADOS_FORMAS'!$GA$2:$GA$21,$NJ145))+COUNTIF(INDEX($QV$2:$QY$13,$MO145,0),INDEX('DADOS_FORMAS'!$GA$2:$GA$21,$NJ145)))=0,1,0)))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IFERROR(N(AND(INDEX('DADOS_FORMAS'!$AO$2:$AO$21,MATCH(SUBSTITUTE(SUBSTITUTE(SUBSTITUTE($MU145,"~","~~"),"*","~*"),"?","~?"),'DADOS_FORMAS'!$AH$2:$AH$21,0))="Acerto",$OH145=1)),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IF($NJ145=0,0,INDEX('DADOS_FORMAS'!$GC$2:$GC$21,$NJ145))</f>
        <v/>
      </c>
      <c r="OG145" s="161">
        <f>IF($NJ145=0,0,INDEX('DADOS_FORMAS'!$GD$2:$GD$21,$NJ145))</f>
        <v/>
      </c>
      <c r="OH145" s="161">
        <f>IF($NJ145=0,0,INDEX('DADOS_FORMAS'!$GF$2:$GF$21,$NJ145))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IF(IFERROR(INDEX('DADOS_FORMAS'!$AS$2:$AS$21,MATCH(SUBSTITUTE(SUBSTITUTE(SUBSTITUTE($MU145,"~","~~"),"*","~*"),"?","~?"),'DADOS_FORMAS'!$AH$2:$AH$21,0)),"")="",0,IFERROR(N(VLOOKUP(SUBSTITUTE(SUBSTITUTE(SUBSTITUTE(IFERROR(INDEX('DADOS_FORMAS'!$AS$2:$AS$21,MATCH(SUBSTITUTE(SUBSTITUTE(SUBSTITUTE($MU145,"~","~~"),"*","~*"),"?","~?"),'DADOS_FORMAS'!$AH$2:$AH$21,0)),""),"~","~~"),"*","~*"),"?","~?"),'DADOS_RESTRICOES'!$M$2:$Q$54,3,FALSE)=1),0))</f>
        <v/>
      </c>
      <c r="OT145" s="161">
        <f>COUNTIF($OI145:$OJ145,2)+IF(IFERROR(INDEX('DADOS_FORMAS'!$AS$2:$AS$21,MATCH(SUBSTITUTE(SUBSTITUTE(SUBSTITUTE($MU145,"~","~~"),"*","~*"),"?","~?"),'DADOS_FORMAS'!$AH$2:$AH$21,0)),"")="",0,IFERROR(N(VLOOKUP(SUBSTITUTE(SUBSTITUTE(SUBSTITUTE(IFERROR(INDEX('DADOS_FORMAS'!$AS$2:$AS$21,MATCH(SUBSTITUTE(SUBSTITUTE(SUBSTITUTE($MU145,"~","~~"),"*","~*"),"?","~?"),'DADOS_FORMAS'!$AH$2:$AH$21,0)),""),"~","~~"),"*","~*"),"?","~?"),'DADOS_RESTRICOES'!$M$2:$Q$54,3,FALSE)=2),0))</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",TRUE,IF($ND145=0,"",TEXTJOIN(" · ",TRUE,IF($MQ145&gt;$NE145,"Este lugar abre no nível "&amp;$MQ145,""),IF($MS145&gt;$NF145,"Classe "&amp;$MS145&amp;": o nível "&amp;$NE145&amp;" libera até a "&amp;$NF145,""),IF($NX145=1,"A Forma "&amp;$MU145&amp;" pede "&amp;INDEX('DADOS_FORMAS'!$GA$2:$GA$21,$NJ145)&amp;" aberta",""),IF(AND($MS145=0,$NJ145&gt;0,IF($NJ145=0,0,INDEX('DADOS_FORMAS'!$GJ$2:$GJ$21,$NJ145))=0),$MU145&amp;"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Corpo")&gt;0,$OF145=0,OR($RO145="Cone",$RO145="Linha")),"Corpo a Corpo não entra em "&amp;$MU145,""),IF(AND(COUNTIF($OK145:$OL145,"Corpo a Corpo")&gt;0,$RP145="Corpo a Corpo"),"A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"&amp;$NC145,""))),IF(AND($MU145&lt;&gt;"",COUNTIF('DADOS_FORMAS'!$AH$2:$AH$21,SUBSTITUTE(SUBSTITUTE(SUBSTITUTE($MU145,"~","~~"),"*","~*"),"?","~?"))=0),"Forma não cadastrada ou com erro: "&amp;$MU145,""),IF(AND(IFERROR(INDEX('DADOS_FORMAS'!$AS$2:$AS$21,MATCH(SUBSTITUTE(SUBSTITUTE(SUBSTITUTE($MU145,"~","~~"),"*","~*"),"?","~?"),'DADOS_FORMAS'!$AH$2:$AH$21,0)),"")&lt;&gt;"",OR(IFERROR(VLOOKUP(SUBSTITUTE(SUBSTITUTE(SUBSTITUTE(IFERROR(INDEX('DADOS_FORMAS'!$AS$2:$AS$21,MATCH(SUBSTITUTE(SUBSTITUTE(SUBSTITUTE($MU145,"~","~~"),"*","~*"),"?","~?"),'DADOS_FORMAS'!$AH$2:$AH$21,0)),""),"~","~~"),"*","~*"),"?","~?"),'DADOS_RESTRICOES'!$M$2:$Q$54,2,FALSE),"")=$OK145,IFERROR(VLOOKUP(SUBSTITUTE(SUBSTITUTE(SUBSTITUTE(IFERROR(INDEX('DADOS_FORMAS'!$AS$2:$AS$21,MATCH(SUBSTITUTE(SUBSTITUTE(SUBSTITUTE($MU145,"~","~~"),"*","~*"),"?","~?"),'DADOS_FORMAS'!$AH$2:$AH$21,0)),""),"~","~~"),"*","~*"),"?","~?"),'DADOS_RESTRICOES'!$M$2:$Q$54,2,FALSE),"")=$OL145)),"Restrição repetida, contando a embutida",""),IF(IF(IFERROR(INDEX('DADOS_FORMAS'!$AS$2:$AS$21,MATCH(SUBSTITUTE(SUBSTITUTE(SUBSTITUTE($MU145,"~","~~"),"*","~*"),"?","~?"),'DADOS_FORMAS'!$AH$2:$AH$21,0)),"")="",0,IFERROR(N(VLOOKUP(SUBSTITUTE(SUBSTITUTE(SUBSTITUTE(IFERROR(INDEX('DADOS_FORMAS'!$AS$2:$AS$21,MATCH(SUBSTITUTE(SUBSTITUTE(SUBSTITUTE($MU145,"~","~~"),"*","~*"),"?","~?"),'DADOS_FORMAS'!$AH$2:$AH$21,0)),""),"~","~~"),"*","~*"),"?","~?"),'DADOS_RESTRICOES'!$M$2:$Q$54,4,FALSE)=1),0))+IF($NB145="",0,IFERROR(N(VLOOKUP(SUBSTITUTE(SUBSTITUTE(SUBSTITUTE($NB145,"~","~~"),"*","~*"),"?","~?"),'DADOS_RESTRICOES'!$M$2:$Q$54,4,FALSE)=1),0))+IF($NC145="",0,IFERROR(N(VLOOKUP(SUBSTITUTE(SUBSTITUTE(SUBSTITUTE($NC145,"~","~~"),"*","~*"),"?","~?"),'DADOS_RESTRICOES'!$M$2:$Q$54,4,FALSE)=1),0))&gt;1,"Duas Restrições de frequência, contando a embutida",""),IF(AND(IFERROR(VLOOKUP(SUBSTITUTE(SUBSTITUTE(SUBSTITUTE(IFERROR(INDEX('DADOS_FORMAS'!$AS$2:$AS$21,MATCH(SUBSTITUTE(SUBSTITUTE(SUBSTITUTE($MU145,"~","~~"),"*","~*"),"?","~?"),'DADOS_FORMAS'!$AH$2:$AH$21,0)),""),"~","~~"),"*","~*"),"?","~?"),'DADOS_RESTRICOES'!$M$2:$Q$54,2,FALSE),"")="Tudo ou Nada",$OH145=0),"Tudo ou Nada exige TR",""),IF(AND(IFERROR(VLOOKUP(SUBSTITUTE(SUBSTITUTE(SUBSTITUTE(IFERROR(INDEX('DADOS_FORMAS'!$AS$2:$AS$21,MATCH(SUBSTITUTE(SUBSTITUTE(SUBSTITUTE($MU145,"~","~~"),"*","~*"),"?","~?"),'DADOS_FORMAS'!$AH$2:$AH$21,0)),""),"~","~~"),"*","~*"),"?","~?"),'DADOS_RESTRICOES'!$M$2:$Q$54,2,FALSE),"")="Corpo a Corpo",OR($RO145="Cone",$RO145="Linha")),"Corpo a Corpo não entra em Cone/Linha","")))</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dela",IF(COUNTIF($RQ145:$RS145,"Atrasar")&gt;0,"Sua Ação Completa",IF(COUNTIF($RK145:$RN145,"Rápido")&gt;0,"Sua Bônus",IF(COUNTIF($RK145:$RN145,"Reação")&gt;0,"Sua Reação","Sua Padrão")))&amp;" + a básica dela"&amp;IF(COUNTIF($RK145:$RN145,"Reação")&gt;0," e a coletiva","")&amp;IF(COUNTIF($RQ145:$RS145,"Carregar")&gt;0," · em dois turnos","")))</f>
        <v/>
      </c>
      <c r="QC145" s="161">
        <f>IF($MW145&lt;&gt;"",$MW145,IF($NJ145=0,"",INDEX('DADOS_FORMAS'!$GE$2:$GE$21,$NJ145)))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IF($NJ145=0,0,CHOOSE(1+INDEX('DADOS_FORMAS'!$GG$2:$GG$21,$NJ145),0,$QF145,$QG145,$QF145+$QG145))</f>
        <v/>
      </c>
      <c r="QI145" s="161">
        <f>IF($NJ145=0,0,CHOOSE(1+INDEX('DADOS_FORMAS'!$GH$2:$GH$21,$NJ145),0,$QF145,$QG145,$QF145+$QG145))</f>
        <v/>
      </c>
      <c r="QJ145" s="161">
        <f>IF(OR($ND145=0,$NJ145=0),"",INDEX('DADOS_FORMAS'!$HU$2:$HZ$81,($NJ145-1)*4+IF($MS145=0,1,IF($MS145&lt;=5,2,IF($MS145=6,3,4))),1+MIN(5,$QH145))&amp;INDEX('DADOS_FORMAS'!$IA$2:$IF$81,($NJ145-1)*4+IF($MS145=0,1,IF($MS145&lt;=5,2,IF($MS145=6,3,4))),1+MIN(5,$QI145))&amp;IF(INDEX('DADOS_FORMAS'!$GI$2:$GI$21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c r="RO145">
        <f>IFERROR(INDEX('DADOS_FORMAS'!$BJ$2:$BJ$21,MATCH(SUBSTITUTE(SUBSTITUTE(SUBSTITUTE($MU145,"~","~~"),"*","~*"),"?","~?"),'DADOS_FORMAS'!$AH$2:$AH$21,0)),"")</f>
        <v/>
      </c>
      <c r="RP145">
        <f>IFERROR(VLOOKUP(SUBSTITUTE(SUBSTITUTE(SUBSTITUTE(IFERROR(INDEX('DADOS_FORMAS'!$AS$2:$AS$21,MATCH(SUBSTITUTE(SUBSTITUTE(SUBSTITUTE($MU145,"~","~~"),"*","~*"),"?","~?"),'DADOS_FORMAS'!$AH$2:$AH$21,0)),""),"~","~~"),"*","~*"),"?","~?"),'DADOS_RESTRICOES'!$M$2:$Q$54,2,FALSE),"")</f>
        <v/>
      </c>
      <c r="RQ145">
        <f>$OK145</f>
        <v/>
      </c>
      <c r="RR145">
        <f>$OL145</f>
        <v/>
      </c>
      <c r="RS145">
        <f>$RP145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IFERROR(MATCH(SUBSTITUTE(SUBSTITUTE(SUBSTITUTE($MU146,"~","~~"),"*","~*"),"?","~?"),'DADOS_FORMAS'!$FZ$2:$FZ$21,0),0)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IF($MS146=0,0,IF($NJ146=0,0,INDEX('DADOS_FORMAS'!$GB$2:$GB$21,$NJ146)))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IF($NJ146=0,0,IF(INDEX('DADOS_FORMAS'!$GA$2:$GA$21,$NJ146)="",0,IF((COUNTIF(INDEX($EL$2:$EP$13,$MO146,0),INDEX('DADOS_FORMAS'!$GA$2:$GA$21,$NJ146))+COUNTIF(INDEX($QV$2:$QY$13,$MO146,0),INDEX('DADOS_FORMAS'!$GA$2:$GA$21,$NJ146)))=0,1,0)))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IFERROR(N(AND(INDEX('DADOS_FORMAS'!$AO$2:$AO$21,MATCH(SUBSTITUTE(SUBSTITUTE(SUBSTITUTE($MU146,"~","~~"),"*","~*"),"?","~?"),'DADOS_FORMAS'!$AH$2:$AH$21,0))="Acerto",$OH146=1)),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IF($NJ146=0,0,INDEX('DADOS_FORMAS'!$GC$2:$GC$21,$NJ146))</f>
        <v/>
      </c>
      <c r="OG146" s="161">
        <f>IF($NJ146=0,0,INDEX('DADOS_FORMAS'!$GD$2:$GD$21,$NJ146))</f>
        <v/>
      </c>
      <c r="OH146" s="161">
        <f>IF($NJ146=0,0,INDEX('DADOS_FORMAS'!$GF$2:$GF$21,$NJ146))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IF(IFERROR(INDEX('DADOS_FORMAS'!$AS$2:$AS$21,MATCH(SUBSTITUTE(SUBSTITUTE(SUBSTITUTE($MU146,"~","~~"),"*","~*"),"?","~?"),'DADOS_FORMAS'!$AH$2:$AH$21,0)),"")="",0,IFERROR(N(VLOOKUP(SUBSTITUTE(SUBSTITUTE(SUBSTITUTE(IFERROR(INDEX('DADOS_FORMAS'!$AS$2:$AS$21,MATCH(SUBSTITUTE(SUBSTITUTE(SUBSTITUTE($MU146,"~","~~"),"*","~*"),"?","~?"),'DADOS_FORMAS'!$AH$2:$AH$21,0)),""),"~","~~"),"*","~*"),"?","~?"),'DADOS_RESTRICOES'!$M$2:$Q$54,3,FALSE)=1),0))</f>
        <v/>
      </c>
      <c r="OT146" s="161">
        <f>COUNTIF($OI146:$OJ146,2)+IF(IFERROR(INDEX('DADOS_FORMAS'!$AS$2:$AS$21,MATCH(SUBSTITUTE(SUBSTITUTE(SUBSTITUTE($MU146,"~","~~"),"*","~*"),"?","~?"),'DADOS_FORMAS'!$AH$2:$AH$21,0)),"")="",0,IFERROR(N(VLOOKUP(SUBSTITUTE(SUBSTITUTE(SUBSTITUTE(IFERROR(INDEX('DADOS_FORMAS'!$AS$2:$AS$21,MATCH(SUBSTITUTE(SUBSTITUTE(SUBSTITUTE($MU146,"~","~~"),"*","~*"),"?","~?"),'DADOS_FORMAS'!$AH$2:$AH$21,0)),""),"~","~~"),"*","~*"),"?","~?"),'DADOS_RESTRICOES'!$M$2:$Q$54,3,FALSE)=2),0))</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",TRUE,IF($ND146=0,"",TEXTJOIN(" · ",TRUE,IF($MQ146&gt;$NE146,"Este lugar abre no nível "&amp;$MQ146,""),IF($MS146&gt;$NF146,"Classe "&amp;$MS146&amp;": o nível "&amp;$NE146&amp;" libera até a "&amp;$NF146,""),IF($NX146=1,"A Forma "&amp;$MU146&amp;" pede "&amp;INDEX('DADOS_FORMAS'!$GA$2:$GA$21,$NJ146)&amp;" aberta",""),IF(AND($MS146=0,$NJ146&gt;0,IF($NJ146=0,0,INDEX('DADOS_FORMAS'!$GJ$2:$GJ$21,$NJ146))=0),$MU146&amp;"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Corpo")&gt;0,$OF146=0,OR($RO146="Cone",$RO146="Linha")),"Corpo a Corpo não entra em "&amp;$MU146,""),IF(AND(COUNTIF($OK146:$OL146,"Corpo a Corpo")&gt;0,$RP146="Corpo a Corpo"),"A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"&amp;$NC146,""))),IF(AND($MU146&lt;&gt;"",COUNTIF('DADOS_FORMAS'!$AH$2:$AH$21,SUBSTITUTE(SUBSTITUTE(SUBSTITUTE($MU146,"~","~~"),"*","~*"),"?","~?"))=0),"Forma não cadastrada ou com erro: "&amp;$MU146,""),IF(AND(IFERROR(INDEX('DADOS_FORMAS'!$AS$2:$AS$21,MATCH(SUBSTITUTE(SUBSTITUTE(SUBSTITUTE($MU146,"~","~~"),"*","~*"),"?","~?"),'DADOS_FORMAS'!$AH$2:$AH$21,0)),"")&lt;&gt;"",OR(IFERROR(VLOOKUP(SUBSTITUTE(SUBSTITUTE(SUBSTITUTE(IFERROR(INDEX('DADOS_FORMAS'!$AS$2:$AS$21,MATCH(SUBSTITUTE(SUBSTITUTE(SUBSTITUTE($MU146,"~","~~"),"*","~*"),"?","~?"),'DADOS_FORMAS'!$AH$2:$AH$21,0)),""),"~","~~"),"*","~*"),"?","~?"),'DADOS_RESTRICOES'!$M$2:$Q$54,2,FALSE),"")=$OK146,IFERROR(VLOOKUP(SUBSTITUTE(SUBSTITUTE(SUBSTITUTE(IFERROR(INDEX('DADOS_FORMAS'!$AS$2:$AS$21,MATCH(SUBSTITUTE(SUBSTITUTE(SUBSTITUTE($MU146,"~","~~"),"*","~*"),"?","~?"),'DADOS_FORMAS'!$AH$2:$AH$21,0)),""),"~","~~"),"*","~*"),"?","~?"),'DADOS_RESTRICOES'!$M$2:$Q$54,2,FALSE),"")=$OL146)),"Restrição repetida, contando a embutida",""),IF(IF(IFERROR(INDEX('DADOS_FORMAS'!$AS$2:$AS$21,MATCH(SUBSTITUTE(SUBSTITUTE(SUBSTITUTE($MU146,"~","~~"),"*","~*"),"?","~?"),'DADOS_FORMAS'!$AH$2:$AH$21,0)),"")="",0,IFERROR(N(VLOOKUP(SUBSTITUTE(SUBSTITUTE(SUBSTITUTE(IFERROR(INDEX('DADOS_FORMAS'!$AS$2:$AS$21,MATCH(SUBSTITUTE(SUBSTITUTE(SUBSTITUTE($MU146,"~","~~"),"*","~*"),"?","~?"),'DADOS_FORMAS'!$AH$2:$AH$21,0)),""),"~","~~"),"*","~*"),"?","~?"),'DADOS_RESTRICOES'!$M$2:$Q$54,4,FALSE)=1),0))+IF($NB146="",0,IFERROR(N(VLOOKUP(SUBSTITUTE(SUBSTITUTE(SUBSTITUTE($NB146,"~","~~"),"*","~*"),"?","~?"),'DADOS_RESTRICOES'!$M$2:$Q$54,4,FALSE)=1),0))+IF($NC146="",0,IFERROR(N(VLOOKUP(SUBSTITUTE(SUBSTITUTE(SUBSTITUTE($NC146,"~","~~"),"*","~*"),"?","~?"),'DADOS_RESTRICOES'!$M$2:$Q$54,4,FALSE)=1),0))&gt;1,"Duas Restrições de frequência, contando a embutida",""),IF(AND(IFERROR(VLOOKUP(SUBSTITUTE(SUBSTITUTE(SUBSTITUTE(IFERROR(INDEX('DADOS_FORMAS'!$AS$2:$AS$21,MATCH(SUBSTITUTE(SUBSTITUTE(SUBSTITUTE($MU146,"~","~~"),"*","~*"),"?","~?"),'DADOS_FORMAS'!$AH$2:$AH$21,0)),""),"~","~~"),"*","~*"),"?","~?"),'DADOS_RESTRICOES'!$M$2:$Q$54,2,FALSE),"")="Tudo ou Nada",$OH146=0),"Tudo ou Nada exige TR",""),IF(AND(IFERROR(VLOOKUP(SUBSTITUTE(SUBSTITUTE(SUBSTITUTE(IFERROR(INDEX('DADOS_FORMAS'!$AS$2:$AS$21,MATCH(SUBSTITUTE(SUBSTITUTE(SUBSTITUTE($MU146,"~","~~"),"*","~*"),"?","~?"),'DADOS_FORMAS'!$AH$2:$AH$21,0)),""),"~","~~"),"*","~*"),"?","~?"),'DADOS_RESTRICOES'!$M$2:$Q$54,2,FALSE),"")="Corpo a Corpo",OR($RO146="Cone",$RO146="Linha")),"Corpo a Corpo não entra em Cone/Linha","")))</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dela",IF(COUNTIF($RQ146:$RS146,"Atrasar")&gt;0,"Sua Ação Completa",IF(COUNTIF($RK146:$RN146,"Rápido")&gt;0,"Sua Bônus",IF(COUNTIF($RK146:$RN146,"Reação")&gt;0,"Sua Reação","Sua Padrão")))&amp;" + a básica dela"&amp;IF(COUNTIF($RK146:$RN146,"Reação")&gt;0," e a coletiva","")&amp;IF(COUNTIF($RQ146:$RS146,"Carregar")&gt;0," · em dois turnos","")))</f>
        <v/>
      </c>
      <c r="QC146" s="161">
        <f>IF($MW146&lt;&gt;"",$MW146,IF($NJ146=0,"",INDEX('DADOS_FORMAS'!$GE$2:$GE$21,$NJ146)))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IF($NJ146=0,0,CHOOSE(1+INDEX('DADOS_FORMAS'!$GG$2:$GG$21,$NJ146),0,$QF146,$QG146,$QF146+$QG146))</f>
        <v/>
      </c>
      <c r="QI146" s="161">
        <f>IF($NJ146=0,0,CHOOSE(1+INDEX('DADOS_FORMAS'!$GH$2:$GH$21,$NJ146),0,$QF146,$QG146,$QF146+$QG146))</f>
        <v/>
      </c>
      <c r="QJ146" s="161">
        <f>IF(OR($ND146=0,$NJ146=0),"",INDEX('DADOS_FORMAS'!$HU$2:$HZ$81,($NJ146-1)*4+IF($MS146=0,1,IF($MS146&lt;=5,2,IF($MS146=6,3,4))),1+MIN(5,$QH146))&amp;INDEX('DADOS_FORMAS'!$IA$2:$IF$81,($NJ146-1)*4+IF($MS146=0,1,IF($MS146&lt;=5,2,IF($MS146=6,3,4))),1+MIN(5,$QI146))&amp;IF(INDEX('DADOS_FORMAS'!$GI$2:$GI$21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c r="RO146">
        <f>IFERROR(INDEX('DADOS_FORMAS'!$BJ$2:$BJ$21,MATCH(SUBSTITUTE(SUBSTITUTE(SUBSTITUTE($MU146,"~","~~"),"*","~*"),"?","~?"),'DADOS_FORMAS'!$AH$2:$AH$21,0)),"")</f>
        <v/>
      </c>
      <c r="RP146">
        <f>IFERROR(VLOOKUP(SUBSTITUTE(SUBSTITUTE(SUBSTITUTE(IFERROR(INDEX('DADOS_FORMAS'!$AS$2:$AS$21,MATCH(SUBSTITUTE(SUBSTITUTE(SUBSTITUTE($MU146,"~","~~"),"*","~*"),"?","~?"),'DADOS_FORMAS'!$AH$2:$AH$21,0)),""),"~","~~"),"*","~*"),"?","~?"),'DADOS_RESTRICOES'!$M$2:$Q$54,2,FALSE),"")</f>
        <v/>
      </c>
      <c r="RQ146">
        <f>$OK146</f>
        <v/>
      </c>
      <c r="RR146">
        <f>$OL146</f>
        <v/>
      </c>
      <c r="RS146">
        <f>$RP146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IFERROR(MATCH(SUBSTITUTE(SUBSTITUTE(SUBSTITUTE($MU147,"~","~~"),"*","~*"),"?","~?"),'DADOS_FORMAS'!$FZ$2:$FZ$21,0),0)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IF($MS147=0,0,IF($NJ147=0,0,INDEX('DADOS_FORMAS'!$GB$2:$GB$21,$NJ147)))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IF($NJ147=0,0,IF(INDEX('DADOS_FORMAS'!$GA$2:$GA$21,$NJ147)="",0,IF((COUNTIF(INDEX($EL$2:$EP$13,$MO147,0),INDEX('DADOS_FORMAS'!$GA$2:$GA$21,$NJ147))+COUNTIF(INDEX($QV$2:$QY$13,$MO147,0),INDEX('DADOS_FORMAS'!$GA$2:$GA$21,$NJ147)))=0,1,0)))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IFERROR(N(AND(INDEX('DADOS_FORMAS'!$AO$2:$AO$21,MATCH(SUBSTITUTE(SUBSTITUTE(SUBSTITUTE($MU147,"~","~~"),"*","~*"),"?","~?"),'DADOS_FORMAS'!$AH$2:$AH$21,0))="Acerto",$OH147=1)),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IF($NJ147=0,0,INDEX('DADOS_FORMAS'!$GC$2:$GC$21,$NJ147))</f>
        <v/>
      </c>
      <c r="OG147" s="161">
        <f>IF($NJ147=0,0,INDEX('DADOS_FORMAS'!$GD$2:$GD$21,$NJ147))</f>
        <v/>
      </c>
      <c r="OH147" s="161">
        <f>IF($NJ147=0,0,INDEX('DADOS_FORMAS'!$GF$2:$GF$21,$NJ147))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IF(IFERROR(INDEX('DADOS_FORMAS'!$AS$2:$AS$21,MATCH(SUBSTITUTE(SUBSTITUTE(SUBSTITUTE($MU147,"~","~~"),"*","~*"),"?","~?"),'DADOS_FORMAS'!$AH$2:$AH$21,0)),"")="",0,IFERROR(N(VLOOKUP(SUBSTITUTE(SUBSTITUTE(SUBSTITUTE(IFERROR(INDEX('DADOS_FORMAS'!$AS$2:$AS$21,MATCH(SUBSTITUTE(SUBSTITUTE(SUBSTITUTE($MU147,"~","~~"),"*","~*"),"?","~?"),'DADOS_FORMAS'!$AH$2:$AH$21,0)),""),"~","~~"),"*","~*"),"?","~?"),'DADOS_RESTRICOES'!$M$2:$Q$54,3,FALSE)=1),0))</f>
        <v/>
      </c>
      <c r="OT147" s="161">
        <f>COUNTIF($OI147:$OJ147,2)+IF(IFERROR(INDEX('DADOS_FORMAS'!$AS$2:$AS$21,MATCH(SUBSTITUTE(SUBSTITUTE(SUBSTITUTE($MU147,"~","~~"),"*","~*"),"?","~?"),'DADOS_FORMAS'!$AH$2:$AH$21,0)),"")="",0,IFERROR(N(VLOOKUP(SUBSTITUTE(SUBSTITUTE(SUBSTITUTE(IFERROR(INDEX('DADOS_FORMAS'!$AS$2:$AS$21,MATCH(SUBSTITUTE(SUBSTITUTE(SUBSTITUTE($MU147,"~","~~"),"*","~*"),"?","~?"),'DADOS_FORMAS'!$AH$2:$AH$21,0)),""),"~","~~"),"*","~*"),"?","~?"),'DADOS_RESTRICOES'!$M$2:$Q$54,3,FALSE)=2),0))</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",TRUE,IF($ND147=0,"",TEXTJOIN(" · ",TRUE,IF($MQ147&gt;$NE147,"Este lugar abre no nível "&amp;$MQ147,""),IF($MS147&gt;$NF147,"Classe "&amp;$MS147&amp;": o nível "&amp;$NE147&amp;" libera até a "&amp;$NF147,""),IF($NX147=1,"A Forma "&amp;$MU147&amp;" pede "&amp;INDEX('DADOS_FORMAS'!$GA$2:$GA$21,$NJ147)&amp;" aberta",""),IF(AND($MS147=0,$NJ147&gt;0,IF($NJ147=0,0,INDEX('DADOS_FORMAS'!$GJ$2:$GJ$21,$NJ147))=0),$MU147&amp;"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Corpo")&gt;0,$OF147=0,OR($RO147="Cone",$RO147="Linha")),"Corpo a Corpo não entra em "&amp;$MU147,""),IF(AND(COUNTIF($OK147:$OL147,"Corpo a Corpo")&gt;0,$RP147="Corpo a Corpo"),"A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"&amp;$NC147,""))),IF(AND($MU147&lt;&gt;"",COUNTIF('DADOS_FORMAS'!$AH$2:$AH$21,SUBSTITUTE(SUBSTITUTE(SUBSTITUTE($MU147,"~","~~"),"*","~*"),"?","~?"))=0),"Forma não cadastrada ou com erro: "&amp;$MU147,""),IF(AND(IFERROR(INDEX('DADOS_FORMAS'!$AS$2:$AS$21,MATCH(SUBSTITUTE(SUBSTITUTE(SUBSTITUTE($MU147,"~","~~"),"*","~*"),"?","~?"),'DADOS_FORMAS'!$AH$2:$AH$21,0)),"")&lt;&gt;"",OR(IFERROR(VLOOKUP(SUBSTITUTE(SUBSTITUTE(SUBSTITUTE(IFERROR(INDEX('DADOS_FORMAS'!$AS$2:$AS$21,MATCH(SUBSTITUTE(SUBSTITUTE(SUBSTITUTE($MU147,"~","~~"),"*","~*"),"?","~?"),'DADOS_FORMAS'!$AH$2:$AH$21,0)),""),"~","~~"),"*","~*"),"?","~?"),'DADOS_RESTRICOES'!$M$2:$Q$54,2,FALSE),"")=$OK147,IFERROR(VLOOKUP(SUBSTITUTE(SUBSTITUTE(SUBSTITUTE(IFERROR(INDEX('DADOS_FORMAS'!$AS$2:$AS$21,MATCH(SUBSTITUTE(SUBSTITUTE(SUBSTITUTE($MU147,"~","~~"),"*","~*"),"?","~?"),'DADOS_FORMAS'!$AH$2:$AH$21,0)),""),"~","~~"),"*","~*"),"?","~?"),'DADOS_RESTRICOES'!$M$2:$Q$54,2,FALSE),"")=$OL147)),"Restrição repetida, contando a embutida",""),IF(IF(IFERROR(INDEX('DADOS_FORMAS'!$AS$2:$AS$21,MATCH(SUBSTITUTE(SUBSTITUTE(SUBSTITUTE($MU147,"~","~~"),"*","~*"),"?","~?"),'DADOS_FORMAS'!$AH$2:$AH$21,0)),"")="",0,IFERROR(N(VLOOKUP(SUBSTITUTE(SUBSTITUTE(SUBSTITUTE(IFERROR(INDEX('DADOS_FORMAS'!$AS$2:$AS$21,MATCH(SUBSTITUTE(SUBSTITUTE(SUBSTITUTE($MU147,"~","~~"),"*","~*"),"?","~?"),'DADOS_FORMAS'!$AH$2:$AH$21,0)),""),"~","~~"),"*","~*"),"?","~?"),'DADOS_RESTRICOES'!$M$2:$Q$54,4,FALSE)=1),0))+IF($NB147="",0,IFERROR(N(VLOOKUP(SUBSTITUTE(SUBSTITUTE(SUBSTITUTE($NB147,"~","~~"),"*","~*"),"?","~?"),'DADOS_RESTRICOES'!$M$2:$Q$54,4,FALSE)=1),0))+IF($NC147="",0,IFERROR(N(VLOOKUP(SUBSTITUTE(SUBSTITUTE(SUBSTITUTE($NC147,"~","~~"),"*","~*"),"?","~?"),'DADOS_RESTRICOES'!$M$2:$Q$54,4,FALSE)=1),0))&gt;1,"Duas Restrições de frequência, contando a embutida",""),IF(AND(IFERROR(VLOOKUP(SUBSTITUTE(SUBSTITUTE(SUBSTITUTE(IFERROR(INDEX('DADOS_FORMAS'!$AS$2:$AS$21,MATCH(SUBSTITUTE(SUBSTITUTE(SUBSTITUTE($MU147,"~","~~"),"*","~*"),"?","~?"),'DADOS_FORMAS'!$AH$2:$AH$21,0)),""),"~","~~"),"*","~*"),"?","~?"),'DADOS_RESTRICOES'!$M$2:$Q$54,2,FALSE),"")="Tudo ou Nada",$OH147=0),"Tudo ou Nada exige TR",""),IF(AND(IFERROR(VLOOKUP(SUBSTITUTE(SUBSTITUTE(SUBSTITUTE(IFERROR(INDEX('DADOS_FORMAS'!$AS$2:$AS$21,MATCH(SUBSTITUTE(SUBSTITUTE(SUBSTITUTE($MU147,"~","~~"),"*","~*"),"?","~?"),'DADOS_FORMAS'!$AH$2:$AH$21,0)),""),"~","~~"),"*","~*"),"?","~?"),'DADOS_RESTRICOES'!$M$2:$Q$54,2,FALSE),"")="Corpo a Corpo",OR($RO147="Cone",$RO147="Linha")),"Corpo a Corpo não entra em Cone/Linha","")))</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dela",IF(COUNTIF($RQ147:$RS147,"Atrasar")&gt;0,"Sua Ação Completa",IF(COUNTIF($RK147:$RN147,"Rápido")&gt;0,"Sua Bônus",IF(COUNTIF($RK147:$RN147,"Reação")&gt;0,"Sua Reação","Sua Padrão")))&amp;" + a básica dela"&amp;IF(COUNTIF($RK147:$RN147,"Reação")&gt;0," e a coletiva","")&amp;IF(COUNTIF($RQ147:$RS147,"Carregar")&gt;0," · em dois turnos","")))</f>
        <v/>
      </c>
      <c r="QC147" s="161">
        <f>IF($MW147&lt;&gt;"",$MW147,IF($NJ147=0,"",INDEX('DADOS_FORMAS'!$GE$2:$GE$21,$NJ147)))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IF($NJ147=0,0,CHOOSE(1+INDEX('DADOS_FORMAS'!$GG$2:$GG$21,$NJ147),0,$QF147,$QG147,$QF147+$QG147))</f>
        <v/>
      </c>
      <c r="QI147" s="161">
        <f>IF($NJ147=0,0,CHOOSE(1+INDEX('DADOS_FORMAS'!$GH$2:$GH$21,$NJ147),0,$QF147,$QG147,$QF147+$QG147))</f>
        <v/>
      </c>
      <c r="QJ147" s="161">
        <f>IF(OR($ND147=0,$NJ147=0),"",INDEX('DADOS_FORMAS'!$HU$2:$HZ$81,($NJ147-1)*4+IF($MS147=0,1,IF($MS147&lt;=5,2,IF($MS147=6,3,4))),1+MIN(5,$QH147))&amp;INDEX('DADOS_FORMAS'!$IA$2:$IF$81,($NJ147-1)*4+IF($MS147=0,1,IF($MS147&lt;=5,2,IF($MS147=6,3,4))),1+MIN(5,$QI147))&amp;IF(INDEX('DADOS_FORMAS'!$GI$2:$GI$21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c r="RO147">
        <f>IFERROR(INDEX('DADOS_FORMAS'!$BJ$2:$BJ$21,MATCH(SUBSTITUTE(SUBSTITUTE(SUBSTITUTE($MU147,"~","~~"),"*","~*"),"?","~?"),'DADOS_FORMAS'!$AH$2:$AH$21,0)),"")</f>
        <v/>
      </c>
      <c r="RP147">
        <f>IFERROR(VLOOKUP(SUBSTITUTE(SUBSTITUTE(SUBSTITUTE(IFERROR(INDEX('DADOS_FORMAS'!$AS$2:$AS$21,MATCH(SUBSTITUTE(SUBSTITUTE(SUBSTITUTE($MU147,"~","~~"),"*","~*"),"?","~?"),'DADOS_FORMAS'!$AH$2:$AH$21,0)),""),"~","~~"),"*","~*"),"?","~?"),'DADOS_RESTRICOES'!$M$2:$Q$54,2,FALSE),"")</f>
        <v/>
      </c>
      <c r="RQ147">
        <f>$OK147</f>
        <v/>
      </c>
      <c r="RR147">
        <f>$OL147</f>
        <v/>
      </c>
      <c r="RS147">
        <f>$RP147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IFERROR(MATCH(SUBSTITUTE(SUBSTITUTE(SUBSTITUTE($MU148,"~","~~"),"*","~*"),"?","~?"),'DADOS_FORMAS'!$FZ$2:$FZ$21,0),0)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IF($MS148=0,0,IF($NJ148=0,0,INDEX('DADOS_FORMAS'!$GB$2:$GB$21,$NJ148)))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IF($NJ148=0,0,IF(INDEX('DADOS_FORMAS'!$GA$2:$GA$21,$NJ148)="",0,IF((COUNTIF(INDEX($EL$2:$EP$13,$MO148,0),INDEX('DADOS_FORMAS'!$GA$2:$GA$21,$NJ148))+COUNTIF(INDEX($QV$2:$QY$13,$MO148,0),INDEX('DADOS_FORMAS'!$GA$2:$GA$21,$NJ148)))=0,1,0)))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IFERROR(N(AND(INDEX('DADOS_FORMAS'!$AO$2:$AO$21,MATCH(SUBSTITUTE(SUBSTITUTE(SUBSTITUTE($MU148,"~","~~"),"*","~*"),"?","~?"),'DADOS_FORMAS'!$AH$2:$AH$21,0))="Acerto",$OH148=1)),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IF($NJ148=0,0,INDEX('DADOS_FORMAS'!$GC$2:$GC$21,$NJ148))</f>
        <v/>
      </c>
      <c r="OG148" s="161">
        <f>IF($NJ148=0,0,INDEX('DADOS_FORMAS'!$GD$2:$GD$21,$NJ148))</f>
        <v/>
      </c>
      <c r="OH148" s="161">
        <f>IF($NJ148=0,0,INDEX('DADOS_FORMAS'!$GF$2:$GF$21,$NJ148))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IF(IFERROR(INDEX('DADOS_FORMAS'!$AS$2:$AS$21,MATCH(SUBSTITUTE(SUBSTITUTE(SUBSTITUTE($MU148,"~","~~"),"*","~*"),"?","~?"),'DADOS_FORMAS'!$AH$2:$AH$21,0)),"")="",0,IFERROR(N(VLOOKUP(SUBSTITUTE(SUBSTITUTE(SUBSTITUTE(IFERROR(INDEX('DADOS_FORMAS'!$AS$2:$AS$21,MATCH(SUBSTITUTE(SUBSTITUTE(SUBSTITUTE($MU148,"~","~~"),"*","~*"),"?","~?"),'DADOS_FORMAS'!$AH$2:$AH$21,0)),""),"~","~~"),"*","~*"),"?","~?"),'DADOS_RESTRICOES'!$M$2:$Q$54,3,FALSE)=1),0))</f>
        <v/>
      </c>
      <c r="OT148" s="161">
        <f>COUNTIF($OI148:$OJ148,2)+IF(IFERROR(INDEX('DADOS_FORMAS'!$AS$2:$AS$21,MATCH(SUBSTITUTE(SUBSTITUTE(SUBSTITUTE($MU148,"~","~~"),"*","~*"),"?","~?"),'DADOS_FORMAS'!$AH$2:$AH$21,0)),"")="",0,IFERROR(N(VLOOKUP(SUBSTITUTE(SUBSTITUTE(SUBSTITUTE(IFERROR(INDEX('DADOS_FORMAS'!$AS$2:$AS$21,MATCH(SUBSTITUTE(SUBSTITUTE(SUBSTITUTE($MU148,"~","~~"),"*","~*"),"?","~?"),'DADOS_FORMAS'!$AH$2:$AH$21,0)),""),"~","~~"),"*","~*"),"?","~?"),'DADOS_RESTRICOES'!$M$2:$Q$54,3,FALSE)=2),0))</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",TRUE,IF($ND148=0,"",TEXTJOIN(" · ",TRUE,IF($MQ148&gt;$NE148,"Este lugar abre no nível "&amp;$MQ148,""),IF($MS148&gt;$NF148,"Classe "&amp;$MS148&amp;": o nível "&amp;$NE148&amp;" libera até a "&amp;$NF148,""),IF($NX148=1,"A Forma "&amp;$MU148&amp;" pede "&amp;INDEX('DADOS_FORMAS'!$GA$2:$GA$21,$NJ148)&amp;" aberta",""),IF(AND($MS148=0,$NJ148&gt;0,IF($NJ148=0,0,INDEX('DADOS_FORMAS'!$GJ$2:$GJ$21,$NJ148))=0),$MU148&amp;"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Corpo")&gt;0,$OF148=0,OR($RO148="Cone",$RO148="Linha")),"Corpo a Corpo não entra em "&amp;$MU148,""),IF(AND(COUNTIF($OK148:$OL148,"Corpo a Corpo")&gt;0,$RP148="Corpo a Corpo"),"A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"&amp;$NC148,""))),IF(AND($MU148&lt;&gt;"",COUNTIF('DADOS_FORMAS'!$AH$2:$AH$21,SUBSTITUTE(SUBSTITUTE(SUBSTITUTE($MU148,"~","~~"),"*","~*"),"?","~?"))=0),"Forma não cadastrada ou com erro: "&amp;$MU148,""),IF(AND(IFERROR(INDEX('DADOS_FORMAS'!$AS$2:$AS$21,MATCH(SUBSTITUTE(SUBSTITUTE(SUBSTITUTE($MU148,"~","~~"),"*","~*"),"?","~?"),'DADOS_FORMAS'!$AH$2:$AH$21,0)),"")&lt;&gt;"",OR(IFERROR(VLOOKUP(SUBSTITUTE(SUBSTITUTE(SUBSTITUTE(IFERROR(INDEX('DADOS_FORMAS'!$AS$2:$AS$21,MATCH(SUBSTITUTE(SUBSTITUTE(SUBSTITUTE($MU148,"~","~~"),"*","~*"),"?","~?"),'DADOS_FORMAS'!$AH$2:$AH$21,0)),""),"~","~~"),"*","~*"),"?","~?"),'DADOS_RESTRICOES'!$M$2:$Q$54,2,FALSE),"")=$OK148,IFERROR(VLOOKUP(SUBSTITUTE(SUBSTITUTE(SUBSTITUTE(IFERROR(INDEX('DADOS_FORMAS'!$AS$2:$AS$21,MATCH(SUBSTITUTE(SUBSTITUTE(SUBSTITUTE($MU148,"~","~~"),"*","~*"),"?","~?"),'DADOS_FORMAS'!$AH$2:$AH$21,0)),""),"~","~~"),"*","~*"),"?","~?"),'DADOS_RESTRICOES'!$M$2:$Q$54,2,FALSE),"")=$OL148)),"Restrição repetida, contando a embutida",""),IF(IF(IFERROR(INDEX('DADOS_FORMAS'!$AS$2:$AS$21,MATCH(SUBSTITUTE(SUBSTITUTE(SUBSTITUTE($MU148,"~","~~"),"*","~*"),"?","~?"),'DADOS_FORMAS'!$AH$2:$AH$21,0)),"")="",0,IFERROR(N(VLOOKUP(SUBSTITUTE(SUBSTITUTE(SUBSTITUTE(IFERROR(INDEX('DADOS_FORMAS'!$AS$2:$AS$21,MATCH(SUBSTITUTE(SUBSTITUTE(SUBSTITUTE($MU148,"~","~~"),"*","~*"),"?","~?"),'DADOS_FORMAS'!$AH$2:$AH$21,0)),""),"~","~~"),"*","~*"),"?","~?"),'DADOS_RESTRICOES'!$M$2:$Q$54,4,FALSE)=1),0))+IF($NB148="",0,IFERROR(N(VLOOKUP(SUBSTITUTE(SUBSTITUTE(SUBSTITUTE($NB148,"~","~~"),"*","~*"),"?","~?"),'DADOS_RESTRICOES'!$M$2:$Q$54,4,FALSE)=1),0))+IF($NC148="",0,IFERROR(N(VLOOKUP(SUBSTITUTE(SUBSTITUTE(SUBSTITUTE($NC148,"~","~~"),"*","~*"),"?","~?"),'DADOS_RESTRICOES'!$M$2:$Q$54,4,FALSE)=1),0))&gt;1,"Duas Restrições de frequência, contando a embutida",""),IF(AND(IFERROR(VLOOKUP(SUBSTITUTE(SUBSTITUTE(SUBSTITUTE(IFERROR(INDEX('DADOS_FORMAS'!$AS$2:$AS$21,MATCH(SUBSTITUTE(SUBSTITUTE(SUBSTITUTE($MU148,"~","~~"),"*","~*"),"?","~?"),'DADOS_FORMAS'!$AH$2:$AH$21,0)),""),"~","~~"),"*","~*"),"?","~?"),'DADOS_RESTRICOES'!$M$2:$Q$54,2,FALSE),"")="Tudo ou Nada",$OH148=0),"Tudo ou Nada exige TR",""),IF(AND(IFERROR(VLOOKUP(SUBSTITUTE(SUBSTITUTE(SUBSTITUTE(IFERROR(INDEX('DADOS_FORMAS'!$AS$2:$AS$21,MATCH(SUBSTITUTE(SUBSTITUTE(SUBSTITUTE($MU148,"~","~~"),"*","~*"),"?","~?"),'DADOS_FORMAS'!$AH$2:$AH$21,0)),""),"~","~~"),"*","~*"),"?","~?"),'DADOS_RESTRICOES'!$M$2:$Q$54,2,FALSE),"")="Corpo a Corpo",OR($RO148="Cone",$RO148="Linha")),"Corpo a Corpo não entra em Cone/Linha","")))</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dela",IF(COUNTIF($RQ148:$RS148,"Atrasar")&gt;0,"Sua Ação Completa",IF(COUNTIF($RK148:$RN148,"Rápido")&gt;0,"Sua Bônus",IF(COUNTIF($RK148:$RN148,"Reação")&gt;0,"Sua Reação","Sua Padrão")))&amp;" + a básica dela"&amp;IF(COUNTIF($RK148:$RN148,"Reação")&gt;0," e a coletiva","")&amp;IF(COUNTIF($RQ148:$RS148,"Carregar")&gt;0," · em dois turnos","")))</f>
        <v/>
      </c>
      <c r="QC148" s="161">
        <f>IF($MW148&lt;&gt;"",$MW148,IF($NJ148=0,"",INDEX('DADOS_FORMAS'!$GE$2:$GE$21,$NJ148)))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IF($NJ148=0,0,CHOOSE(1+INDEX('DADOS_FORMAS'!$GG$2:$GG$21,$NJ148),0,$QF148,$QG148,$QF148+$QG148))</f>
        <v/>
      </c>
      <c r="QI148" s="161">
        <f>IF($NJ148=0,0,CHOOSE(1+INDEX('DADOS_FORMAS'!$GH$2:$GH$21,$NJ148),0,$QF148,$QG148,$QF148+$QG148))</f>
        <v/>
      </c>
      <c r="QJ148" s="161">
        <f>IF(OR($ND148=0,$NJ148=0),"",INDEX('DADOS_FORMAS'!$HU$2:$HZ$81,($NJ148-1)*4+IF($MS148=0,1,IF($MS148&lt;=5,2,IF($MS148=6,3,4))),1+MIN(5,$QH148))&amp;INDEX('DADOS_FORMAS'!$IA$2:$IF$81,($NJ148-1)*4+IF($MS148=0,1,IF($MS148&lt;=5,2,IF($MS148=6,3,4))),1+MIN(5,$QI148))&amp;IF(INDEX('DADOS_FORMAS'!$GI$2:$GI$21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c r="RO148">
        <f>IFERROR(INDEX('DADOS_FORMAS'!$BJ$2:$BJ$21,MATCH(SUBSTITUTE(SUBSTITUTE(SUBSTITUTE($MU148,"~","~~"),"*","~*"),"?","~?"),'DADOS_FORMAS'!$AH$2:$AH$21,0)),"")</f>
        <v/>
      </c>
      <c r="RP148">
        <f>IFERROR(VLOOKUP(SUBSTITUTE(SUBSTITUTE(SUBSTITUTE(IFERROR(INDEX('DADOS_FORMAS'!$AS$2:$AS$21,MATCH(SUBSTITUTE(SUBSTITUTE(SUBSTITUTE($MU148,"~","~~"),"*","~*"),"?","~?"),'DADOS_FORMAS'!$AH$2:$AH$21,0)),""),"~","~~"),"*","~*"),"?","~?"),'DADOS_RESTRICOES'!$M$2:$Q$54,2,FALSE),"")</f>
        <v/>
      </c>
      <c r="RQ148">
        <f>$OK148</f>
        <v/>
      </c>
      <c r="RR148">
        <f>$OL148</f>
        <v/>
      </c>
      <c r="RS148">
        <f>$RP148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IFERROR(MATCH(SUBSTITUTE(SUBSTITUTE(SUBSTITUTE($MU149,"~","~~"),"*","~*"),"?","~?"),'DADOS_FORMAS'!$FZ$2:$FZ$21,0),0)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IF($MS149=0,0,IF($NJ149=0,0,INDEX('DADOS_FORMAS'!$GB$2:$GB$21,$NJ149)))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IF($NJ149=0,0,IF(INDEX('DADOS_FORMAS'!$GA$2:$GA$21,$NJ149)="",0,IF((COUNTIF(INDEX($EL$2:$EP$13,$MO149,0),INDEX('DADOS_FORMAS'!$GA$2:$GA$21,$NJ149))+COUNTIF(INDEX($QV$2:$QY$13,$MO149,0),INDEX('DADOS_FORMAS'!$GA$2:$GA$21,$NJ149)))=0,1,0)))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IFERROR(N(AND(INDEX('DADOS_FORMAS'!$AO$2:$AO$21,MATCH(SUBSTITUTE(SUBSTITUTE(SUBSTITUTE($MU149,"~","~~"),"*","~*"),"?","~?"),'DADOS_FORMAS'!$AH$2:$AH$21,0))="Acerto",$OH149=1)),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IF($NJ149=0,0,INDEX('DADOS_FORMAS'!$GC$2:$GC$21,$NJ149))</f>
        <v/>
      </c>
      <c r="OG149" s="161">
        <f>IF($NJ149=0,0,INDEX('DADOS_FORMAS'!$GD$2:$GD$21,$NJ149))</f>
        <v/>
      </c>
      <c r="OH149" s="161">
        <f>IF($NJ149=0,0,INDEX('DADOS_FORMAS'!$GF$2:$GF$21,$NJ149))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IF(IFERROR(INDEX('DADOS_FORMAS'!$AS$2:$AS$21,MATCH(SUBSTITUTE(SUBSTITUTE(SUBSTITUTE($MU149,"~","~~"),"*","~*"),"?","~?"),'DADOS_FORMAS'!$AH$2:$AH$21,0)),"")="",0,IFERROR(N(VLOOKUP(SUBSTITUTE(SUBSTITUTE(SUBSTITUTE(IFERROR(INDEX('DADOS_FORMAS'!$AS$2:$AS$21,MATCH(SUBSTITUTE(SUBSTITUTE(SUBSTITUTE($MU149,"~","~~"),"*","~*"),"?","~?"),'DADOS_FORMAS'!$AH$2:$AH$21,0)),""),"~","~~"),"*","~*"),"?","~?"),'DADOS_RESTRICOES'!$M$2:$Q$54,3,FALSE)=1),0))</f>
        <v/>
      </c>
      <c r="OT149" s="161">
        <f>COUNTIF($OI149:$OJ149,2)+IF(IFERROR(INDEX('DADOS_FORMAS'!$AS$2:$AS$21,MATCH(SUBSTITUTE(SUBSTITUTE(SUBSTITUTE($MU149,"~","~~"),"*","~*"),"?","~?"),'DADOS_FORMAS'!$AH$2:$AH$21,0)),"")="",0,IFERROR(N(VLOOKUP(SUBSTITUTE(SUBSTITUTE(SUBSTITUTE(IFERROR(INDEX('DADOS_FORMAS'!$AS$2:$AS$21,MATCH(SUBSTITUTE(SUBSTITUTE(SUBSTITUTE($MU149,"~","~~"),"*","~*"),"?","~?"),'DADOS_FORMAS'!$AH$2:$AH$21,0)),""),"~","~~"),"*","~*"),"?","~?"),'DADOS_RESTRICOES'!$M$2:$Q$54,3,FALSE)=2),0))</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",TRUE,IF($ND149=0,"",TEXTJOIN(" · ",TRUE,IF($MQ149&gt;$NE149,"Este lugar abre no nível "&amp;$MQ149,""),IF($MS149&gt;$NF149,"Classe "&amp;$MS149&amp;": o nível "&amp;$NE149&amp;" libera até a "&amp;$NF149,""),IF($NX149=1,"A Forma "&amp;$MU149&amp;" pede "&amp;INDEX('DADOS_FORMAS'!$GA$2:$GA$21,$NJ149)&amp;" aberta",""),IF(AND($MS149=0,$NJ149&gt;0,IF($NJ149=0,0,INDEX('DADOS_FORMAS'!$GJ$2:$GJ$21,$NJ149))=0),$MU149&amp;"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Corpo")&gt;0,$OF149=0,OR($RO149="Cone",$RO149="Linha")),"Corpo a Corpo não entra em "&amp;$MU149,""),IF(AND(COUNTIF($OK149:$OL149,"Corpo a Corpo")&gt;0,$RP149="Corpo a Corpo"),"A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"&amp;$NC149,""))),IF(AND($MU149&lt;&gt;"",COUNTIF('DADOS_FORMAS'!$AH$2:$AH$21,SUBSTITUTE(SUBSTITUTE(SUBSTITUTE($MU149,"~","~~"),"*","~*"),"?","~?"))=0),"Forma não cadastrada ou com erro: "&amp;$MU149,""),IF(AND(IFERROR(INDEX('DADOS_FORMAS'!$AS$2:$AS$21,MATCH(SUBSTITUTE(SUBSTITUTE(SUBSTITUTE($MU149,"~","~~"),"*","~*"),"?","~?"),'DADOS_FORMAS'!$AH$2:$AH$21,0)),"")&lt;&gt;"",OR(IFERROR(VLOOKUP(SUBSTITUTE(SUBSTITUTE(SUBSTITUTE(IFERROR(INDEX('DADOS_FORMAS'!$AS$2:$AS$21,MATCH(SUBSTITUTE(SUBSTITUTE(SUBSTITUTE($MU149,"~","~~"),"*","~*"),"?","~?"),'DADOS_FORMAS'!$AH$2:$AH$21,0)),""),"~","~~"),"*","~*"),"?","~?"),'DADOS_RESTRICOES'!$M$2:$Q$54,2,FALSE),"")=$OK149,IFERROR(VLOOKUP(SUBSTITUTE(SUBSTITUTE(SUBSTITUTE(IFERROR(INDEX('DADOS_FORMAS'!$AS$2:$AS$21,MATCH(SUBSTITUTE(SUBSTITUTE(SUBSTITUTE($MU149,"~","~~"),"*","~*"),"?","~?"),'DADOS_FORMAS'!$AH$2:$AH$21,0)),""),"~","~~"),"*","~*"),"?","~?"),'DADOS_RESTRICOES'!$M$2:$Q$54,2,FALSE),"")=$OL149)),"Restrição repetida, contando a embutida",""),IF(IF(IFERROR(INDEX('DADOS_FORMAS'!$AS$2:$AS$21,MATCH(SUBSTITUTE(SUBSTITUTE(SUBSTITUTE($MU149,"~","~~"),"*","~*"),"?","~?"),'DADOS_FORMAS'!$AH$2:$AH$21,0)),"")="",0,IFERROR(N(VLOOKUP(SUBSTITUTE(SUBSTITUTE(SUBSTITUTE(IFERROR(INDEX('DADOS_FORMAS'!$AS$2:$AS$21,MATCH(SUBSTITUTE(SUBSTITUTE(SUBSTITUTE($MU149,"~","~~"),"*","~*"),"?","~?"),'DADOS_FORMAS'!$AH$2:$AH$21,0)),""),"~","~~"),"*","~*"),"?","~?"),'DADOS_RESTRICOES'!$M$2:$Q$54,4,FALSE)=1),0))+IF($NB149="",0,IFERROR(N(VLOOKUP(SUBSTITUTE(SUBSTITUTE(SUBSTITUTE($NB149,"~","~~"),"*","~*"),"?","~?"),'DADOS_RESTRICOES'!$M$2:$Q$54,4,FALSE)=1),0))+IF($NC149="",0,IFERROR(N(VLOOKUP(SUBSTITUTE(SUBSTITUTE(SUBSTITUTE($NC149,"~","~~"),"*","~*"),"?","~?"),'DADOS_RESTRICOES'!$M$2:$Q$54,4,FALSE)=1),0))&gt;1,"Duas Restrições de frequência, contando a embutida",""),IF(AND(IFERROR(VLOOKUP(SUBSTITUTE(SUBSTITUTE(SUBSTITUTE(IFERROR(INDEX('DADOS_FORMAS'!$AS$2:$AS$21,MATCH(SUBSTITUTE(SUBSTITUTE(SUBSTITUTE($MU149,"~","~~"),"*","~*"),"?","~?"),'DADOS_FORMAS'!$AH$2:$AH$21,0)),""),"~","~~"),"*","~*"),"?","~?"),'DADOS_RESTRICOES'!$M$2:$Q$54,2,FALSE),"")="Tudo ou Nada",$OH149=0),"Tudo ou Nada exige TR",""),IF(AND(IFERROR(VLOOKUP(SUBSTITUTE(SUBSTITUTE(SUBSTITUTE(IFERROR(INDEX('DADOS_FORMAS'!$AS$2:$AS$21,MATCH(SUBSTITUTE(SUBSTITUTE(SUBSTITUTE($MU149,"~","~~"),"*","~*"),"?","~?"),'DADOS_FORMAS'!$AH$2:$AH$21,0)),""),"~","~~"),"*","~*"),"?","~?"),'DADOS_RESTRICOES'!$M$2:$Q$54,2,FALSE),"")="Corpo a Corpo",OR($RO149="Cone",$RO149="Linha")),"Corpo a Corpo não entra em Cone/Linha","")))</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dela",IF(COUNTIF($RQ149:$RS149,"Atrasar")&gt;0,"Sua Ação Completa",IF(COUNTIF($RK149:$RN149,"Rápido")&gt;0,"Sua Bônus",IF(COUNTIF($RK149:$RN149,"Reação")&gt;0,"Sua Reação","Sua Padrão")))&amp;" + a básica dela"&amp;IF(COUNTIF($RK149:$RN149,"Reação")&gt;0," e a coletiva","")&amp;IF(COUNTIF($RQ149:$RS149,"Carregar")&gt;0," · em dois turnos","")))</f>
        <v/>
      </c>
      <c r="QC149" s="161">
        <f>IF($MW149&lt;&gt;"",$MW149,IF($NJ149=0,"",INDEX('DADOS_FORMAS'!$GE$2:$GE$21,$NJ149)))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IF($NJ149=0,0,CHOOSE(1+INDEX('DADOS_FORMAS'!$GG$2:$GG$21,$NJ149),0,$QF149,$QG149,$QF149+$QG149))</f>
        <v/>
      </c>
      <c r="QI149" s="161">
        <f>IF($NJ149=0,0,CHOOSE(1+INDEX('DADOS_FORMAS'!$GH$2:$GH$21,$NJ149),0,$QF149,$QG149,$QF149+$QG149))</f>
        <v/>
      </c>
      <c r="QJ149" s="161">
        <f>IF(OR($ND149=0,$NJ149=0),"",INDEX('DADOS_FORMAS'!$HU$2:$HZ$81,($NJ149-1)*4+IF($MS149=0,1,IF($MS149&lt;=5,2,IF($MS149=6,3,4))),1+MIN(5,$QH149))&amp;INDEX('DADOS_FORMAS'!$IA$2:$IF$81,($NJ149-1)*4+IF($MS149=0,1,IF($MS149&lt;=5,2,IF($MS149=6,3,4))),1+MIN(5,$QI149))&amp;IF(INDEX('DADOS_FORMAS'!$GI$2:$GI$21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c r="RO149">
        <f>IFERROR(INDEX('DADOS_FORMAS'!$BJ$2:$BJ$21,MATCH(SUBSTITUTE(SUBSTITUTE(SUBSTITUTE($MU149,"~","~~"),"*","~*"),"?","~?"),'DADOS_FORMAS'!$AH$2:$AH$21,0)),"")</f>
        <v/>
      </c>
      <c r="RP149">
        <f>IFERROR(VLOOKUP(SUBSTITUTE(SUBSTITUTE(SUBSTITUTE(IFERROR(INDEX('DADOS_FORMAS'!$AS$2:$AS$21,MATCH(SUBSTITUTE(SUBSTITUTE(SUBSTITUTE($MU149,"~","~~"),"*","~*"),"?","~?"),'DADOS_FORMAS'!$AH$2:$AH$21,0)),""),"~","~~"),"*","~*"),"?","~?"),'DADOS_RESTRICOES'!$M$2:$Q$54,2,FALSE),"")</f>
        <v/>
      </c>
      <c r="RQ149">
        <f>$OK149</f>
        <v/>
      </c>
      <c r="RR149">
        <f>$OL149</f>
        <v/>
      </c>
      <c r="RS149">
        <f>$RP149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IFERROR(MATCH(SUBSTITUTE(SUBSTITUTE(SUBSTITUTE($MU150,"~","~~"),"*","~*"),"?","~?"),'DADOS_FORMAS'!$FZ$2:$FZ$21,0),0)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IF($MS150=0,0,IF($NJ150=0,0,INDEX('DADOS_FORMAS'!$GB$2:$GB$21,$NJ150)))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IF($NJ150=0,0,IF(INDEX('DADOS_FORMAS'!$GA$2:$GA$21,$NJ150)="",0,IF((COUNTIF(INDEX($EL$2:$EP$13,$MO150,0),INDEX('DADOS_FORMAS'!$GA$2:$GA$21,$NJ150))+COUNTIF(INDEX($QV$2:$QY$13,$MO150,0),INDEX('DADOS_FORMAS'!$GA$2:$GA$21,$NJ150)))=0,1,0)))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IFERROR(N(AND(INDEX('DADOS_FORMAS'!$AO$2:$AO$21,MATCH(SUBSTITUTE(SUBSTITUTE(SUBSTITUTE($MU150,"~","~~"),"*","~*"),"?","~?"),'DADOS_FORMAS'!$AH$2:$AH$21,0))="Acerto",$OH150=1)),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IF($NJ150=0,0,INDEX('DADOS_FORMAS'!$GC$2:$GC$21,$NJ150))</f>
        <v/>
      </c>
      <c r="OG150" s="161">
        <f>IF($NJ150=0,0,INDEX('DADOS_FORMAS'!$GD$2:$GD$21,$NJ150))</f>
        <v/>
      </c>
      <c r="OH150" s="161">
        <f>IF($NJ150=0,0,INDEX('DADOS_FORMAS'!$GF$2:$GF$21,$NJ150))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IF(IFERROR(INDEX('DADOS_FORMAS'!$AS$2:$AS$21,MATCH(SUBSTITUTE(SUBSTITUTE(SUBSTITUTE($MU150,"~","~~"),"*","~*"),"?","~?"),'DADOS_FORMAS'!$AH$2:$AH$21,0)),"")="",0,IFERROR(N(VLOOKUP(SUBSTITUTE(SUBSTITUTE(SUBSTITUTE(IFERROR(INDEX('DADOS_FORMAS'!$AS$2:$AS$21,MATCH(SUBSTITUTE(SUBSTITUTE(SUBSTITUTE($MU150,"~","~~"),"*","~*"),"?","~?"),'DADOS_FORMAS'!$AH$2:$AH$21,0)),""),"~","~~"),"*","~*"),"?","~?"),'DADOS_RESTRICOES'!$M$2:$Q$54,3,FALSE)=1),0))</f>
        <v/>
      </c>
      <c r="OT150" s="161">
        <f>COUNTIF($OI150:$OJ150,2)+IF(IFERROR(INDEX('DADOS_FORMAS'!$AS$2:$AS$21,MATCH(SUBSTITUTE(SUBSTITUTE(SUBSTITUTE($MU150,"~","~~"),"*","~*"),"?","~?"),'DADOS_FORMAS'!$AH$2:$AH$21,0)),"")="",0,IFERROR(N(VLOOKUP(SUBSTITUTE(SUBSTITUTE(SUBSTITUTE(IFERROR(INDEX('DADOS_FORMAS'!$AS$2:$AS$21,MATCH(SUBSTITUTE(SUBSTITUTE(SUBSTITUTE($MU150,"~","~~"),"*","~*"),"?","~?"),'DADOS_FORMAS'!$AH$2:$AH$21,0)),""),"~","~~"),"*","~*"),"?","~?"),'DADOS_RESTRICOES'!$M$2:$Q$54,3,FALSE)=2),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",TRUE,IF($ND150=0,"",TEXTJOIN(" · ",TRUE,IF($MQ150&gt;$NE150,"Este lugar abre no nível "&amp;$MQ150,""),IF($MS150&gt;$NF150,"Classe "&amp;$MS150&amp;": o nível "&amp;$NE150&amp;" libera até a "&amp;$NF150,""),IF($NX150=1,"A Forma "&amp;$MU150&amp;" pede "&amp;INDEX('DADOS_FORMAS'!$GA$2:$GA$21,$NJ150)&amp;" aberta",""),IF(AND($MS150=0,$NJ150&gt;0,IF($NJ150=0,0,INDEX('DADOS_FORMAS'!$GJ$2:$GJ$21,$NJ150))=0),$MU150&amp;"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Corpo")&gt;0,$OF150=0,OR($RO150="Cone",$RO150="Linha")),"Corpo a Corpo não entra em "&amp;$MU150,""),IF(AND(COUNTIF($OK150:$OL150,"Corpo a Corpo")&gt;0,$RP150="Corpo a Corpo"),"A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"&amp;$NC150,""))),IF(AND($MU150&lt;&gt;"",COUNTIF('DADOS_FORMAS'!$AH$2:$AH$21,SUBSTITUTE(SUBSTITUTE(SUBSTITUTE($MU150,"~","~~"),"*","~*"),"?","~?"))=0),"Forma não cadastrada ou com erro: "&amp;$MU150,""),IF(AND(IFERROR(INDEX('DADOS_FORMAS'!$AS$2:$AS$21,MATCH(SUBSTITUTE(SUBSTITUTE(SUBSTITUTE($MU150,"~","~~"),"*","~*"),"?","~?"),'DADOS_FORMAS'!$AH$2:$AH$21,0)),"")&lt;&gt;"",OR(IFERROR(VLOOKUP(SUBSTITUTE(SUBSTITUTE(SUBSTITUTE(IFERROR(INDEX('DADOS_FORMAS'!$AS$2:$AS$21,MATCH(SUBSTITUTE(SUBSTITUTE(SUBSTITUTE($MU150,"~","~~"),"*","~*"),"?","~?"),'DADOS_FORMAS'!$AH$2:$AH$21,0)),""),"~","~~"),"*","~*"),"?","~?"),'DADOS_RESTRICOES'!$M$2:$Q$54,2,FALSE),"")=$OK150,IFERROR(VLOOKUP(SUBSTITUTE(SUBSTITUTE(SUBSTITUTE(IFERROR(INDEX('DADOS_FORMAS'!$AS$2:$AS$21,MATCH(SUBSTITUTE(SUBSTITUTE(SUBSTITUTE($MU150,"~","~~"),"*","~*"),"?","~?"),'DADOS_FORMAS'!$AH$2:$AH$21,0)),""),"~","~~"),"*","~*"),"?","~?"),'DADOS_RESTRICOES'!$M$2:$Q$54,2,FALSE),"")=$OL150)),"Restrição repetida, contando a embutida",""),IF(IF(IFERROR(INDEX('DADOS_FORMAS'!$AS$2:$AS$21,MATCH(SUBSTITUTE(SUBSTITUTE(SUBSTITUTE($MU150,"~","~~"),"*","~*"),"?","~?"),'DADOS_FORMAS'!$AH$2:$AH$21,0)),"")="",0,IFERROR(N(VLOOKUP(SUBSTITUTE(SUBSTITUTE(SUBSTITUTE(IFERROR(INDEX('DADOS_FORMAS'!$AS$2:$AS$21,MATCH(SUBSTITUTE(SUBSTITUTE(SUBSTITUTE($MU150,"~","~~"),"*","~*"),"?","~?"),'DADOS_FORMAS'!$AH$2:$AH$21,0)),""),"~","~~"),"*","~*"),"?","~?"),'DADOS_RESTRICOES'!$M$2:$Q$54,4,FALSE)=1),0))+IF($NB150="",0,IFERROR(N(VLOOKUP(SUBSTITUTE(SUBSTITUTE(SUBSTITUTE($NB150,"~","~~"),"*","~*"),"?","~?"),'DADOS_RESTRICOES'!$M$2:$Q$54,4,FALSE)=1),0))+IF($NC150="",0,IFERROR(N(VLOOKUP(SUBSTITUTE(SUBSTITUTE(SUBSTITUTE($NC150,"~","~~"),"*","~*"),"?","~?"),'DADOS_RESTRICOES'!$M$2:$Q$54,4,FALSE)=1),0))&gt;1,"Duas Restrições de frequência, contando a embutida",""),IF(AND(IFERROR(VLOOKUP(SUBSTITUTE(SUBSTITUTE(SUBSTITUTE(IFERROR(INDEX('DADOS_FORMAS'!$AS$2:$AS$21,MATCH(SUBSTITUTE(SUBSTITUTE(SUBSTITUTE($MU150,"~","~~"),"*","~*"),"?","~?"),'DADOS_FORMAS'!$AH$2:$AH$21,0)),""),"~","~~"),"*","~*"),"?","~?"),'DADOS_RESTRICOES'!$M$2:$Q$54,2,FALSE),"")="Tudo ou Nada",$OH150=0),"Tudo ou Nada exige TR",""),IF(AND(IFERROR(VLOOKUP(SUBSTITUTE(SUBSTITUTE(SUBSTITUTE(IFERROR(INDEX('DADOS_FORMAS'!$AS$2:$AS$21,MATCH(SUBSTITUTE(SUBSTITUTE(SUBSTITUTE($MU150,"~","~~"),"*","~*"),"?","~?"),'DADOS_FORMAS'!$AH$2:$AH$21,0)),""),"~","~~"),"*","~*"),"?","~?"),'DADOS_RESTRICOES'!$M$2:$Q$54,2,FALSE),"")="Corpo a Corpo",OR($RO150="Cone",$RO150="Linha")),"Corpo a Corpo não entra em Cone/Linha","")))</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dela",IF(COUNTIF($RQ150:$RS150,"Atrasar")&gt;0,"Sua Ação Completa",IF(COUNTIF($RK150:$RN150,"Rápido")&gt;0,"Sua Bônus",IF(COUNTIF($RK150:$RN150,"Reação")&gt;0,"Sua Reação","Sua Padrão")))&amp;" + a básica dela"&amp;IF(COUNTIF($RK150:$RN150,"Reação")&gt;0," e a coletiva","")&amp;IF(COUNTIF($RQ150:$RS150,"Carregar")&gt;0," · em dois turnos","")))</f>
        <v/>
      </c>
      <c r="QC150" s="161">
        <f>IF($MW150&lt;&gt;"",$MW150,IF($NJ150=0,"",INDEX('DADOS_FORMAS'!$GE$2:$GE$21,$NJ150)))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IF($NJ150=0,0,CHOOSE(1+INDEX('DADOS_FORMAS'!$GG$2:$GG$21,$NJ150),0,$QF150,$QG150,$QF150+$QG150))</f>
        <v/>
      </c>
      <c r="QI150" s="161">
        <f>IF($NJ150=0,0,CHOOSE(1+INDEX('DADOS_FORMAS'!$GH$2:$GH$21,$NJ150),0,$QF150,$QG150,$QF150+$QG150))</f>
        <v/>
      </c>
      <c r="QJ150" s="161">
        <f>IF(OR($ND150=0,$NJ150=0),"",INDEX('DADOS_FORMAS'!$HU$2:$HZ$81,($NJ150-1)*4+IF($MS150=0,1,IF($MS150&lt;=5,2,IF($MS150=6,3,4))),1+MIN(5,$QH150))&amp;INDEX('DADOS_FORMAS'!$IA$2:$IF$81,($NJ150-1)*4+IF($MS150=0,1,IF($MS150&lt;=5,2,IF($MS150=6,3,4))),1+MIN(5,$QI150))&amp;IF(INDEX('DADOS_FORMAS'!$GI$2:$GI$21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c r="RO150">
        <f>IFERROR(INDEX('DADOS_FORMAS'!$BJ$2:$BJ$21,MATCH(SUBSTITUTE(SUBSTITUTE(SUBSTITUTE($MU150,"~","~~"),"*","~*"),"?","~?"),'DADOS_FORMAS'!$AH$2:$AH$21,0)),"")</f>
        <v/>
      </c>
      <c r="RP150">
        <f>IFERROR(VLOOKUP(SUBSTITUTE(SUBSTITUTE(SUBSTITUTE(IFERROR(INDEX('DADOS_FORMAS'!$AS$2:$AS$21,MATCH(SUBSTITUTE(SUBSTITUTE(SUBSTITUTE($MU150,"~","~~"),"*","~*"),"?","~?"),'DADOS_FORMAS'!$AH$2:$AH$21,0)),""),"~","~~"),"*","~*"),"?","~?"),'DADOS_RESTRICOES'!$M$2:$Q$54,2,FALSE),"")</f>
        <v/>
      </c>
      <c r="RQ150">
        <f>$OK150</f>
        <v/>
      </c>
      <c r="RR150">
        <f>$OL150</f>
        <v/>
      </c>
      <c r="RS150">
        <f>$RP150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IFERROR(MATCH(SUBSTITUTE(SUBSTITUTE(SUBSTITUTE($MU151,"~","~~"),"*","~*"),"?","~?"),'DADOS_FORMAS'!$FZ$2:$FZ$21,0),0)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IF($MS151=0,0,IF($NJ151=0,0,INDEX('DADOS_FORMAS'!$GB$2:$GB$21,$NJ151)))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IF($NJ151=0,0,IF(INDEX('DADOS_FORMAS'!$GA$2:$GA$21,$NJ151)="",0,IF((COUNTIF(INDEX($EL$2:$EP$13,$MO151,0),INDEX('DADOS_FORMAS'!$GA$2:$GA$21,$NJ151))+COUNTIF(INDEX($QV$2:$QY$13,$MO151,0),INDEX('DADOS_FORMAS'!$GA$2:$GA$21,$NJ151)))=0,1,0)))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IFERROR(N(AND(INDEX('DADOS_FORMAS'!$AO$2:$AO$21,MATCH(SUBSTITUTE(SUBSTITUTE(SUBSTITUTE($MU151,"~","~~"),"*","~*"),"?","~?"),'DADOS_FORMAS'!$AH$2:$AH$21,0))="Acerto",$OH151=1)),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IF($NJ151=0,0,INDEX('DADOS_FORMAS'!$GC$2:$GC$21,$NJ151))</f>
        <v/>
      </c>
      <c r="OG151" s="161">
        <f>IF($NJ151=0,0,INDEX('DADOS_FORMAS'!$GD$2:$GD$21,$NJ151))</f>
        <v/>
      </c>
      <c r="OH151" s="161">
        <f>IF($NJ151=0,0,INDEX('DADOS_FORMAS'!$GF$2:$GF$21,$NJ151))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IF(IFERROR(INDEX('DADOS_FORMAS'!$AS$2:$AS$21,MATCH(SUBSTITUTE(SUBSTITUTE(SUBSTITUTE($MU151,"~","~~"),"*","~*"),"?","~?"),'DADOS_FORMAS'!$AH$2:$AH$21,0)),"")="",0,IFERROR(N(VLOOKUP(SUBSTITUTE(SUBSTITUTE(SUBSTITUTE(IFERROR(INDEX('DADOS_FORMAS'!$AS$2:$AS$21,MATCH(SUBSTITUTE(SUBSTITUTE(SUBSTITUTE($MU151,"~","~~"),"*","~*"),"?","~?"),'DADOS_FORMAS'!$AH$2:$AH$21,0)),""),"~","~~"),"*","~*"),"?","~?"),'DADOS_RESTRICOES'!$M$2:$Q$54,3,FALSE)=1),0))</f>
        <v/>
      </c>
      <c r="OT151" s="161">
        <f>COUNTIF($OI151:$OJ151,2)+IF(IFERROR(INDEX('DADOS_FORMAS'!$AS$2:$AS$21,MATCH(SUBSTITUTE(SUBSTITUTE(SUBSTITUTE($MU151,"~","~~"),"*","~*"),"?","~?"),'DADOS_FORMAS'!$AH$2:$AH$21,0)),"")="",0,IFERROR(N(VLOOKUP(SUBSTITUTE(SUBSTITUTE(SUBSTITUTE(IFERROR(INDEX('DADOS_FORMAS'!$AS$2:$AS$21,MATCH(SUBSTITUTE(SUBSTITUTE(SUBSTITUTE($MU151,"~","~~"),"*","~*"),"?","~?"),'DADOS_FORMAS'!$AH$2:$AH$21,0)),""),"~","~~"),"*","~*"),"?","~?"),'DADOS_RESTRICOES'!$M$2:$Q$54,3,FALSE)=2),0))</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",TRUE,IF($ND151=0,"",TEXTJOIN(" · ",TRUE,IF($MQ151&gt;$NE151,"Este lugar abre no nível "&amp;$MQ151,""),IF($MS151&gt;$NF151,"Classe "&amp;$MS151&amp;": o nível "&amp;$NE151&amp;" libera até a "&amp;$NF151,""),IF($NX151=1,"A Forma "&amp;$MU151&amp;" pede "&amp;INDEX('DADOS_FORMAS'!$GA$2:$GA$21,$NJ151)&amp;" aberta",""),IF(AND($MS151=0,$NJ151&gt;0,IF($NJ151=0,0,INDEX('DADOS_FORMAS'!$GJ$2:$GJ$21,$NJ151))=0),$MU151&amp;"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Corpo")&gt;0,$OF151=0,OR($RO151="Cone",$RO151="Linha")),"Corpo a Corpo não entra em "&amp;$MU151,""),IF(AND(COUNTIF($OK151:$OL151,"Corpo a Corpo")&gt;0,$RP151="Corpo a Corpo"),"A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"&amp;$NC151,""))),IF(AND($MU151&lt;&gt;"",COUNTIF('DADOS_FORMAS'!$AH$2:$AH$21,SUBSTITUTE(SUBSTITUTE(SUBSTITUTE($MU151,"~","~~"),"*","~*"),"?","~?"))=0),"Forma não cadastrada ou com erro: "&amp;$MU151,""),IF(AND(IFERROR(INDEX('DADOS_FORMAS'!$AS$2:$AS$21,MATCH(SUBSTITUTE(SUBSTITUTE(SUBSTITUTE($MU151,"~","~~"),"*","~*"),"?","~?"),'DADOS_FORMAS'!$AH$2:$AH$21,0)),"")&lt;&gt;"",OR(IFERROR(VLOOKUP(SUBSTITUTE(SUBSTITUTE(SUBSTITUTE(IFERROR(INDEX('DADOS_FORMAS'!$AS$2:$AS$21,MATCH(SUBSTITUTE(SUBSTITUTE(SUBSTITUTE($MU151,"~","~~"),"*","~*"),"?","~?"),'DADOS_FORMAS'!$AH$2:$AH$21,0)),""),"~","~~"),"*","~*"),"?","~?"),'DADOS_RESTRICOES'!$M$2:$Q$54,2,FALSE),"")=$OK151,IFERROR(VLOOKUP(SUBSTITUTE(SUBSTITUTE(SUBSTITUTE(IFERROR(INDEX('DADOS_FORMAS'!$AS$2:$AS$21,MATCH(SUBSTITUTE(SUBSTITUTE(SUBSTITUTE($MU151,"~","~~"),"*","~*"),"?","~?"),'DADOS_FORMAS'!$AH$2:$AH$21,0)),""),"~","~~"),"*","~*"),"?","~?"),'DADOS_RESTRICOES'!$M$2:$Q$54,2,FALSE),"")=$OL151)),"Restrição repetida, contando a embutida",""),IF(IF(IFERROR(INDEX('DADOS_FORMAS'!$AS$2:$AS$21,MATCH(SUBSTITUTE(SUBSTITUTE(SUBSTITUTE($MU151,"~","~~"),"*","~*"),"?","~?"),'DADOS_FORMAS'!$AH$2:$AH$21,0)),"")="",0,IFERROR(N(VLOOKUP(SUBSTITUTE(SUBSTITUTE(SUBSTITUTE(IFERROR(INDEX('DADOS_FORMAS'!$AS$2:$AS$21,MATCH(SUBSTITUTE(SUBSTITUTE(SUBSTITUTE($MU151,"~","~~"),"*","~*"),"?","~?"),'DADOS_FORMAS'!$AH$2:$AH$21,0)),""),"~","~~"),"*","~*"),"?","~?"),'DADOS_RESTRICOES'!$M$2:$Q$54,4,FALSE)=1),0))+IF($NB151="",0,IFERROR(N(VLOOKUP(SUBSTITUTE(SUBSTITUTE(SUBSTITUTE($NB151,"~","~~"),"*","~*"),"?","~?"),'DADOS_RESTRICOES'!$M$2:$Q$54,4,FALSE)=1),0))+IF($NC151="",0,IFERROR(N(VLOOKUP(SUBSTITUTE(SUBSTITUTE(SUBSTITUTE($NC151,"~","~~"),"*","~*"),"?","~?"),'DADOS_RESTRICOES'!$M$2:$Q$54,4,FALSE)=1),0))&gt;1,"Duas Restrições de frequência, contando a embutida",""),IF(AND(IFERROR(VLOOKUP(SUBSTITUTE(SUBSTITUTE(SUBSTITUTE(IFERROR(INDEX('DADOS_FORMAS'!$AS$2:$AS$21,MATCH(SUBSTITUTE(SUBSTITUTE(SUBSTITUTE($MU151,"~","~~"),"*","~*"),"?","~?"),'DADOS_FORMAS'!$AH$2:$AH$21,0)),""),"~","~~"),"*","~*"),"?","~?"),'DADOS_RESTRICOES'!$M$2:$Q$54,2,FALSE),"")="Tudo ou Nada",$OH151=0),"Tudo ou Nada exige TR",""),IF(AND(IFERROR(VLOOKUP(SUBSTITUTE(SUBSTITUTE(SUBSTITUTE(IFERROR(INDEX('DADOS_FORMAS'!$AS$2:$AS$21,MATCH(SUBSTITUTE(SUBSTITUTE(SUBSTITUTE($MU151,"~","~~"),"*","~*"),"?","~?"),'DADOS_FORMAS'!$AH$2:$AH$21,0)),""),"~","~~"),"*","~*"),"?","~?"),'DADOS_RESTRICOES'!$M$2:$Q$54,2,FALSE),"")="Corpo a Corpo",OR($RO151="Cone",$RO151="Linha")),"Corpo a Corpo não entra em Cone/Linha","")))</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dela",IF(COUNTIF($RQ151:$RS151,"Atrasar")&gt;0,"Sua Ação Completa",IF(COUNTIF($RK151:$RN151,"Rápido")&gt;0,"Sua Bônus",IF(COUNTIF($RK151:$RN151,"Reação")&gt;0,"Sua Reação","Sua Padrão")))&amp;" + a básica dela"&amp;IF(COUNTIF($RK151:$RN151,"Reação")&gt;0," e a coletiva","")&amp;IF(COUNTIF($RQ151:$RS151,"Carregar")&gt;0," · em dois turnos","")))</f>
        <v/>
      </c>
      <c r="QC151" s="161">
        <f>IF($MW151&lt;&gt;"",$MW151,IF($NJ151=0,"",INDEX('DADOS_FORMAS'!$GE$2:$GE$21,$NJ151)))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IF($NJ151=0,0,CHOOSE(1+INDEX('DADOS_FORMAS'!$GG$2:$GG$21,$NJ151),0,$QF151,$QG151,$QF151+$QG151))</f>
        <v/>
      </c>
      <c r="QI151" s="161">
        <f>IF($NJ151=0,0,CHOOSE(1+INDEX('DADOS_FORMAS'!$GH$2:$GH$21,$NJ151),0,$QF151,$QG151,$QF151+$QG151))</f>
        <v/>
      </c>
      <c r="QJ151" s="161">
        <f>IF(OR($ND151=0,$NJ151=0),"",INDEX('DADOS_FORMAS'!$HU$2:$HZ$81,($NJ151-1)*4+IF($MS151=0,1,IF($MS151&lt;=5,2,IF($MS151=6,3,4))),1+MIN(5,$QH151))&amp;INDEX('DADOS_FORMAS'!$IA$2:$IF$81,($NJ151-1)*4+IF($MS151=0,1,IF($MS151&lt;=5,2,IF($MS151=6,3,4))),1+MIN(5,$QI151))&amp;IF(INDEX('DADOS_FORMAS'!$GI$2:$GI$21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c r="RO151">
        <f>IFERROR(INDEX('DADOS_FORMAS'!$BJ$2:$BJ$21,MATCH(SUBSTITUTE(SUBSTITUTE(SUBSTITUTE($MU151,"~","~~"),"*","~*"),"?","~?"),'DADOS_FORMAS'!$AH$2:$AH$21,0)),"")</f>
        <v/>
      </c>
      <c r="RP151">
        <f>IFERROR(VLOOKUP(SUBSTITUTE(SUBSTITUTE(SUBSTITUTE(IFERROR(INDEX('DADOS_FORMAS'!$AS$2:$AS$21,MATCH(SUBSTITUTE(SUBSTITUTE(SUBSTITUTE($MU151,"~","~~"),"*","~*"),"?","~?"),'DADOS_FORMAS'!$AH$2:$AH$21,0)),""),"~","~~"),"*","~*"),"?","~?"),'DADOS_RESTRICOES'!$M$2:$Q$54,2,FALSE),"")</f>
        <v/>
      </c>
      <c r="RQ151">
        <f>$OK151</f>
        <v/>
      </c>
      <c r="RR151">
        <f>$OL151</f>
        <v/>
      </c>
      <c r="RS151">
        <f>$RP151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IFERROR(MATCH(SUBSTITUTE(SUBSTITUTE(SUBSTITUTE($MU152,"~","~~"),"*","~*"),"?","~?"),'DADOS_FORMAS'!$FZ$2:$FZ$21,0),0)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IF($MS152=0,0,IF($NJ152=0,0,INDEX('DADOS_FORMAS'!$GB$2:$GB$21,$NJ152)))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IF($NJ152=0,0,IF(INDEX('DADOS_FORMAS'!$GA$2:$GA$21,$NJ152)="",0,IF((COUNTIF(INDEX($EL$2:$EP$13,$MO152,0),INDEX('DADOS_FORMAS'!$GA$2:$GA$21,$NJ152))+COUNTIF(INDEX($QV$2:$QY$13,$MO152,0),INDEX('DADOS_FORMAS'!$GA$2:$GA$21,$NJ152)))=0,1,0)))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IFERROR(N(AND(INDEX('DADOS_FORMAS'!$AO$2:$AO$21,MATCH(SUBSTITUTE(SUBSTITUTE(SUBSTITUTE($MU152,"~","~~"),"*","~*"),"?","~?"),'DADOS_FORMAS'!$AH$2:$AH$21,0))="Acerto",$OH152=1)),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IF($NJ152=0,0,INDEX('DADOS_FORMAS'!$GC$2:$GC$21,$NJ152))</f>
        <v/>
      </c>
      <c r="OG152" s="161">
        <f>IF($NJ152=0,0,INDEX('DADOS_FORMAS'!$GD$2:$GD$21,$NJ152))</f>
        <v/>
      </c>
      <c r="OH152" s="161">
        <f>IF($NJ152=0,0,INDEX('DADOS_FORMAS'!$GF$2:$GF$21,$NJ152))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IF(IFERROR(INDEX('DADOS_FORMAS'!$AS$2:$AS$21,MATCH(SUBSTITUTE(SUBSTITUTE(SUBSTITUTE($MU152,"~","~~"),"*","~*"),"?","~?"),'DADOS_FORMAS'!$AH$2:$AH$21,0)),"")="",0,IFERROR(N(VLOOKUP(SUBSTITUTE(SUBSTITUTE(SUBSTITUTE(IFERROR(INDEX('DADOS_FORMAS'!$AS$2:$AS$21,MATCH(SUBSTITUTE(SUBSTITUTE(SUBSTITUTE($MU152,"~","~~"),"*","~*"),"?","~?"),'DADOS_FORMAS'!$AH$2:$AH$21,0)),""),"~","~~"),"*","~*"),"?","~?"),'DADOS_RESTRICOES'!$M$2:$Q$54,3,FALSE)=1),0))</f>
        <v/>
      </c>
      <c r="OT152" s="161">
        <f>COUNTIF($OI152:$OJ152,2)+IF(IFERROR(INDEX('DADOS_FORMAS'!$AS$2:$AS$21,MATCH(SUBSTITUTE(SUBSTITUTE(SUBSTITUTE($MU152,"~","~~"),"*","~*"),"?","~?"),'DADOS_FORMAS'!$AH$2:$AH$21,0)),"")="",0,IFERROR(N(VLOOKUP(SUBSTITUTE(SUBSTITUTE(SUBSTITUTE(IFERROR(INDEX('DADOS_FORMAS'!$AS$2:$AS$21,MATCH(SUBSTITUTE(SUBSTITUTE(SUBSTITUTE($MU152,"~","~~"),"*","~*"),"?","~?"),'DADOS_FORMAS'!$AH$2:$AH$21,0)),""),"~","~~"),"*","~*"),"?","~?"),'DADOS_RESTRICOES'!$M$2:$Q$54,3,FALSE)=2),0))</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",TRUE,IF($ND152=0,"",TEXTJOIN(" · ",TRUE,IF($MQ152&gt;$NE152,"Este lugar abre no nível "&amp;$MQ152,""),IF($MS152&gt;$NF152,"Classe "&amp;$MS152&amp;": o nível "&amp;$NE152&amp;" libera até a "&amp;$NF152,""),IF($NX152=1,"A Forma "&amp;$MU152&amp;" pede "&amp;INDEX('DADOS_FORMAS'!$GA$2:$GA$21,$NJ152)&amp;" aberta",""),IF(AND($MS152=0,$NJ152&gt;0,IF($NJ152=0,0,INDEX('DADOS_FORMAS'!$GJ$2:$GJ$21,$NJ152))=0),$MU152&amp;"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Corpo")&gt;0,$OF152=0,OR($RO152="Cone",$RO152="Linha")),"Corpo a Corpo não entra em "&amp;$MU152,""),IF(AND(COUNTIF($OK152:$OL152,"Corpo a Corpo")&gt;0,$RP152="Corpo a Corpo"),"A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"&amp;$NC152,""))),IF(AND($MU152&lt;&gt;"",COUNTIF('DADOS_FORMAS'!$AH$2:$AH$21,SUBSTITUTE(SUBSTITUTE(SUBSTITUTE($MU152,"~","~~"),"*","~*"),"?","~?"))=0),"Forma não cadastrada ou com erro: "&amp;$MU152,""),IF(AND(IFERROR(INDEX('DADOS_FORMAS'!$AS$2:$AS$21,MATCH(SUBSTITUTE(SUBSTITUTE(SUBSTITUTE($MU152,"~","~~"),"*","~*"),"?","~?"),'DADOS_FORMAS'!$AH$2:$AH$21,0)),"")&lt;&gt;"",OR(IFERROR(VLOOKUP(SUBSTITUTE(SUBSTITUTE(SUBSTITUTE(IFERROR(INDEX('DADOS_FORMAS'!$AS$2:$AS$21,MATCH(SUBSTITUTE(SUBSTITUTE(SUBSTITUTE($MU152,"~","~~"),"*","~*"),"?","~?"),'DADOS_FORMAS'!$AH$2:$AH$21,0)),""),"~","~~"),"*","~*"),"?","~?"),'DADOS_RESTRICOES'!$M$2:$Q$54,2,FALSE),"")=$OK152,IFERROR(VLOOKUP(SUBSTITUTE(SUBSTITUTE(SUBSTITUTE(IFERROR(INDEX('DADOS_FORMAS'!$AS$2:$AS$21,MATCH(SUBSTITUTE(SUBSTITUTE(SUBSTITUTE($MU152,"~","~~"),"*","~*"),"?","~?"),'DADOS_FORMAS'!$AH$2:$AH$21,0)),""),"~","~~"),"*","~*"),"?","~?"),'DADOS_RESTRICOES'!$M$2:$Q$54,2,FALSE),"")=$OL152)),"Restrição repetida, contando a embutida",""),IF(IF(IFERROR(INDEX('DADOS_FORMAS'!$AS$2:$AS$21,MATCH(SUBSTITUTE(SUBSTITUTE(SUBSTITUTE($MU152,"~","~~"),"*","~*"),"?","~?"),'DADOS_FORMAS'!$AH$2:$AH$21,0)),"")="",0,IFERROR(N(VLOOKUP(SUBSTITUTE(SUBSTITUTE(SUBSTITUTE(IFERROR(INDEX('DADOS_FORMAS'!$AS$2:$AS$21,MATCH(SUBSTITUTE(SUBSTITUTE(SUBSTITUTE($MU152,"~","~~"),"*","~*"),"?","~?"),'DADOS_FORMAS'!$AH$2:$AH$21,0)),""),"~","~~"),"*","~*"),"?","~?"),'DADOS_RESTRICOES'!$M$2:$Q$54,4,FALSE)=1),0))+IF($NB152="",0,IFERROR(N(VLOOKUP(SUBSTITUTE(SUBSTITUTE(SUBSTITUTE($NB152,"~","~~"),"*","~*"),"?","~?"),'DADOS_RESTRICOES'!$M$2:$Q$54,4,FALSE)=1),0))+IF($NC152="",0,IFERROR(N(VLOOKUP(SUBSTITUTE(SUBSTITUTE(SUBSTITUTE($NC152,"~","~~"),"*","~*"),"?","~?"),'DADOS_RESTRICOES'!$M$2:$Q$54,4,FALSE)=1),0))&gt;1,"Duas Restrições de frequência, contando a embutida",""),IF(AND(IFERROR(VLOOKUP(SUBSTITUTE(SUBSTITUTE(SUBSTITUTE(IFERROR(INDEX('DADOS_FORMAS'!$AS$2:$AS$21,MATCH(SUBSTITUTE(SUBSTITUTE(SUBSTITUTE($MU152,"~","~~"),"*","~*"),"?","~?"),'DADOS_FORMAS'!$AH$2:$AH$21,0)),""),"~","~~"),"*","~*"),"?","~?"),'DADOS_RESTRICOES'!$M$2:$Q$54,2,FALSE),"")="Tudo ou Nada",$OH152=0),"Tudo ou Nada exige TR",""),IF(AND(IFERROR(VLOOKUP(SUBSTITUTE(SUBSTITUTE(SUBSTITUTE(IFERROR(INDEX('DADOS_FORMAS'!$AS$2:$AS$21,MATCH(SUBSTITUTE(SUBSTITUTE(SUBSTITUTE($MU152,"~","~~"),"*","~*"),"?","~?"),'DADOS_FORMAS'!$AH$2:$AH$21,0)),""),"~","~~"),"*","~*"),"?","~?"),'DADOS_RESTRICOES'!$M$2:$Q$54,2,FALSE),"")="Corpo a Corpo",OR($RO152="Cone",$RO152="Linha")),"Corpo a Corpo não entra em Cone/Linha","")))</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dela",IF(COUNTIF($RQ152:$RS152,"Atrasar")&gt;0,"Sua Ação Completa",IF(COUNTIF($RK152:$RN152,"Rápido")&gt;0,"Sua Bônus",IF(COUNTIF($RK152:$RN152,"Reação")&gt;0,"Sua Reação","Sua Padrão")))&amp;" + a básica dela"&amp;IF(COUNTIF($RK152:$RN152,"Reação")&gt;0," e a coletiva","")&amp;IF(COUNTIF($RQ152:$RS152,"Carregar")&gt;0," · em dois turnos","")))</f>
        <v/>
      </c>
      <c r="QC152" s="161">
        <f>IF($MW152&lt;&gt;"",$MW152,IF($NJ152=0,"",INDEX('DADOS_FORMAS'!$GE$2:$GE$21,$NJ152)))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IF($NJ152=0,0,CHOOSE(1+INDEX('DADOS_FORMAS'!$GG$2:$GG$21,$NJ152),0,$QF152,$QG152,$QF152+$QG152))</f>
        <v/>
      </c>
      <c r="QI152" s="161">
        <f>IF($NJ152=0,0,CHOOSE(1+INDEX('DADOS_FORMAS'!$GH$2:$GH$21,$NJ152),0,$QF152,$QG152,$QF152+$QG152))</f>
        <v/>
      </c>
      <c r="QJ152" s="161">
        <f>IF(OR($ND152=0,$NJ152=0),"",INDEX('DADOS_FORMAS'!$HU$2:$HZ$81,($NJ152-1)*4+IF($MS152=0,1,IF($MS152&lt;=5,2,IF($MS152=6,3,4))),1+MIN(5,$QH152))&amp;INDEX('DADOS_FORMAS'!$IA$2:$IF$81,($NJ152-1)*4+IF($MS152=0,1,IF($MS152&lt;=5,2,IF($MS152=6,3,4))),1+MIN(5,$QI152))&amp;IF(INDEX('DADOS_FORMAS'!$GI$2:$GI$21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c r="RO152">
        <f>IFERROR(INDEX('DADOS_FORMAS'!$BJ$2:$BJ$21,MATCH(SUBSTITUTE(SUBSTITUTE(SUBSTITUTE($MU152,"~","~~"),"*","~*"),"?","~?"),'DADOS_FORMAS'!$AH$2:$AH$21,0)),"")</f>
        <v/>
      </c>
      <c r="RP152">
        <f>IFERROR(VLOOKUP(SUBSTITUTE(SUBSTITUTE(SUBSTITUTE(IFERROR(INDEX('DADOS_FORMAS'!$AS$2:$AS$21,MATCH(SUBSTITUTE(SUBSTITUTE(SUBSTITUTE($MU152,"~","~~"),"*","~*"),"?","~?"),'DADOS_FORMAS'!$AH$2:$AH$21,0)),""),"~","~~"),"*","~*"),"?","~?"),'DADOS_RESTRICOES'!$M$2:$Q$54,2,FALSE),"")</f>
        <v/>
      </c>
      <c r="RQ152">
        <f>$OK152</f>
        <v/>
      </c>
      <c r="RR152">
        <f>$OL152</f>
        <v/>
      </c>
      <c r="RS152">
        <f>$RP152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IFERROR(MATCH(SUBSTITUTE(SUBSTITUTE(SUBSTITUTE($MU153,"~","~~"),"*","~*"),"?","~?"),'DADOS_FORMAS'!$FZ$2:$FZ$21,0),0)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IF($MS153=0,0,IF($NJ153=0,0,INDEX('DADOS_FORMAS'!$GB$2:$GB$21,$NJ153)))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IF($NJ153=0,0,IF(INDEX('DADOS_FORMAS'!$GA$2:$GA$21,$NJ153)="",0,IF((COUNTIF(INDEX($EL$2:$EP$13,$MO153,0),INDEX('DADOS_FORMAS'!$GA$2:$GA$21,$NJ153))+COUNTIF(INDEX($QV$2:$QY$13,$MO153,0),INDEX('DADOS_FORMAS'!$GA$2:$GA$21,$NJ153)))=0,1,0)))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IFERROR(N(AND(INDEX('DADOS_FORMAS'!$AO$2:$AO$21,MATCH(SUBSTITUTE(SUBSTITUTE(SUBSTITUTE($MU153,"~","~~"),"*","~*"),"?","~?"),'DADOS_FORMAS'!$AH$2:$AH$21,0))="Acerto",$OH153=1)),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IF($NJ153=0,0,INDEX('DADOS_FORMAS'!$GC$2:$GC$21,$NJ153))</f>
        <v/>
      </c>
      <c r="OG153" s="161">
        <f>IF($NJ153=0,0,INDEX('DADOS_FORMAS'!$GD$2:$GD$21,$NJ153))</f>
        <v/>
      </c>
      <c r="OH153" s="161">
        <f>IF($NJ153=0,0,INDEX('DADOS_FORMAS'!$GF$2:$GF$21,$NJ153))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IF(IFERROR(INDEX('DADOS_FORMAS'!$AS$2:$AS$21,MATCH(SUBSTITUTE(SUBSTITUTE(SUBSTITUTE($MU153,"~","~~"),"*","~*"),"?","~?"),'DADOS_FORMAS'!$AH$2:$AH$21,0)),"")="",0,IFERROR(N(VLOOKUP(SUBSTITUTE(SUBSTITUTE(SUBSTITUTE(IFERROR(INDEX('DADOS_FORMAS'!$AS$2:$AS$21,MATCH(SUBSTITUTE(SUBSTITUTE(SUBSTITUTE($MU153,"~","~~"),"*","~*"),"?","~?"),'DADOS_FORMAS'!$AH$2:$AH$21,0)),""),"~","~~"),"*","~*"),"?","~?"),'DADOS_RESTRICOES'!$M$2:$Q$54,3,FALSE)=1),0))</f>
        <v/>
      </c>
      <c r="OT153" s="161">
        <f>COUNTIF($OI153:$OJ153,2)+IF(IFERROR(INDEX('DADOS_FORMAS'!$AS$2:$AS$21,MATCH(SUBSTITUTE(SUBSTITUTE(SUBSTITUTE($MU153,"~","~~"),"*","~*"),"?","~?"),'DADOS_FORMAS'!$AH$2:$AH$21,0)),"")="",0,IFERROR(N(VLOOKUP(SUBSTITUTE(SUBSTITUTE(SUBSTITUTE(IFERROR(INDEX('DADOS_FORMAS'!$AS$2:$AS$21,MATCH(SUBSTITUTE(SUBSTITUTE(SUBSTITUTE($MU153,"~","~~"),"*","~*"),"?","~?"),'DADOS_FORMAS'!$AH$2:$AH$21,0)),""),"~","~~"),"*","~*"),"?","~?"),'DADOS_RESTRICOES'!$M$2:$Q$54,3,FALSE)=2),0))</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",TRUE,IF($ND153=0,"",TEXTJOIN(" · ",TRUE,IF($MQ153&gt;$NE153,"Este lugar abre no nível "&amp;$MQ153,""),IF($MS153&gt;$NF153,"Classe "&amp;$MS153&amp;": o nível "&amp;$NE153&amp;" libera até a "&amp;$NF153,""),IF($NX153=1,"A Forma "&amp;$MU153&amp;" pede "&amp;INDEX('DADOS_FORMAS'!$GA$2:$GA$21,$NJ153)&amp;" aberta",""),IF(AND($MS153=0,$NJ153&gt;0,IF($NJ153=0,0,INDEX('DADOS_FORMAS'!$GJ$2:$GJ$21,$NJ153))=0),$MU153&amp;"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Corpo")&gt;0,$OF153=0,OR($RO153="Cone",$RO153="Linha")),"Corpo a Corpo não entra em "&amp;$MU153,""),IF(AND(COUNTIF($OK153:$OL153,"Corpo a Corpo")&gt;0,$RP153="Corpo a Corpo"),"A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"&amp;$NC153,""))),IF(AND($MU153&lt;&gt;"",COUNTIF('DADOS_FORMAS'!$AH$2:$AH$21,SUBSTITUTE(SUBSTITUTE(SUBSTITUTE($MU153,"~","~~"),"*","~*"),"?","~?"))=0),"Forma não cadastrada ou com erro: "&amp;$MU153,""),IF(AND(IFERROR(INDEX('DADOS_FORMAS'!$AS$2:$AS$21,MATCH(SUBSTITUTE(SUBSTITUTE(SUBSTITUTE($MU153,"~","~~"),"*","~*"),"?","~?"),'DADOS_FORMAS'!$AH$2:$AH$21,0)),"")&lt;&gt;"",OR(IFERROR(VLOOKUP(SUBSTITUTE(SUBSTITUTE(SUBSTITUTE(IFERROR(INDEX('DADOS_FORMAS'!$AS$2:$AS$21,MATCH(SUBSTITUTE(SUBSTITUTE(SUBSTITUTE($MU153,"~","~~"),"*","~*"),"?","~?"),'DADOS_FORMAS'!$AH$2:$AH$21,0)),""),"~","~~"),"*","~*"),"?","~?"),'DADOS_RESTRICOES'!$M$2:$Q$54,2,FALSE),"")=$OK153,IFERROR(VLOOKUP(SUBSTITUTE(SUBSTITUTE(SUBSTITUTE(IFERROR(INDEX('DADOS_FORMAS'!$AS$2:$AS$21,MATCH(SUBSTITUTE(SUBSTITUTE(SUBSTITUTE($MU153,"~","~~"),"*","~*"),"?","~?"),'DADOS_FORMAS'!$AH$2:$AH$21,0)),""),"~","~~"),"*","~*"),"?","~?"),'DADOS_RESTRICOES'!$M$2:$Q$54,2,FALSE),"")=$OL153)),"Restrição repetida, contando a embutida",""),IF(IF(IFERROR(INDEX('DADOS_FORMAS'!$AS$2:$AS$21,MATCH(SUBSTITUTE(SUBSTITUTE(SUBSTITUTE($MU153,"~","~~"),"*","~*"),"?","~?"),'DADOS_FORMAS'!$AH$2:$AH$21,0)),"")="",0,IFERROR(N(VLOOKUP(SUBSTITUTE(SUBSTITUTE(SUBSTITUTE(IFERROR(INDEX('DADOS_FORMAS'!$AS$2:$AS$21,MATCH(SUBSTITUTE(SUBSTITUTE(SUBSTITUTE($MU153,"~","~~"),"*","~*"),"?","~?"),'DADOS_FORMAS'!$AH$2:$AH$21,0)),""),"~","~~"),"*","~*"),"?","~?"),'DADOS_RESTRICOES'!$M$2:$Q$54,4,FALSE)=1),0))+IF($NB153="",0,IFERROR(N(VLOOKUP(SUBSTITUTE(SUBSTITUTE(SUBSTITUTE($NB153,"~","~~"),"*","~*"),"?","~?"),'DADOS_RESTRICOES'!$M$2:$Q$54,4,FALSE)=1),0))+IF($NC153="",0,IFERROR(N(VLOOKUP(SUBSTITUTE(SUBSTITUTE(SUBSTITUTE($NC153,"~","~~"),"*","~*"),"?","~?"),'DADOS_RESTRICOES'!$M$2:$Q$54,4,FALSE)=1),0))&gt;1,"Duas Restrições de frequência, contando a embutida",""),IF(AND(IFERROR(VLOOKUP(SUBSTITUTE(SUBSTITUTE(SUBSTITUTE(IFERROR(INDEX('DADOS_FORMAS'!$AS$2:$AS$21,MATCH(SUBSTITUTE(SUBSTITUTE(SUBSTITUTE($MU153,"~","~~"),"*","~*"),"?","~?"),'DADOS_FORMAS'!$AH$2:$AH$21,0)),""),"~","~~"),"*","~*"),"?","~?"),'DADOS_RESTRICOES'!$M$2:$Q$54,2,FALSE),"")="Tudo ou Nada",$OH153=0),"Tudo ou Nada exige TR",""),IF(AND(IFERROR(VLOOKUP(SUBSTITUTE(SUBSTITUTE(SUBSTITUTE(IFERROR(INDEX('DADOS_FORMAS'!$AS$2:$AS$21,MATCH(SUBSTITUTE(SUBSTITUTE(SUBSTITUTE($MU153,"~","~~"),"*","~*"),"?","~?"),'DADOS_FORMAS'!$AH$2:$AH$21,0)),""),"~","~~"),"*","~*"),"?","~?"),'DADOS_RESTRICOES'!$M$2:$Q$54,2,FALSE),"")="Corpo a Corpo",OR($RO153="Cone",$RO153="Linha")),"Corpo a Corpo não entra em Cone/Linha","")))</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dela",IF(COUNTIF($RQ153:$RS153,"Atrasar")&gt;0,"Sua Ação Completa",IF(COUNTIF($RK153:$RN153,"Rápido")&gt;0,"Sua Bônus",IF(COUNTIF($RK153:$RN153,"Reação")&gt;0,"Sua Reação","Sua Padrão")))&amp;" + a básica dela"&amp;IF(COUNTIF($RK153:$RN153,"Reação")&gt;0," e a coletiva","")&amp;IF(COUNTIF($RQ153:$RS153,"Carregar")&gt;0," · em dois turnos","")))</f>
        <v/>
      </c>
      <c r="QC153" s="161">
        <f>IF($MW153&lt;&gt;"",$MW153,IF($NJ153=0,"",INDEX('DADOS_FORMAS'!$GE$2:$GE$21,$NJ153)))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IF($NJ153=0,0,CHOOSE(1+INDEX('DADOS_FORMAS'!$GG$2:$GG$21,$NJ153),0,$QF153,$QG153,$QF153+$QG153))</f>
        <v/>
      </c>
      <c r="QI153" s="161">
        <f>IF($NJ153=0,0,CHOOSE(1+INDEX('DADOS_FORMAS'!$GH$2:$GH$21,$NJ153),0,$QF153,$QG153,$QF153+$QG153))</f>
        <v/>
      </c>
      <c r="QJ153" s="161">
        <f>IF(OR($ND153=0,$NJ153=0),"",INDEX('DADOS_FORMAS'!$HU$2:$HZ$81,($NJ153-1)*4+IF($MS153=0,1,IF($MS153&lt;=5,2,IF($MS153=6,3,4))),1+MIN(5,$QH153))&amp;INDEX('DADOS_FORMAS'!$IA$2:$IF$81,($NJ153-1)*4+IF($MS153=0,1,IF($MS153&lt;=5,2,IF($MS153=6,3,4))),1+MIN(5,$QI153))&amp;IF(INDEX('DADOS_FORMAS'!$GI$2:$GI$21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c r="RO153">
        <f>IFERROR(INDEX('DADOS_FORMAS'!$BJ$2:$BJ$21,MATCH(SUBSTITUTE(SUBSTITUTE(SUBSTITUTE($MU153,"~","~~"),"*","~*"),"?","~?"),'DADOS_FORMAS'!$AH$2:$AH$21,0)),"")</f>
        <v/>
      </c>
      <c r="RP153">
        <f>IFERROR(VLOOKUP(SUBSTITUTE(SUBSTITUTE(SUBSTITUTE(IFERROR(INDEX('DADOS_FORMAS'!$AS$2:$AS$21,MATCH(SUBSTITUTE(SUBSTITUTE(SUBSTITUTE($MU153,"~","~~"),"*","~*"),"?","~?"),'DADOS_FORMAS'!$AH$2:$AH$21,0)),""),"~","~~"),"*","~*"),"?","~?"),'DADOS_RESTRICOES'!$M$2:$Q$54,2,FALSE),"")</f>
        <v/>
      </c>
      <c r="RQ153">
        <f>$OK153</f>
        <v/>
      </c>
      <c r="RR153">
        <f>$OL153</f>
        <v/>
      </c>
      <c r="RS153">
        <f>$RP153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IFERROR(MATCH(SUBSTITUTE(SUBSTITUTE(SUBSTITUTE($MU154,"~","~~"),"*","~*"),"?","~?"),'DADOS_FORMAS'!$FZ$2:$FZ$21,0),0)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IF($MS154=0,0,IF($NJ154=0,0,INDEX('DADOS_FORMAS'!$GB$2:$GB$21,$NJ154)))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IF($NJ154=0,0,IF(INDEX('DADOS_FORMAS'!$GA$2:$GA$21,$NJ154)="",0,IF((COUNTIF(INDEX($EL$2:$EP$13,$MO154,0),INDEX('DADOS_FORMAS'!$GA$2:$GA$21,$NJ154))+COUNTIF(INDEX($QV$2:$QY$13,$MO154,0),INDEX('DADOS_FORMAS'!$GA$2:$GA$21,$NJ154)))=0,1,0)))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IFERROR(N(AND(INDEX('DADOS_FORMAS'!$AO$2:$AO$21,MATCH(SUBSTITUTE(SUBSTITUTE(SUBSTITUTE($MU154,"~","~~"),"*","~*"),"?","~?"),'DADOS_FORMAS'!$AH$2:$AH$21,0))="Acerto",$OH154=1)),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IF($NJ154=0,0,INDEX('DADOS_FORMAS'!$GC$2:$GC$21,$NJ154))</f>
        <v/>
      </c>
      <c r="OG154" s="161">
        <f>IF($NJ154=0,0,INDEX('DADOS_FORMAS'!$GD$2:$GD$21,$NJ154))</f>
        <v/>
      </c>
      <c r="OH154" s="161">
        <f>IF($NJ154=0,0,INDEX('DADOS_FORMAS'!$GF$2:$GF$21,$NJ154))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IF(IFERROR(INDEX('DADOS_FORMAS'!$AS$2:$AS$21,MATCH(SUBSTITUTE(SUBSTITUTE(SUBSTITUTE($MU154,"~","~~"),"*","~*"),"?","~?"),'DADOS_FORMAS'!$AH$2:$AH$21,0)),"")="",0,IFERROR(N(VLOOKUP(SUBSTITUTE(SUBSTITUTE(SUBSTITUTE(IFERROR(INDEX('DADOS_FORMAS'!$AS$2:$AS$21,MATCH(SUBSTITUTE(SUBSTITUTE(SUBSTITUTE($MU154,"~","~~"),"*","~*"),"?","~?"),'DADOS_FORMAS'!$AH$2:$AH$21,0)),""),"~","~~"),"*","~*"),"?","~?"),'DADOS_RESTRICOES'!$M$2:$Q$54,3,FALSE)=1),0))</f>
        <v/>
      </c>
      <c r="OT154" s="161">
        <f>COUNTIF($OI154:$OJ154,2)+IF(IFERROR(INDEX('DADOS_FORMAS'!$AS$2:$AS$21,MATCH(SUBSTITUTE(SUBSTITUTE(SUBSTITUTE($MU154,"~","~~"),"*","~*"),"?","~?"),'DADOS_FORMAS'!$AH$2:$AH$21,0)),"")="",0,IFERROR(N(VLOOKUP(SUBSTITUTE(SUBSTITUTE(SUBSTITUTE(IFERROR(INDEX('DADOS_FORMAS'!$AS$2:$AS$21,MATCH(SUBSTITUTE(SUBSTITUTE(SUBSTITUTE($MU154,"~","~~"),"*","~*"),"?","~?"),'DADOS_FORMAS'!$AH$2:$AH$21,0)),""),"~","~~"),"*","~*"),"?","~?"),'DADOS_RESTRICOES'!$M$2:$Q$54,3,FALSE)=2),0))</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",TRUE,IF($ND154=0,"",TEXTJOIN(" · ",TRUE,IF($MQ154&gt;$NE154,"Este lugar abre no nível "&amp;$MQ154,""),IF($MS154&gt;$NF154,"Classe "&amp;$MS154&amp;": o nível "&amp;$NE154&amp;" libera até a "&amp;$NF154,""),IF($NX154=1,"A Forma "&amp;$MU154&amp;" pede "&amp;INDEX('DADOS_FORMAS'!$GA$2:$GA$21,$NJ154)&amp;" aberta",""),IF(AND($MS154=0,$NJ154&gt;0,IF($NJ154=0,0,INDEX('DADOS_FORMAS'!$GJ$2:$GJ$21,$NJ154))=0),$MU154&amp;"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Corpo")&gt;0,$OF154=0,OR($RO154="Cone",$RO154="Linha")),"Corpo a Corpo não entra em "&amp;$MU154,""),IF(AND(COUNTIF($OK154:$OL154,"Corpo a Corpo")&gt;0,$RP154="Corpo a Corpo"),"A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"&amp;$NC154,""))),IF(AND($MU154&lt;&gt;"",COUNTIF('DADOS_FORMAS'!$AH$2:$AH$21,SUBSTITUTE(SUBSTITUTE(SUBSTITUTE($MU154,"~","~~"),"*","~*"),"?","~?"))=0),"Forma não cadastrada ou com erro: "&amp;$MU154,""),IF(AND(IFERROR(INDEX('DADOS_FORMAS'!$AS$2:$AS$21,MATCH(SUBSTITUTE(SUBSTITUTE(SUBSTITUTE($MU154,"~","~~"),"*","~*"),"?","~?"),'DADOS_FORMAS'!$AH$2:$AH$21,0)),"")&lt;&gt;"",OR(IFERROR(VLOOKUP(SUBSTITUTE(SUBSTITUTE(SUBSTITUTE(IFERROR(INDEX('DADOS_FORMAS'!$AS$2:$AS$21,MATCH(SUBSTITUTE(SUBSTITUTE(SUBSTITUTE($MU154,"~","~~"),"*","~*"),"?","~?"),'DADOS_FORMAS'!$AH$2:$AH$21,0)),""),"~","~~"),"*","~*"),"?","~?"),'DADOS_RESTRICOES'!$M$2:$Q$54,2,FALSE),"")=$OK154,IFERROR(VLOOKUP(SUBSTITUTE(SUBSTITUTE(SUBSTITUTE(IFERROR(INDEX('DADOS_FORMAS'!$AS$2:$AS$21,MATCH(SUBSTITUTE(SUBSTITUTE(SUBSTITUTE($MU154,"~","~~"),"*","~*"),"?","~?"),'DADOS_FORMAS'!$AH$2:$AH$21,0)),""),"~","~~"),"*","~*"),"?","~?"),'DADOS_RESTRICOES'!$M$2:$Q$54,2,FALSE),"")=$OL154)),"Restrição repetida, contando a embutida",""),IF(IF(IFERROR(INDEX('DADOS_FORMAS'!$AS$2:$AS$21,MATCH(SUBSTITUTE(SUBSTITUTE(SUBSTITUTE($MU154,"~","~~"),"*","~*"),"?","~?"),'DADOS_FORMAS'!$AH$2:$AH$21,0)),"")="",0,IFERROR(N(VLOOKUP(SUBSTITUTE(SUBSTITUTE(SUBSTITUTE(IFERROR(INDEX('DADOS_FORMAS'!$AS$2:$AS$21,MATCH(SUBSTITUTE(SUBSTITUTE(SUBSTITUTE($MU154,"~","~~"),"*","~*"),"?","~?"),'DADOS_FORMAS'!$AH$2:$AH$21,0)),""),"~","~~"),"*","~*"),"?","~?"),'DADOS_RESTRICOES'!$M$2:$Q$54,4,FALSE)=1),0))+IF($NB154="",0,IFERROR(N(VLOOKUP(SUBSTITUTE(SUBSTITUTE(SUBSTITUTE($NB154,"~","~~"),"*","~*"),"?","~?"),'DADOS_RESTRICOES'!$M$2:$Q$54,4,FALSE)=1),0))+IF($NC154="",0,IFERROR(N(VLOOKUP(SUBSTITUTE(SUBSTITUTE(SUBSTITUTE($NC154,"~","~~"),"*","~*"),"?","~?"),'DADOS_RESTRICOES'!$M$2:$Q$54,4,FALSE)=1),0))&gt;1,"Duas Restrições de frequência, contando a embutida",""),IF(AND(IFERROR(VLOOKUP(SUBSTITUTE(SUBSTITUTE(SUBSTITUTE(IFERROR(INDEX('DADOS_FORMAS'!$AS$2:$AS$21,MATCH(SUBSTITUTE(SUBSTITUTE(SUBSTITUTE($MU154,"~","~~"),"*","~*"),"?","~?"),'DADOS_FORMAS'!$AH$2:$AH$21,0)),""),"~","~~"),"*","~*"),"?","~?"),'DADOS_RESTRICOES'!$M$2:$Q$54,2,FALSE),"")="Tudo ou Nada",$OH154=0),"Tudo ou Nada exige TR",""),IF(AND(IFERROR(VLOOKUP(SUBSTITUTE(SUBSTITUTE(SUBSTITUTE(IFERROR(INDEX('DADOS_FORMAS'!$AS$2:$AS$21,MATCH(SUBSTITUTE(SUBSTITUTE(SUBSTITUTE($MU154,"~","~~"),"*","~*"),"?","~?"),'DADOS_FORMAS'!$AH$2:$AH$21,0)),""),"~","~~"),"*","~*"),"?","~?"),'DADOS_RESTRICOES'!$M$2:$Q$54,2,FALSE),"")="Corpo a Corpo",OR($RO154="Cone",$RO154="Linha")),"Corpo a Corpo não entra em Cone/Linha","")))</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dela",IF(COUNTIF($RQ154:$RS154,"Atrasar")&gt;0,"Sua Ação Completa",IF(COUNTIF($RK154:$RN154,"Rápido")&gt;0,"Sua Bônus",IF(COUNTIF($RK154:$RN154,"Reação")&gt;0,"Sua Reação","Sua Padrão")))&amp;" + a básica dela"&amp;IF(COUNTIF($RK154:$RN154,"Reação")&gt;0," e a coletiva","")&amp;IF(COUNTIF($RQ154:$RS154,"Carregar")&gt;0," · em dois turnos","")))</f>
        <v/>
      </c>
      <c r="QC154" s="161">
        <f>IF($MW154&lt;&gt;"",$MW154,IF($NJ154=0,"",INDEX('DADOS_FORMAS'!$GE$2:$GE$21,$NJ154)))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IF($NJ154=0,0,CHOOSE(1+INDEX('DADOS_FORMAS'!$GG$2:$GG$21,$NJ154),0,$QF154,$QG154,$QF154+$QG154))</f>
        <v/>
      </c>
      <c r="QI154" s="161">
        <f>IF($NJ154=0,0,CHOOSE(1+INDEX('DADOS_FORMAS'!$GH$2:$GH$21,$NJ154),0,$QF154,$QG154,$QF154+$QG154))</f>
        <v/>
      </c>
      <c r="QJ154" s="161">
        <f>IF(OR($ND154=0,$NJ154=0),"",INDEX('DADOS_FORMAS'!$HU$2:$HZ$81,($NJ154-1)*4+IF($MS154=0,1,IF($MS154&lt;=5,2,IF($MS154=6,3,4))),1+MIN(5,$QH154))&amp;INDEX('DADOS_FORMAS'!$IA$2:$IF$81,($NJ154-1)*4+IF($MS154=0,1,IF($MS154&lt;=5,2,IF($MS154=6,3,4))),1+MIN(5,$QI154))&amp;IF(INDEX('DADOS_FORMAS'!$GI$2:$GI$21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c r="RO154">
        <f>IFERROR(INDEX('DADOS_FORMAS'!$BJ$2:$BJ$21,MATCH(SUBSTITUTE(SUBSTITUTE(SUBSTITUTE($MU154,"~","~~"),"*","~*"),"?","~?"),'DADOS_FORMAS'!$AH$2:$AH$21,0)),"")</f>
        <v/>
      </c>
      <c r="RP154">
        <f>IFERROR(VLOOKUP(SUBSTITUTE(SUBSTITUTE(SUBSTITUTE(IFERROR(INDEX('DADOS_FORMAS'!$AS$2:$AS$21,MATCH(SUBSTITUTE(SUBSTITUTE(SUBSTITUTE($MU154,"~","~~"),"*","~*"),"?","~?"),'DADOS_FORMAS'!$AH$2:$AH$21,0)),""),"~","~~"),"*","~*"),"?","~?"),'DADOS_RESTRICOES'!$M$2:$Q$54,2,FALSE),"")</f>
        <v/>
      </c>
      <c r="RQ154">
        <f>$OK154</f>
        <v/>
      </c>
      <c r="RR154">
        <f>$OL154</f>
        <v/>
      </c>
      <c r="RS154">
        <f>$RP154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IFERROR(MATCH(SUBSTITUTE(SUBSTITUTE(SUBSTITUTE($MU155,"~","~~"),"*","~*"),"?","~?"),'DADOS_FORMAS'!$FZ$2:$FZ$21,0),0)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IF($MS155=0,0,IF($NJ155=0,0,INDEX('DADOS_FORMAS'!$GB$2:$GB$21,$NJ155)))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IF($NJ155=0,0,IF(INDEX('DADOS_FORMAS'!$GA$2:$GA$21,$NJ155)="",0,IF((COUNTIF(INDEX($EL$2:$EP$13,$MO155,0),INDEX('DADOS_FORMAS'!$GA$2:$GA$21,$NJ155))+COUNTIF(INDEX($QV$2:$QY$13,$MO155,0),INDEX('DADOS_FORMAS'!$GA$2:$GA$21,$NJ155)))=0,1,0)))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IFERROR(N(AND(INDEX('DADOS_FORMAS'!$AO$2:$AO$21,MATCH(SUBSTITUTE(SUBSTITUTE(SUBSTITUTE($MU155,"~","~~"),"*","~*"),"?","~?"),'DADOS_FORMAS'!$AH$2:$AH$21,0))="Acerto",$OH155=1)),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IF($NJ155=0,0,INDEX('DADOS_FORMAS'!$GC$2:$GC$21,$NJ155))</f>
        <v/>
      </c>
      <c r="OG155" s="161">
        <f>IF($NJ155=0,0,INDEX('DADOS_FORMAS'!$GD$2:$GD$21,$NJ155))</f>
        <v/>
      </c>
      <c r="OH155" s="161">
        <f>IF($NJ155=0,0,INDEX('DADOS_FORMAS'!$GF$2:$GF$21,$NJ155))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IF(IFERROR(INDEX('DADOS_FORMAS'!$AS$2:$AS$21,MATCH(SUBSTITUTE(SUBSTITUTE(SUBSTITUTE($MU155,"~","~~"),"*","~*"),"?","~?"),'DADOS_FORMAS'!$AH$2:$AH$21,0)),"")="",0,IFERROR(N(VLOOKUP(SUBSTITUTE(SUBSTITUTE(SUBSTITUTE(IFERROR(INDEX('DADOS_FORMAS'!$AS$2:$AS$21,MATCH(SUBSTITUTE(SUBSTITUTE(SUBSTITUTE($MU155,"~","~~"),"*","~*"),"?","~?"),'DADOS_FORMAS'!$AH$2:$AH$21,0)),""),"~","~~"),"*","~*"),"?","~?"),'DADOS_RESTRICOES'!$M$2:$Q$54,3,FALSE)=1),0))</f>
        <v/>
      </c>
      <c r="OT155" s="161">
        <f>COUNTIF($OI155:$OJ155,2)+IF(IFERROR(INDEX('DADOS_FORMAS'!$AS$2:$AS$21,MATCH(SUBSTITUTE(SUBSTITUTE(SUBSTITUTE($MU155,"~","~~"),"*","~*"),"?","~?"),'DADOS_FORMAS'!$AH$2:$AH$21,0)),"")="",0,IFERROR(N(VLOOKUP(SUBSTITUTE(SUBSTITUTE(SUBSTITUTE(IFERROR(INDEX('DADOS_FORMAS'!$AS$2:$AS$21,MATCH(SUBSTITUTE(SUBSTITUTE(SUBSTITUTE($MU155,"~","~~"),"*","~*"),"?","~?"),'DADOS_FORMAS'!$AH$2:$AH$21,0)),""),"~","~~"),"*","~*"),"?","~?"),'DADOS_RESTRICOES'!$M$2:$Q$54,3,FALSE)=2),0))</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",TRUE,IF($ND155=0,"",TEXTJOIN(" · ",TRUE,IF($MQ155&gt;$NE155,"Este lugar abre no nível "&amp;$MQ155,""),IF($MS155&gt;$NF155,"Classe "&amp;$MS155&amp;": o nível "&amp;$NE155&amp;" libera até a "&amp;$NF155,""),IF($NX155=1,"A Forma "&amp;$MU155&amp;" pede "&amp;INDEX('DADOS_FORMAS'!$GA$2:$GA$21,$NJ155)&amp;" aberta",""),IF(AND($MS155=0,$NJ155&gt;0,IF($NJ155=0,0,INDEX('DADOS_FORMAS'!$GJ$2:$GJ$21,$NJ155))=0),$MU155&amp;"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Corpo")&gt;0,$OF155=0,OR($RO155="Cone",$RO155="Linha")),"Corpo a Corpo não entra em "&amp;$MU155,""),IF(AND(COUNTIF($OK155:$OL155,"Corpo a Corpo")&gt;0,$RP155="Corpo a Corpo"),"A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"&amp;$NC155,""))),IF(AND($MU155&lt;&gt;"",COUNTIF('DADOS_FORMAS'!$AH$2:$AH$21,SUBSTITUTE(SUBSTITUTE(SUBSTITUTE($MU155,"~","~~"),"*","~*"),"?","~?"))=0),"Forma não cadastrada ou com erro: "&amp;$MU155,""),IF(AND(IFERROR(INDEX('DADOS_FORMAS'!$AS$2:$AS$21,MATCH(SUBSTITUTE(SUBSTITUTE(SUBSTITUTE($MU155,"~","~~"),"*","~*"),"?","~?"),'DADOS_FORMAS'!$AH$2:$AH$21,0)),"")&lt;&gt;"",OR(IFERROR(VLOOKUP(SUBSTITUTE(SUBSTITUTE(SUBSTITUTE(IFERROR(INDEX('DADOS_FORMAS'!$AS$2:$AS$21,MATCH(SUBSTITUTE(SUBSTITUTE(SUBSTITUTE($MU155,"~","~~"),"*","~*"),"?","~?"),'DADOS_FORMAS'!$AH$2:$AH$21,0)),""),"~","~~"),"*","~*"),"?","~?"),'DADOS_RESTRICOES'!$M$2:$Q$54,2,FALSE),"")=$OK155,IFERROR(VLOOKUP(SUBSTITUTE(SUBSTITUTE(SUBSTITUTE(IFERROR(INDEX('DADOS_FORMAS'!$AS$2:$AS$21,MATCH(SUBSTITUTE(SUBSTITUTE(SUBSTITUTE($MU155,"~","~~"),"*","~*"),"?","~?"),'DADOS_FORMAS'!$AH$2:$AH$21,0)),""),"~","~~"),"*","~*"),"?","~?"),'DADOS_RESTRICOES'!$M$2:$Q$54,2,FALSE),"")=$OL155)),"Restrição repetida, contando a embutida",""),IF(IF(IFERROR(INDEX('DADOS_FORMAS'!$AS$2:$AS$21,MATCH(SUBSTITUTE(SUBSTITUTE(SUBSTITUTE($MU155,"~","~~"),"*","~*"),"?","~?"),'DADOS_FORMAS'!$AH$2:$AH$21,0)),"")="",0,IFERROR(N(VLOOKUP(SUBSTITUTE(SUBSTITUTE(SUBSTITUTE(IFERROR(INDEX('DADOS_FORMAS'!$AS$2:$AS$21,MATCH(SUBSTITUTE(SUBSTITUTE(SUBSTITUTE($MU155,"~","~~"),"*","~*"),"?","~?"),'DADOS_FORMAS'!$AH$2:$AH$21,0)),""),"~","~~"),"*","~*"),"?","~?"),'DADOS_RESTRICOES'!$M$2:$Q$54,4,FALSE)=1),0))+IF($NB155="",0,IFERROR(N(VLOOKUP(SUBSTITUTE(SUBSTITUTE(SUBSTITUTE($NB155,"~","~~"),"*","~*"),"?","~?"),'DADOS_RESTRICOES'!$M$2:$Q$54,4,FALSE)=1),0))+IF($NC155="",0,IFERROR(N(VLOOKUP(SUBSTITUTE(SUBSTITUTE(SUBSTITUTE($NC155,"~","~~"),"*","~*"),"?","~?"),'DADOS_RESTRICOES'!$M$2:$Q$54,4,FALSE)=1),0))&gt;1,"Duas Restrições de frequência, contando a embutida",""),IF(AND(IFERROR(VLOOKUP(SUBSTITUTE(SUBSTITUTE(SUBSTITUTE(IFERROR(INDEX('DADOS_FORMAS'!$AS$2:$AS$21,MATCH(SUBSTITUTE(SUBSTITUTE(SUBSTITUTE($MU155,"~","~~"),"*","~*"),"?","~?"),'DADOS_FORMAS'!$AH$2:$AH$21,0)),""),"~","~~"),"*","~*"),"?","~?"),'DADOS_RESTRICOES'!$M$2:$Q$54,2,FALSE),"")="Tudo ou Nada",$OH155=0),"Tudo ou Nada exige TR",""),IF(AND(IFERROR(VLOOKUP(SUBSTITUTE(SUBSTITUTE(SUBSTITUTE(IFERROR(INDEX('DADOS_FORMAS'!$AS$2:$AS$21,MATCH(SUBSTITUTE(SUBSTITUTE(SUBSTITUTE($MU155,"~","~~"),"*","~*"),"?","~?"),'DADOS_FORMAS'!$AH$2:$AH$21,0)),""),"~","~~"),"*","~*"),"?","~?"),'DADOS_RESTRICOES'!$M$2:$Q$54,2,FALSE),"")="Corpo a Corpo",OR($RO155="Cone",$RO155="Linha")),"Corpo a Corpo não entra em Cone/Linha","")))</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dela",IF(COUNTIF($RQ155:$RS155,"Atrasar")&gt;0,"Sua Ação Completa",IF(COUNTIF($RK155:$RN155,"Rápido")&gt;0,"Sua Bônus",IF(COUNTIF($RK155:$RN155,"Reação")&gt;0,"Sua Reação","Sua Padrão")))&amp;" + a básica dela"&amp;IF(COUNTIF($RK155:$RN155,"Reação")&gt;0," e a coletiva","")&amp;IF(COUNTIF($RQ155:$RS155,"Carregar")&gt;0," · em dois turnos","")))</f>
        <v/>
      </c>
      <c r="QC155" s="161">
        <f>IF($MW155&lt;&gt;"",$MW155,IF($NJ155=0,"",INDEX('DADOS_FORMAS'!$GE$2:$GE$21,$NJ155)))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IF($NJ155=0,0,CHOOSE(1+INDEX('DADOS_FORMAS'!$GG$2:$GG$21,$NJ155),0,$QF155,$QG155,$QF155+$QG155))</f>
        <v/>
      </c>
      <c r="QI155" s="161">
        <f>IF($NJ155=0,0,CHOOSE(1+INDEX('DADOS_FORMAS'!$GH$2:$GH$21,$NJ155),0,$QF155,$QG155,$QF155+$QG155))</f>
        <v/>
      </c>
      <c r="QJ155" s="161">
        <f>IF(OR($ND155=0,$NJ155=0),"",INDEX('DADOS_FORMAS'!$HU$2:$HZ$81,($NJ155-1)*4+IF($MS155=0,1,IF($MS155&lt;=5,2,IF($MS155=6,3,4))),1+MIN(5,$QH155))&amp;INDEX('DADOS_FORMAS'!$IA$2:$IF$81,($NJ155-1)*4+IF($MS155=0,1,IF($MS155&lt;=5,2,IF($MS155=6,3,4))),1+MIN(5,$QI155))&amp;IF(INDEX('DADOS_FORMAS'!$GI$2:$GI$21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c r="RO155">
        <f>IFERROR(INDEX('DADOS_FORMAS'!$BJ$2:$BJ$21,MATCH(SUBSTITUTE(SUBSTITUTE(SUBSTITUTE($MU155,"~","~~"),"*","~*"),"?","~?"),'DADOS_FORMAS'!$AH$2:$AH$21,0)),"")</f>
        <v/>
      </c>
      <c r="RP155">
        <f>IFERROR(VLOOKUP(SUBSTITUTE(SUBSTITUTE(SUBSTITUTE(IFERROR(INDEX('DADOS_FORMAS'!$AS$2:$AS$21,MATCH(SUBSTITUTE(SUBSTITUTE(SUBSTITUTE($MU155,"~","~~"),"*","~*"),"?","~?"),'DADOS_FORMAS'!$AH$2:$AH$21,0)),""),"~","~~"),"*","~*"),"?","~?"),'DADOS_RESTRICOES'!$M$2:$Q$54,2,FALSE),"")</f>
        <v/>
      </c>
      <c r="RQ155">
        <f>$OK155</f>
        <v/>
      </c>
      <c r="RR155">
        <f>$OL155</f>
        <v/>
      </c>
      <c r="RS155">
        <f>$RP155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IFERROR(MATCH(SUBSTITUTE(SUBSTITUTE(SUBSTITUTE($MU156,"~","~~"),"*","~*"),"?","~?"),'DADOS_FORMAS'!$FZ$2:$FZ$21,0),0)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IF($MS156=0,0,IF($NJ156=0,0,INDEX('DADOS_FORMAS'!$GB$2:$GB$21,$NJ156)))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IF($NJ156=0,0,IF(INDEX('DADOS_FORMAS'!$GA$2:$GA$21,$NJ156)="",0,IF((COUNTIF(INDEX($EL$2:$EP$13,$MO156,0),INDEX('DADOS_FORMAS'!$GA$2:$GA$21,$NJ156))+COUNTIF(INDEX($QV$2:$QY$13,$MO156,0),INDEX('DADOS_FORMAS'!$GA$2:$GA$21,$NJ156)))=0,1,0)))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IFERROR(N(AND(INDEX('DADOS_FORMAS'!$AO$2:$AO$21,MATCH(SUBSTITUTE(SUBSTITUTE(SUBSTITUTE($MU156,"~","~~"),"*","~*"),"?","~?"),'DADOS_FORMAS'!$AH$2:$AH$21,0))="Acerto",$OH156=1)),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IF($NJ156=0,0,INDEX('DADOS_FORMAS'!$GC$2:$GC$21,$NJ156))</f>
        <v/>
      </c>
      <c r="OG156" s="161">
        <f>IF($NJ156=0,0,INDEX('DADOS_FORMAS'!$GD$2:$GD$21,$NJ156))</f>
        <v/>
      </c>
      <c r="OH156" s="161">
        <f>IF($NJ156=0,0,INDEX('DADOS_FORMAS'!$GF$2:$GF$21,$NJ156))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IF(IFERROR(INDEX('DADOS_FORMAS'!$AS$2:$AS$21,MATCH(SUBSTITUTE(SUBSTITUTE(SUBSTITUTE($MU156,"~","~~"),"*","~*"),"?","~?"),'DADOS_FORMAS'!$AH$2:$AH$21,0)),"")="",0,IFERROR(N(VLOOKUP(SUBSTITUTE(SUBSTITUTE(SUBSTITUTE(IFERROR(INDEX('DADOS_FORMAS'!$AS$2:$AS$21,MATCH(SUBSTITUTE(SUBSTITUTE(SUBSTITUTE($MU156,"~","~~"),"*","~*"),"?","~?"),'DADOS_FORMAS'!$AH$2:$AH$21,0)),""),"~","~~"),"*","~*"),"?","~?"),'DADOS_RESTRICOES'!$M$2:$Q$54,3,FALSE)=1),0))</f>
        <v/>
      </c>
      <c r="OT156" s="161">
        <f>COUNTIF($OI156:$OJ156,2)+IF(IFERROR(INDEX('DADOS_FORMAS'!$AS$2:$AS$21,MATCH(SUBSTITUTE(SUBSTITUTE(SUBSTITUTE($MU156,"~","~~"),"*","~*"),"?","~?"),'DADOS_FORMAS'!$AH$2:$AH$21,0)),"")="",0,IFERROR(N(VLOOKUP(SUBSTITUTE(SUBSTITUTE(SUBSTITUTE(IFERROR(INDEX('DADOS_FORMAS'!$AS$2:$AS$21,MATCH(SUBSTITUTE(SUBSTITUTE(SUBSTITUTE($MU156,"~","~~"),"*","~*"),"?","~?"),'DADOS_FORMAS'!$AH$2:$AH$21,0)),""),"~","~~"),"*","~*"),"?","~?"),'DADOS_RESTRICOES'!$M$2:$Q$54,3,FALSE)=2),0))</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",TRUE,IF($ND156=0,"",TEXTJOIN(" · ",TRUE,IF($MQ156&gt;$NE156,"Este lugar abre no nível "&amp;$MQ156,""),IF($MS156&gt;$NF156,"Classe "&amp;$MS156&amp;": o nível "&amp;$NE156&amp;" libera até a "&amp;$NF156,""),IF($NX156=1,"A Forma "&amp;$MU156&amp;" pede "&amp;INDEX('DADOS_FORMAS'!$GA$2:$GA$21,$NJ156)&amp;" aberta",""),IF(AND($MS156=0,$NJ156&gt;0,IF($NJ156=0,0,INDEX('DADOS_FORMAS'!$GJ$2:$GJ$21,$NJ156))=0),$MU156&amp;"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Corpo")&gt;0,$OF156=0,OR($RO156="Cone",$RO156="Linha")),"Corpo a Corpo não entra em "&amp;$MU156,""),IF(AND(COUNTIF($OK156:$OL156,"Corpo a Corpo")&gt;0,$RP156="Corpo a Corpo"),"A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"&amp;$NC156,""))),IF(AND($MU156&lt;&gt;"",COUNTIF('DADOS_FORMAS'!$AH$2:$AH$21,SUBSTITUTE(SUBSTITUTE(SUBSTITUTE($MU156,"~","~~"),"*","~*"),"?","~?"))=0),"Forma não cadastrada ou com erro: "&amp;$MU156,""),IF(AND(IFERROR(INDEX('DADOS_FORMAS'!$AS$2:$AS$21,MATCH(SUBSTITUTE(SUBSTITUTE(SUBSTITUTE($MU156,"~","~~"),"*","~*"),"?","~?"),'DADOS_FORMAS'!$AH$2:$AH$21,0)),"")&lt;&gt;"",OR(IFERROR(VLOOKUP(SUBSTITUTE(SUBSTITUTE(SUBSTITUTE(IFERROR(INDEX('DADOS_FORMAS'!$AS$2:$AS$21,MATCH(SUBSTITUTE(SUBSTITUTE(SUBSTITUTE($MU156,"~","~~"),"*","~*"),"?","~?"),'DADOS_FORMAS'!$AH$2:$AH$21,0)),""),"~","~~"),"*","~*"),"?","~?"),'DADOS_RESTRICOES'!$M$2:$Q$54,2,FALSE),"")=$OK156,IFERROR(VLOOKUP(SUBSTITUTE(SUBSTITUTE(SUBSTITUTE(IFERROR(INDEX('DADOS_FORMAS'!$AS$2:$AS$21,MATCH(SUBSTITUTE(SUBSTITUTE(SUBSTITUTE($MU156,"~","~~"),"*","~*"),"?","~?"),'DADOS_FORMAS'!$AH$2:$AH$21,0)),""),"~","~~"),"*","~*"),"?","~?"),'DADOS_RESTRICOES'!$M$2:$Q$54,2,FALSE),"")=$OL156)),"Restrição repetida, contando a embutida",""),IF(IF(IFERROR(INDEX('DADOS_FORMAS'!$AS$2:$AS$21,MATCH(SUBSTITUTE(SUBSTITUTE(SUBSTITUTE($MU156,"~","~~"),"*","~*"),"?","~?"),'DADOS_FORMAS'!$AH$2:$AH$21,0)),"")="",0,IFERROR(N(VLOOKUP(SUBSTITUTE(SUBSTITUTE(SUBSTITUTE(IFERROR(INDEX('DADOS_FORMAS'!$AS$2:$AS$21,MATCH(SUBSTITUTE(SUBSTITUTE(SUBSTITUTE($MU156,"~","~~"),"*","~*"),"?","~?"),'DADOS_FORMAS'!$AH$2:$AH$21,0)),""),"~","~~"),"*","~*"),"?","~?"),'DADOS_RESTRICOES'!$M$2:$Q$54,4,FALSE)=1),0))+IF($NB156="",0,IFERROR(N(VLOOKUP(SUBSTITUTE(SUBSTITUTE(SUBSTITUTE($NB156,"~","~~"),"*","~*"),"?","~?"),'DADOS_RESTRICOES'!$M$2:$Q$54,4,FALSE)=1),0))+IF($NC156="",0,IFERROR(N(VLOOKUP(SUBSTITUTE(SUBSTITUTE(SUBSTITUTE($NC156,"~","~~"),"*","~*"),"?","~?"),'DADOS_RESTRICOES'!$M$2:$Q$54,4,FALSE)=1),0))&gt;1,"Duas Restrições de frequência, contando a embutida",""),IF(AND(IFERROR(VLOOKUP(SUBSTITUTE(SUBSTITUTE(SUBSTITUTE(IFERROR(INDEX('DADOS_FORMAS'!$AS$2:$AS$21,MATCH(SUBSTITUTE(SUBSTITUTE(SUBSTITUTE($MU156,"~","~~"),"*","~*"),"?","~?"),'DADOS_FORMAS'!$AH$2:$AH$21,0)),""),"~","~~"),"*","~*"),"?","~?"),'DADOS_RESTRICOES'!$M$2:$Q$54,2,FALSE),"")="Tudo ou Nada",$OH156=0),"Tudo ou Nada exige TR",""),IF(AND(IFERROR(VLOOKUP(SUBSTITUTE(SUBSTITUTE(SUBSTITUTE(IFERROR(INDEX('DADOS_FORMAS'!$AS$2:$AS$21,MATCH(SUBSTITUTE(SUBSTITUTE(SUBSTITUTE($MU156,"~","~~"),"*","~*"),"?","~?"),'DADOS_FORMAS'!$AH$2:$AH$21,0)),""),"~","~~"),"*","~*"),"?","~?"),'DADOS_RESTRICOES'!$M$2:$Q$54,2,FALSE),"")="Corpo a Corpo",OR($RO156="Cone",$RO156="Linha")),"Corpo a Corpo não entra em Cone/Linha","")))</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dela",IF(COUNTIF($RQ156:$RS156,"Atrasar")&gt;0,"Sua Ação Completa",IF(COUNTIF($RK156:$RN156,"Rápido")&gt;0,"Sua Bônus",IF(COUNTIF($RK156:$RN156,"Reação")&gt;0,"Sua Reação","Sua Padrão")))&amp;" + a básica dela"&amp;IF(COUNTIF($RK156:$RN156,"Reação")&gt;0," e a coletiva","")&amp;IF(COUNTIF($RQ156:$RS156,"Carregar")&gt;0," · em dois turnos","")))</f>
        <v/>
      </c>
      <c r="QC156" s="161">
        <f>IF($MW156&lt;&gt;"",$MW156,IF($NJ156=0,"",INDEX('DADOS_FORMAS'!$GE$2:$GE$21,$NJ156)))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IF($NJ156=0,0,CHOOSE(1+INDEX('DADOS_FORMAS'!$GG$2:$GG$21,$NJ156),0,$QF156,$QG156,$QF156+$QG156))</f>
        <v/>
      </c>
      <c r="QI156" s="161">
        <f>IF($NJ156=0,0,CHOOSE(1+INDEX('DADOS_FORMAS'!$GH$2:$GH$21,$NJ156),0,$QF156,$QG156,$QF156+$QG156))</f>
        <v/>
      </c>
      <c r="QJ156" s="161">
        <f>IF(OR($ND156=0,$NJ156=0),"",INDEX('DADOS_FORMAS'!$HU$2:$HZ$81,($NJ156-1)*4+IF($MS156=0,1,IF($MS156&lt;=5,2,IF($MS156=6,3,4))),1+MIN(5,$QH156))&amp;INDEX('DADOS_FORMAS'!$IA$2:$IF$81,($NJ156-1)*4+IF($MS156=0,1,IF($MS156&lt;=5,2,IF($MS156=6,3,4))),1+MIN(5,$QI156))&amp;IF(INDEX('DADOS_FORMAS'!$GI$2:$GI$21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c r="RO156">
        <f>IFERROR(INDEX('DADOS_FORMAS'!$BJ$2:$BJ$21,MATCH(SUBSTITUTE(SUBSTITUTE(SUBSTITUTE($MU156,"~","~~"),"*","~*"),"?","~?"),'DADOS_FORMAS'!$AH$2:$AH$21,0)),"")</f>
        <v/>
      </c>
      <c r="RP156">
        <f>IFERROR(VLOOKUP(SUBSTITUTE(SUBSTITUTE(SUBSTITUTE(IFERROR(INDEX('DADOS_FORMAS'!$AS$2:$AS$21,MATCH(SUBSTITUTE(SUBSTITUTE(SUBSTITUTE($MU156,"~","~~"),"*","~*"),"?","~?"),'DADOS_FORMAS'!$AH$2:$AH$21,0)),""),"~","~~"),"*","~*"),"?","~?"),'DADOS_RESTRICOES'!$M$2:$Q$54,2,FALSE),"")</f>
        <v/>
      </c>
      <c r="RQ156">
        <f>$OK156</f>
        <v/>
      </c>
      <c r="RR156">
        <f>$OL156</f>
        <v/>
      </c>
      <c r="RS156">
        <f>$RP156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IFERROR(MATCH(SUBSTITUTE(SUBSTITUTE(SUBSTITUTE($MU157,"~","~~"),"*","~*"),"?","~?"),'DADOS_FORMAS'!$FZ$2:$FZ$21,0),0)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IF($MS157=0,0,IF($NJ157=0,0,INDEX('DADOS_FORMAS'!$GB$2:$GB$21,$NJ157)))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IF($NJ157=0,0,IF(INDEX('DADOS_FORMAS'!$GA$2:$GA$21,$NJ157)="",0,IF((COUNTIF(INDEX($EL$2:$EP$13,$MO157,0),INDEX('DADOS_FORMAS'!$GA$2:$GA$21,$NJ157))+COUNTIF(INDEX($QV$2:$QY$13,$MO157,0),INDEX('DADOS_FORMAS'!$GA$2:$GA$21,$NJ157)))=0,1,0)))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IFERROR(N(AND(INDEX('DADOS_FORMAS'!$AO$2:$AO$21,MATCH(SUBSTITUTE(SUBSTITUTE(SUBSTITUTE($MU157,"~","~~"),"*","~*"),"?","~?"),'DADOS_FORMAS'!$AH$2:$AH$21,0))="Acerto",$OH157=1)),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IF($NJ157=0,0,INDEX('DADOS_FORMAS'!$GC$2:$GC$21,$NJ157))</f>
        <v/>
      </c>
      <c r="OG157" s="161">
        <f>IF($NJ157=0,0,INDEX('DADOS_FORMAS'!$GD$2:$GD$21,$NJ157))</f>
        <v/>
      </c>
      <c r="OH157" s="161">
        <f>IF($NJ157=0,0,INDEX('DADOS_FORMAS'!$GF$2:$GF$21,$NJ157))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IF(IFERROR(INDEX('DADOS_FORMAS'!$AS$2:$AS$21,MATCH(SUBSTITUTE(SUBSTITUTE(SUBSTITUTE($MU157,"~","~~"),"*","~*"),"?","~?"),'DADOS_FORMAS'!$AH$2:$AH$21,0)),"")="",0,IFERROR(N(VLOOKUP(SUBSTITUTE(SUBSTITUTE(SUBSTITUTE(IFERROR(INDEX('DADOS_FORMAS'!$AS$2:$AS$21,MATCH(SUBSTITUTE(SUBSTITUTE(SUBSTITUTE($MU157,"~","~~"),"*","~*"),"?","~?"),'DADOS_FORMAS'!$AH$2:$AH$21,0)),""),"~","~~"),"*","~*"),"?","~?"),'DADOS_RESTRICOES'!$M$2:$Q$54,3,FALSE)=1),0))</f>
        <v/>
      </c>
      <c r="OT157" s="161">
        <f>COUNTIF($OI157:$OJ157,2)+IF(IFERROR(INDEX('DADOS_FORMAS'!$AS$2:$AS$21,MATCH(SUBSTITUTE(SUBSTITUTE(SUBSTITUTE($MU157,"~","~~"),"*","~*"),"?","~?"),'DADOS_FORMAS'!$AH$2:$AH$21,0)),"")="",0,IFERROR(N(VLOOKUP(SUBSTITUTE(SUBSTITUTE(SUBSTITUTE(IFERROR(INDEX('DADOS_FORMAS'!$AS$2:$AS$21,MATCH(SUBSTITUTE(SUBSTITUTE(SUBSTITUTE($MU157,"~","~~"),"*","~*"),"?","~?"),'DADOS_FORMAS'!$AH$2:$AH$21,0)),""),"~","~~"),"*","~*"),"?","~?"),'DADOS_RESTRICOES'!$M$2:$Q$54,3,FALSE)=2),0))</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",TRUE,IF($ND157=0,"",TEXTJOIN(" · ",TRUE,IF($MQ157&gt;$NE157,"Este lugar abre no nível "&amp;$MQ157,""),IF($MS157&gt;$NF157,"Classe "&amp;$MS157&amp;": o nível "&amp;$NE157&amp;" libera até a "&amp;$NF157,""),IF($NX157=1,"A Forma "&amp;$MU157&amp;" pede "&amp;INDEX('DADOS_FORMAS'!$GA$2:$GA$21,$NJ157)&amp;" aberta",""),IF(AND($MS157=0,$NJ157&gt;0,IF($NJ157=0,0,INDEX('DADOS_FORMAS'!$GJ$2:$GJ$21,$NJ157))=0),$MU157&amp;"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Corpo")&gt;0,$OF157=0,OR($RO157="Cone",$RO157="Linha")),"Corpo a Corpo não entra em "&amp;$MU157,""),IF(AND(COUNTIF($OK157:$OL157,"Corpo a Corpo")&gt;0,$RP157="Corpo a Corpo"),"A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"&amp;$NC157,""))),IF(AND($MU157&lt;&gt;"",COUNTIF('DADOS_FORMAS'!$AH$2:$AH$21,SUBSTITUTE(SUBSTITUTE(SUBSTITUTE($MU157,"~","~~"),"*","~*"),"?","~?"))=0),"Forma não cadastrada ou com erro: "&amp;$MU157,""),IF(AND(IFERROR(INDEX('DADOS_FORMAS'!$AS$2:$AS$21,MATCH(SUBSTITUTE(SUBSTITUTE(SUBSTITUTE($MU157,"~","~~"),"*","~*"),"?","~?"),'DADOS_FORMAS'!$AH$2:$AH$21,0)),"")&lt;&gt;"",OR(IFERROR(VLOOKUP(SUBSTITUTE(SUBSTITUTE(SUBSTITUTE(IFERROR(INDEX('DADOS_FORMAS'!$AS$2:$AS$21,MATCH(SUBSTITUTE(SUBSTITUTE(SUBSTITUTE($MU157,"~","~~"),"*","~*"),"?","~?"),'DADOS_FORMAS'!$AH$2:$AH$21,0)),""),"~","~~"),"*","~*"),"?","~?"),'DADOS_RESTRICOES'!$M$2:$Q$54,2,FALSE),"")=$OK157,IFERROR(VLOOKUP(SUBSTITUTE(SUBSTITUTE(SUBSTITUTE(IFERROR(INDEX('DADOS_FORMAS'!$AS$2:$AS$21,MATCH(SUBSTITUTE(SUBSTITUTE(SUBSTITUTE($MU157,"~","~~"),"*","~*"),"?","~?"),'DADOS_FORMAS'!$AH$2:$AH$21,0)),""),"~","~~"),"*","~*"),"?","~?"),'DADOS_RESTRICOES'!$M$2:$Q$54,2,FALSE),"")=$OL157)),"Restrição repetida, contando a embutida",""),IF(IF(IFERROR(INDEX('DADOS_FORMAS'!$AS$2:$AS$21,MATCH(SUBSTITUTE(SUBSTITUTE(SUBSTITUTE($MU157,"~","~~"),"*","~*"),"?","~?"),'DADOS_FORMAS'!$AH$2:$AH$21,0)),"")="",0,IFERROR(N(VLOOKUP(SUBSTITUTE(SUBSTITUTE(SUBSTITUTE(IFERROR(INDEX('DADOS_FORMAS'!$AS$2:$AS$21,MATCH(SUBSTITUTE(SUBSTITUTE(SUBSTITUTE($MU157,"~","~~"),"*","~*"),"?","~?"),'DADOS_FORMAS'!$AH$2:$AH$21,0)),""),"~","~~"),"*","~*"),"?","~?"),'DADOS_RESTRICOES'!$M$2:$Q$54,4,FALSE)=1),0))+IF($NB157="",0,IFERROR(N(VLOOKUP(SUBSTITUTE(SUBSTITUTE(SUBSTITUTE($NB157,"~","~~"),"*","~*"),"?","~?"),'DADOS_RESTRICOES'!$M$2:$Q$54,4,FALSE)=1),0))+IF($NC157="",0,IFERROR(N(VLOOKUP(SUBSTITUTE(SUBSTITUTE(SUBSTITUTE($NC157,"~","~~"),"*","~*"),"?","~?"),'DADOS_RESTRICOES'!$M$2:$Q$54,4,FALSE)=1),0))&gt;1,"Duas Restrições de frequência, contando a embutida",""),IF(AND(IFERROR(VLOOKUP(SUBSTITUTE(SUBSTITUTE(SUBSTITUTE(IFERROR(INDEX('DADOS_FORMAS'!$AS$2:$AS$21,MATCH(SUBSTITUTE(SUBSTITUTE(SUBSTITUTE($MU157,"~","~~"),"*","~*"),"?","~?"),'DADOS_FORMAS'!$AH$2:$AH$21,0)),""),"~","~~"),"*","~*"),"?","~?"),'DADOS_RESTRICOES'!$M$2:$Q$54,2,FALSE),"")="Tudo ou Nada",$OH157=0),"Tudo ou Nada exige TR",""),IF(AND(IFERROR(VLOOKUP(SUBSTITUTE(SUBSTITUTE(SUBSTITUTE(IFERROR(INDEX('DADOS_FORMAS'!$AS$2:$AS$21,MATCH(SUBSTITUTE(SUBSTITUTE(SUBSTITUTE($MU157,"~","~~"),"*","~*"),"?","~?"),'DADOS_FORMAS'!$AH$2:$AH$21,0)),""),"~","~~"),"*","~*"),"?","~?"),'DADOS_RESTRICOES'!$M$2:$Q$54,2,FALSE),"")="Corpo a Corpo",OR($RO157="Cone",$RO157="Linha")),"Corpo a Corpo não entra em Cone/Linha","")))</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dela",IF(COUNTIF($RQ157:$RS157,"Atrasar")&gt;0,"Sua Ação Completa",IF(COUNTIF($RK157:$RN157,"Rápido")&gt;0,"Sua Bônus",IF(COUNTIF($RK157:$RN157,"Reação")&gt;0,"Sua Reação","Sua Padrão")))&amp;" + a básica dela"&amp;IF(COUNTIF($RK157:$RN157,"Reação")&gt;0," e a coletiva","")&amp;IF(COUNTIF($RQ157:$RS157,"Carregar")&gt;0," · em dois turnos","")))</f>
        <v/>
      </c>
      <c r="QC157" s="161">
        <f>IF($MW157&lt;&gt;"",$MW157,IF($NJ157=0,"",INDEX('DADOS_FORMAS'!$GE$2:$GE$21,$NJ157)))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IF($NJ157=0,0,CHOOSE(1+INDEX('DADOS_FORMAS'!$GG$2:$GG$21,$NJ157),0,$QF157,$QG157,$QF157+$QG157))</f>
        <v/>
      </c>
      <c r="QI157" s="161">
        <f>IF($NJ157=0,0,CHOOSE(1+INDEX('DADOS_FORMAS'!$GH$2:$GH$21,$NJ157),0,$QF157,$QG157,$QF157+$QG157))</f>
        <v/>
      </c>
      <c r="QJ157" s="161">
        <f>IF(OR($ND157=0,$NJ157=0),"",INDEX('DADOS_FORMAS'!$HU$2:$HZ$81,($NJ157-1)*4+IF($MS157=0,1,IF($MS157&lt;=5,2,IF($MS157=6,3,4))),1+MIN(5,$QH157))&amp;INDEX('DADOS_FORMAS'!$IA$2:$IF$81,($NJ157-1)*4+IF($MS157=0,1,IF($MS157&lt;=5,2,IF($MS157=6,3,4))),1+MIN(5,$QI157))&amp;IF(INDEX('DADOS_FORMAS'!$GI$2:$GI$21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c r="RO157">
        <f>IFERROR(INDEX('DADOS_FORMAS'!$BJ$2:$BJ$21,MATCH(SUBSTITUTE(SUBSTITUTE(SUBSTITUTE($MU157,"~","~~"),"*","~*"),"?","~?"),'DADOS_FORMAS'!$AH$2:$AH$21,0)),"")</f>
        <v/>
      </c>
      <c r="RP157">
        <f>IFERROR(VLOOKUP(SUBSTITUTE(SUBSTITUTE(SUBSTITUTE(IFERROR(INDEX('DADOS_FORMAS'!$AS$2:$AS$21,MATCH(SUBSTITUTE(SUBSTITUTE(SUBSTITUTE($MU157,"~","~~"),"*","~*"),"?","~?"),'DADOS_FORMAS'!$AH$2:$AH$21,0)),""),"~","~~"),"*","~*"),"?","~?"),'DADOS_RESTRICOES'!$M$2:$Q$54,2,FALSE),"")</f>
        <v/>
      </c>
      <c r="RQ157">
        <f>$OK157</f>
        <v/>
      </c>
      <c r="RR157">
        <f>$OL157</f>
        <v/>
      </c>
      <c r="RS157">
        <f>$RP157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c r="JY1" s="172" t="inlineStr">
        <is>
          <t>erro básico · parte 1</t>
        </is>
      </c>
      <c r="JZ1" s="172" t="inlineStr">
        <is>
          <t>erro básico · parte 2</t>
        </is>
      </c>
      <c r="KA1" s="172" t="inlineStr">
        <is>
          <t>erro básico · parte 3</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TEXTJOIN(" · ",TRUE,JY2:KA2)</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f>IF('DADOS_DANOS'!$J$2="","",'DADOS_DANOS'!$J$2)</f>
        <v/>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amaldiçoada","'DADOS_CUSTOM'!$CM$2:$CM$160","'DADOS_CUSTOM'!$CM$2:$CM$160"))&lt;&gt;"")),"")</f>
        <v/>
      </c>
      <c r="JY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2">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2">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TEXTJOIN(" · ",TRUE,JY3:KA3)</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f>IF('DADOS_DANOS'!$J$3="","",'DADOS_DANOS'!$J$3)</f>
        <v/>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c r="JY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2">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2">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TEXTJOIN(" · ",TRUE,JY4:KA4)</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f>IF('DADOS_DANOS'!$J$4="","",'DADOS_DANOS'!$J$4)</f>
        <v/>
      </c>
      <c r="CI4" s="172" t="inlineStr">
        <is>
          <t>Fineza</t>
        </is>
      </c>
      <c r="CJ4" s="172" t="inlineStr">
        <is>
          <t>Grau 3</t>
        </is>
      </c>
      <c r="CK4" s="172" t="inlineStr">
        <is>
          <t>Besta de Uma Mão</t>
        </is>
      </c>
      <c r="CL4" s="172" t="inlineStr">
        <is>
          <t>Coexistência</t>
        </is>
      </c>
      <c r="CR4" s="172">
        <f>IF(DADOS!$CZ$34&gt;=DADOS!$CC$6,DADOS!$BX$6,"")</f>
        <v/>
      </c>
      <c r="CS4" s="172" t="inlineStr">
        <is>
          <t>Descendente</t>
        </is>
      </c>
      <c r="JY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2">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2">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TEXTJOIN(" · ",TRUE,JY5:KA5)</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f>IF('DADOS_DANOS'!$J$5="","",'DADOS_DANOS'!$J$5)</f>
        <v/>
      </c>
      <c r="CI5" s="172" t="inlineStr">
        <is>
          <t>Versátil</t>
        </is>
      </c>
      <c r="CJ5" s="172" t="inlineStr">
        <is>
          <t>Grau 2</t>
        </is>
      </c>
      <c r="CK5" s="172" t="inlineStr">
        <is>
          <t>Bō</t>
        </is>
      </c>
      <c r="CL5" s="172" t="inlineStr">
        <is>
          <t>Conflito</t>
        </is>
      </c>
      <c r="CR5" s="172">
        <f>IF(DADOS!$CZ$34&gt;=DADOS!$CC$7,DADOS!$BX$7,"")</f>
        <v/>
      </c>
      <c r="CS5" s="172" t="inlineStr">
        <is>
          <t>Encarnado</t>
        </is>
      </c>
      <c r="JY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2">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2">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TEXTJOIN(" · ",TRUE,JY6:KA6)</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f>IF('DADOS_DANOS'!$J$6="","",'DADOS_DANOS'!$J$6)</f>
        <v/>
      </c>
      <c r="CI6" s="172" t="inlineStr">
        <is>
          <t>Par</t>
        </is>
      </c>
      <c r="CJ6" s="172" t="inlineStr">
        <is>
          <t>Grau 1</t>
        </is>
      </c>
      <c r="CK6" s="172" t="inlineStr">
        <is>
          <t>Canivete</t>
        </is>
      </c>
      <c r="CL6" s="172" t="inlineStr">
        <is>
          <t>Zenin</t>
        </is>
      </c>
      <c r="CR6" s="172">
        <f>IF(DADOS!$CZ$34&gt;=DADOS!$CC$8,DADOS!$BX$8,"")</f>
        <v/>
      </c>
      <c r="CS6" s="172" t="inlineStr">
        <is>
          <t>Híbrido</t>
        </is>
      </c>
      <c r="JY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2">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2">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TEXTJOIN(" · ",TRUE,JY7:KA7)</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f>IF('DADOS_DANOS'!$J$7="","",'DADOS_DANOS'!$J$7)</f>
        <v/>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c r="JY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2">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2">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TEXTJOIN(" · ",TRUE,JY8:KA8)</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f>IF('DADOS_DANOS'!$J$8="","",'DADOS_DANOS'!$J$8)</f>
        <v/>
      </c>
      <c r="CI8" s="172" t="inlineStr">
        <is>
          <t>Longo Alcance</t>
        </is>
      </c>
      <c r="CK8" s="172" t="inlineStr">
        <is>
          <t>Chakram</t>
        </is>
      </c>
      <c r="CL8" s="172" t="inlineStr">
        <is>
          <t>Gojo</t>
        </is>
      </c>
      <c r="CR8" s="172">
        <f>IF(DADOS!$CZ$34&gt;=DADOS!$CC$10,DADOS!$BX$10,"")</f>
        <v/>
      </c>
      <c r="CS8" s="172" t="inlineStr">
        <is>
          <t>Latente · Sem Técnica</t>
        </is>
      </c>
      <c r="JY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2">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2">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TEXTJOIN(" · ",TRUE,JY9:KA9)</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f>IF('DADOS_DANOS'!$J$9="","",'DADOS_DANOS'!$J$9)</f>
        <v/>
      </c>
      <c r="CI9" s="172" t="inlineStr">
        <is>
          <t>Duas mãos</t>
        </is>
      </c>
      <c r="CK9" s="172" t="inlineStr">
        <is>
          <t>Chicote</t>
        </is>
      </c>
      <c r="CL9" s="172" t="inlineStr">
        <is>
          <t>Inumaki</t>
        </is>
      </c>
      <c r="CS9" s="172" t="inlineStr">
        <is>
          <t>Receptáculo · Sem Técnica</t>
        </is>
      </c>
      <c r="JY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2">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2">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TEXTJOIN(" · ",TRUE,JY10:KA10)</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f>IF('DADOS_DANOS'!$J$10="","",'DADOS_DANOS'!$J$10)</f>
        <v/>
      </c>
      <c r="CI10" s="172" t="inlineStr">
        <is>
          <t>Vestida</t>
        </is>
      </c>
      <c r="CK10" s="172" t="inlineStr">
        <is>
          <t>Corrente</t>
        </is>
      </c>
      <c r="CL10" s="172" t="inlineStr">
        <is>
          <t>Duas Vidas</t>
        </is>
      </c>
      <c r="CS10" s="172" t="inlineStr">
        <is>
          <t>Descendente · Sem Técnica</t>
        </is>
      </c>
      <c r="JY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2">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2">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TEXTJOIN(" · ",TRUE,JY11:KA11)</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f>IF('DADOS_DANOS'!$J$11="","",'DADOS_DANOS'!$J$11)</f>
        <v/>
      </c>
      <c r="CI11" s="172" t="inlineStr">
        <is>
          <t>Emaranha</t>
        </is>
      </c>
      <c r="CK11" s="172" t="inlineStr">
        <is>
          <t>Daikyū</t>
        </is>
      </c>
      <c r="CL11" s="172" t="inlineStr">
        <is>
          <t>Regeneração Orgânica</t>
        </is>
      </c>
      <c r="CS11" s="172" t="inlineStr">
        <is>
          <t>Encarnado · Sem Técnica</t>
        </is>
      </c>
      <c r="JY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2">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2">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TEXTJOIN(" · ",TRUE,JY12:KA12)</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f>IF('DADOS_DANOS'!$J$12="","",'DADOS_DANOS'!$J$12)</f>
        <v/>
      </c>
      <c r="CI12" s="172" t="inlineStr">
        <is>
          <t>Rompe</t>
        </is>
      </c>
      <c r="CK12" s="172" t="inlineStr">
        <is>
          <t>Espada Longa</t>
        </is>
      </c>
      <c r="CL12" s="172" t="inlineStr">
        <is>
          <t>Existência Artificial</t>
        </is>
      </c>
      <c r="CS12" s="172" t="inlineStr">
        <is>
          <t>Híbrido · Sem Técnica</t>
        </is>
      </c>
      <c r="JY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2">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2">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TEXTJOIN(" · ",TRUE,JY13:KA13)</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f>IF('DADOS_DANOS'!$J$13="","",'DADOS_DANOS'!$J$13)</f>
        <v/>
      </c>
      <c r="CI13" s="172" t="inlineStr">
        <is>
          <t>Talha</t>
        </is>
      </c>
      <c r="CK13" s="172" t="inlineStr">
        <is>
          <t>Espadão</t>
        </is>
      </c>
      <c r="CL13" s="172" t="inlineStr">
        <is>
          <t>Ataque sem Prenúncio</t>
        </is>
      </c>
      <c r="CS13" s="172" t="inlineStr">
        <is>
          <t>Corpo Amaldiçoado</t>
        </is>
      </c>
      <c r="JY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2">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2">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TEXTJOIN(" · ",TRUE,JY14:KA14)</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f>IF('DADOS_DANOS'!$J$14="","",'DADOS_DANOS'!$J$14)</f>
        <v/>
      </c>
      <c r="CI14" s="172" t="inlineStr">
        <is>
          <t>Oculta</t>
        </is>
      </c>
      <c r="CK14" s="172" t="inlineStr">
        <is>
          <t>Espingarda</t>
        </is>
      </c>
      <c r="CL14" s="172" t="inlineStr">
        <is>
          <t>Corpo Debilitado</t>
        </is>
      </c>
      <c r="CS14" s="172" t="inlineStr">
        <is>
          <t>Restrição Celestial · Sem Energia</t>
        </is>
      </c>
      <c r="JY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2">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2">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TEXTJOIN(" · ",TRUE,JY15:KA15)</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f>IF('DADOS_DANOS'!$J$15="","",'DADOS_DANOS'!$J$15)</f>
        <v/>
      </c>
      <c r="CI15" s="172" t="inlineStr">
        <is>
          <t>Discreta</t>
        </is>
      </c>
      <c r="CK15" s="172" t="inlineStr">
        <is>
          <t>Faca</t>
        </is>
      </c>
      <c r="CL15" s="172" t="inlineStr">
        <is>
          <t>Corpo Quebradiço</t>
        </is>
      </c>
      <c r="CS15" s="172">
        <f>IF(AND($B2="Origem",$T2=TRUE),$C2,"")</f>
        <v/>
      </c>
      <c r="JY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2">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2">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TEXTJOIN(" · ",TRUE,JY16:KA16)</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f>IF('DADOS_DANOS'!$J$16="","",'DADOS_DANOS'!$J$16)</f>
        <v/>
      </c>
      <c r="CI16" s="172" t="inlineStr">
        <is>
          <t>Munição</t>
        </is>
      </c>
      <c r="CK16" s="172" t="inlineStr">
        <is>
          <t>Foice</t>
        </is>
      </c>
      <c r="CL16" s="172" t="inlineStr">
        <is>
          <t>Corpo Exaurido</t>
        </is>
      </c>
      <c r="CS16" s="172">
        <f>IF(AND($B3="Origem",$T3=TRUE),$C3,"")</f>
        <v/>
      </c>
      <c r="JY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2">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2">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TEXTJOIN(" · ",TRUE,JY17:KA17)</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H17">
        <f>IF('DADOS_DANOS'!$J$17="","",'DADOS_DANOS'!$J$17)</f>
        <v/>
      </c>
      <c r="CI17" s="172" t="inlineStr">
        <is>
          <t>Volumosa</t>
        </is>
      </c>
      <c r="CK17" s="172" t="inlineStr">
        <is>
          <t>Hankyū</t>
        </is>
      </c>
      <c r="CL17" s="172">
        <f>IF(OR('CONFIGURAÇÃO'!$J$11="Marcante"),'CONFIGURAÇÃO'!$J$13,"")</f>
        <v/>
      </c>
      <c r="CS17" s="172">
        <f>IF(AND($B4="Origem",$T4=TRUE),$C4,"")</f>
        <v/>
      </c>
      <c r="JY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2">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2">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TEXTJOIN(" · ",TRUE,JY18:KA18)</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H18">
        <f>IF('DADOS_DANOS'!$J$18="","",'DADOS_DANOS'!$J$18)</f>
        <v/>
      </c>
      <c r="CI18" s="172" t="inlineStr">
        <is>
          <t>Embainhada</t>
        </is>
      </c>
      <c r="CK18" s="172" t="inlineStr">
        <is>
          <t>Kama</t>
        </is>
      </c>
      <c r="CL18" s="172">
        <f>IF(OR('CONFIGURAÇÃO'!$J$40="Marcante"),'CONFIGURAÇÃO'!$J$42,"")</f>
        <v/>
      </c>
      <c r="CS18" s="172">
        <f>IF(AND($B5="Origem",$T5=TRUE),$C5,"")</f>
        <v/>
      </c>
      <c r="JY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2">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2">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TEXTJOIN(" · ",TRUE,JY19:KA19)</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H19">
        <f>IF('DADOS_DANOS'!$J$19="","",'DADOS_DANOS'!$J$19)</f>
        <v/>
      </c>
      <c r="CK19" s="172" t="inlineStr">
        <is>
          <t>Kanabō</t>
        </is>
      </c>
      <c r="CL19" s="172">
        <f>IF(OR('CONFIGURAÇÃO'!$J$69="Marcante"),'CONFIGURAÇÃO'!$J$71,"")</f>
        <v/>
      </c>
      <c r="CS19" s="172">
        <f>IF(AND($B6="Origem",$T6=TRUE),$C6,"")</f>
        <v/>
      </c>
      <c r="JY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2">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2">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TEXTJOIN(" · ",TRUE,JY20:KA20)</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H20">
        <f>IF('DADOS_DANOS'!$J$20="","",'DADOS_DANOS'!$J$20)</f>
        <v/>
      </c>
      <c r="CK20" s="172" t="inlineStr">
        <is>
          <t>Katana</t>
        </is>
      </c>
      <c r="CL20" s="172">
        <f>IF(OR('CONFIGURAÇÃO'!$J$98="Marcante"),'CONFIGURAÇÃO'!$J$100,"")</f>
        <v/>
      </c>
      <c r="CS20" s="172">
        <f>IF(AND($B7="Origem",$T7=TRUE),$C7,"")</f>
        <v/>
      </c>
      <c r="JY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2">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2">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TEXTJOIN(" · ",TRUE,JY21:KA21)</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H21">
        <f>IF('DADOS_DANOS'!$J$21="","",'DADOS_DANOS'!$J$21)</f>
        <v/>
      </c>
      <c r="CK21" s="172" t="inlineStr">
        <is>
          <t>Kunai</t>
        </is>
      </c>
      <c r="CL21" s="172">
        <f>IF(OR('CONFIGURAÇÃO'!$J$127="Marcante"),'CONFIGURAÇÃO'!$J$129,"")</f>
        <v/>
      </c>
      <c r="CS21" s="172">
        <f>IF(AND($B8="Origem",$T8=TRUE),$C8,"")</f>
        <v/>
      </c>
      <c r="JY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2">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2">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TEXTJOIN(" · ",TRUE,JY22:KA22)</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H22">
        <f>IF('DADOS_DANOS'!$J$22="","",'DADOS_DANOS'!$J$22)</f>
        <v/>
      </c>
      <c r="CK22" s="172" t="inlineStr">
        <is>
          <t>Kusarigama</t>
        </is>
      </c>
      <c r="CL22" s="172">
        <f>IF(OR('CONFIGURAÇÃO'!$J$156="Marcante"),'CONFIGURAÇÃO'!$J$158,"")</f>
        <v/>
      </c>
      <c r="CS22" s="172">
        <f>IF(AND($B9="Origem",$T9=TRUE),$C9,"")</f>
        <v/>
      </c>
      <c r="JY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2">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2">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TEXTJOIN(" · ",TRUE,JY23:KA23)</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H23">
        <f>IF('DADOS_DANOS'!$J$23="","",'DADOS_DANOS'!$J$23)</f>
        <v/>
      </c>
      <c r="CK23" s="172" t="inlineStr">
        <is>
          <t>Lança</t>
        </is>
      </c>
      <c r="CL23" s="172">
        <f>IF(OR('CONFIGURAÇÃO'!$J$185="Marcante"),'CONFIGURAÇÃO'!$J$187,"")</f>
        <v/>
      </c>
      <c r="CS23" s="172">
        <f>IF(AND($B10="Origem",$T10=TRUE),$C10,"")</f>
        <v/>
      </c>
      <c r="JY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2">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2">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TEXTJOIN(" · ",TRUE,JY24:KA24)</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H24">
        <f>IF('DADOS_DANOS'!$J$24="","",'DADOS_DANOS'!$J$24)</f>
        <v/>
      </c>
      <c r="CK24" s="172" t="inlineStr">
        <is>
          <t>Machadinha</t>
        </is>
      </c>
      <c r="CL24" s="172">
        <f>IF(OR('CONFIGURAÇÃO'!$J$214="Marcante"),'CONFIGURAÇÃO'!$J$216,"")</f>
        <v/>
      </c>
      <c r="CS24" s="172">
        <f>IF(AND($B11="Origem",$T11=TRUE),$C11,"")</f>
        <v/>
      </c>
      <c r="JY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2">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2">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TEXTJOIN(" · ",TRUE,JY25:KA25)</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H25">
        <f>IF('DADOS_DANOS'!$J$25="","",'DADOS_DANOS'!$J$25)</f>
        <v/>
      </c>
      <c r="CK25" s="172" t="inlineStr">
        <is>
          <t>Machado</t>
        </is>
      </c>
      <c r="CL25" s="172">
        <f>IF(OR('CONFIGURAÇÃO'!$J$243="Marcante"),'CONFIGURAÇÃO'!$J$245,"")</f>
        <v/>
      </c>
      <c r="CS25" s="172">
        <f>IF(AND($B12="Origem",$T12=TRUE),$C12,"")</f>
        <v/>
      </c>
      <c r="JY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2">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2">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TEXTJOIN(" · ",TRUE,JY26:KA26)</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H26">
        <f>IF('DADOS_DANOS'!$J$26="","",'DADOS_DANOS'!$J$26)</f>
        <v/>
      </c>
      <c r="CK26" s="172" t="inlineStr">
        <is>
          <t>Machado de Guerra</t>
        </is>
      </c>
      <c r="CL26" s="172">
        <f>IF(OR('CONFIGURAÇÃO'!$J$272="Marcante"),'CONFIGURAÇÃO'!$J$274,"")</f>
        <v/>
      </c>
      <c r="CS26" s="172">
        <f>IF(AND($B13="Origem",$T13=TRUE),$C13,"")</f>
        <v/>
      </c>
      <c r="JY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2">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2">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2810"/>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6" t="inlineStr">
        <is>
          <t>TÉCNICA · FAMÍLIAS</t>
        </is>
      </c>
      <c r="H153" s="173" t="n"/>
      <c r="I153" s="173" t="n"/>
      <c r="J153" s="173" t="n"/>
      <c r="K153" s="173" t="n"/>
      <c r="L153" s="173" t="n"/>
      <c r="M153" s="173" t="n"/>
      <c r="N153" s="173" t="n"/>
      <c r="O153" s="173" t="n"/>
      <c r="P153" s="173" t="n"/>
    </row>
    <row r="154" ht="18.75" customHeight="1">
      <c r="A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7" t="inlineStr">
        <is>
          <t>REGRA</t>
        </is>
      </c>
      <c r="C156" s="178" t="n"/>
      <c r="D156" s="179" t="n"/>
      <c r="E156" s="177" t="inlineStr">
        <is>
          <t>LIVRO</t>
        </is>
      </c>
      <c r="F156" s="177" t="inlineStr">
        <is>
          <t>CAMPANHA</t>
        </is>
      </c>
      <c r="G156" s="177" t="inlineStr">
        <is>
          <t>EM USO</t>
        </is>
      </c>
      <c r="H156" s="173" t="n"/>
      <c r="I156" s="173" t="n"/>
      <c r="J156" s="181" t="n"/>
      <c r="K156" s="178" t="n"/>
      <c r="L156" s="178" t="n"/>
      <c r="M156" s="179" t="n"/>
      <c r="N156" s="180" t="b">
        <v>0</v>
      </c>
      <c r="O156" s="179" t="n"/>
      <c r="P156" s="173" t="n"/>
    </row>
    <row r="157" ht="18.75" customHeight="1">
      <c r="A157" s="173" t="n"/>
      <c r="B157" s="181" t="inlineStr">
        <is>
          <t>Famílias Livres</t>
        </is>
      </c>
      <c r="C157" s="178" t="n"/>
      <c r="D157" s="179" t="n"/>
      <c r="E157" s="182" t="n">
        <v>2</v>
      </c>
      <c r="F157" s="182" t="n"/>
      <c r="G157" s="182">
        <f>IF(ISBLANK(F157),E157,IF(IFERROR(AND(ISNUMBER(F157),F157&gt;=0,INT(F157)=F157),FALSE),F157,NA()))</f>
        <v/>
      </c>
      <c r="H157" s="173" t="n"/>
      <c r="I157" s="173" t="n"/>
      <c r="J157" s="177" t="inlineStr">
        <is>
          <t>NOME</t>
        </is>
      </c>
      <c r="K157" s="178" t="n"/>
      <c r="L157" s="178" t="n"/>
      <c r="M157" s="178" t="n"/>
      <c r="N157" s="178" t="n"/>
      <c r="O157" s="179" t="n"/>
      <c r="P157" s="173" t="n"/>
    </row>
    <row r="158" ht="18.75" customHeight="1">
      <c r="A158" s="173" t="n"/>
      <c r="B158" s="181" t="inlineStr">
        <is>
          <t>Famílias Fechadas</t>
        </is>
      </c>
      <c r="C158" s="178" t="n"/>
      <c r="D158" s="179" t="n"/>
      <c r="E158" s="182" t="n">
        <v>3</v>
      </c>
      <c r="F158" s="182" t="n"/>
      <c r="G158" s="182">
        <f>IF(ISBLANK(F158),E158,IF(IFERROR(AND(ISNUMBER(F158),F158&gt;=0,INT(F158)=F158),FALSE),F158,NA()))</f>
        <v/>
      </c>
      <c r="H158" s="173" t="n"/>
      <c r="I158" s="173" t="n"/>
      <c r="J158" s="181" t="n"/>
      <c r="K158" s="178" t="n"/>
      <c r="L158" s="178" t="n"/>
      <c r="M158" s="178" t="n"/>
      <c r="N158" s="178" t="n"/>
      <c r="O158" s="179" t="n"/>
      <c r="P158" s="173" t="n"/>
    </row>
    <row r="159" ht="18.75" customHeight="1">
      <c r="A159" s="173" t="n"/>
      <c r="B159" s="181" t="inlineStr">
        <is>
          <t>Famílias Neutras</t>
        </is>
      </c>
      <c r="C159" s="178" t="n"/>
      <c r="D159" s="179" t="n"/>
      <c r="E159" s="182" t="n">
        <v>4</v>
      </c>
      <c r="F159" s="181" t="inlineStr">
        <is>
          <t>saldo</t>
        </is>
      </c>
      <c r="G159" s="182">
        <f>G160-G157-G158</f>
        <v/>
      </c>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81" t="inlineStr">
        <is>
          <t>Famílias disponíveis</t>
        </is>
      </c>
      <c r="C160" s="178" t="n"/>
      <c r="D160" s="179" t="n"/>
      <c r="E160" s="182" t="n">
        <v>9</v>
      </c>
      <c r="F160" s="181" t="inlineStr">
        <is>
          <t>catálogo</t>
        </is>
      </c>
      <c r="G160" s="182">
        <f>COUNTIF('DADOS_CRIACAO'!$H$2:$H$20,"?*")</f>
        <v/>
      </c>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5">
        <f>IFERROR(IF(G159&lt;0,"⚠ Livres + Fechadas ultrapassam o catálogo.",""),"⚠ Confira os limites das Famílias.")</f>
        <v/>
      </c>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t="18.75" customHeight="1">
      <c r="A797" s="173" t="n"/>
      <c r="B797" s="176" t="inlineStr">
        <is>
          <t>PERÍCIA 1 · CUSTOM</t>
        </is>
      </c>
      <c r="H797" s="173" t="n"/>
      <c r="I797" s="173" t="n"/>
      <c r="J797" s="176" t="inlineStr">
        <is>
          <t>PERÍCIA 2 · CUSTOM</t>
        </is>
      </c>
      <c r="P797" s="173" t="n"/>
    </row>
    <row r="798" ht="18.75" customHeight="1">
      <c r="A798" s="173" t="n"/>
      <c r="B798" s="177" t="inlineStr">
        <is>
          <t>TIPO</t>
        </is>
      </c>
      <c r="C798" s="178" t="n"/>
      <c r="D798" s="178" t="n"/>
      <c r="E798" s="179" t="n"/>
      <c r="F798" s="177" t="inlineStr">
        <is>
          <t>MESTRE VIU</t>
        </is>
      </c>
      <c r="G798" s="179" t="n"/>
      <c r="H798" s="173" t="n"/>
      <c r="I798" s="173" t="n"/>
      <c r="J798" s="177" t="inlineStr">
        <is>
          <t>TIPO</t>
        </is>
      </c>
      <c r="K798" s="178" t="n"/>
      <c r="L798" s="178" t="n"/>
      <c r="M798" s="179" t="n"/>
      <c r="N798" s="177" t="inlineStr">
        <is>
          <t>MESTRE VIU</t>
        </is>
      </c>
      <c r="O798" s="179" t="n"/>
      <c r="P798" s="173" t="n"/>
    </row>
    <row r="799" ht="18.75" customHeight="1">
      <c r="A799" s="173" t="n"/>
      <c r="B799" s="181" t="inlineStr">
        <is>
          <t>Perícia</t>
        </is>
      </c>
      <c r="C799" s="178" t="n"/>
      <c r="D799" s="178" t="n"/>
      <c r="E799" s="179" t="n"/>
      <c r="F799" s="180" t="b">
        <v>0</v>
      </c>
      <c r="G799" s="179" t="n"/>
      <c r="H799" s="173" t="n"/>
      <c r="I799" s="173" t="n"/>
      <c r="J799" s="181" t="inlineStr">
        <is>
          <t>Perícia</t>
        </is>
      </c>
      <c r="K799" s="178" t="n"/>
      <c r="L799" s="178" t="n"/>
      <c r="M799" s="179" t="n"/>
      <c r="N799" s="180" t="b">
        <v>0</v>
      </c>
      <c r="O799" s="179" t="n"/>
      <c r="P799" s="173" t="n"/>
    </row>
    <row r="800" ht="18.75" customHeight="1">
      <c r="A800" s="173" t="n"/>
      <c r="B800" s="177" t="inlineStr">
        <is>
          <t>NOME</t>
        </is>
      </c>
      <c r="C800" s="178" t="n"/>
      <c r="D800" s="178" t="n"/>
      <c r="E800" s="178" t="n"/>
      <c r="F800" s="178" t="n"/>
      <c r="G800" s="179" t="n"/>
      <c r="H800" s="173" t="n"/>
      <c r="I800" s="173" t="n"/>
      <c r="J800" s="177" t="inlineStr">
        <is>
          <t>NOME</t>
        </is>
      </c>
      <c r="K800" s="178" t="n"/>
      <c r="L800" s="178" t="n"/>
      <c r="M800" s="178" t="n"/>
      <c r="N800" s="178" t="n"/>
      <c r="O800" s="179" t="n"/>
      <c r="P800" s="173" t="n"/>
    </row>
    <row r="801" ht="18.75" customHeight="1">
      <c r="A801" s="173" t="n"/>
      <c r="B801" s="181" t="n"/>
      <c r="C801" s="178" t="n"/>
      <c r="D801" s="178" t="n"/>
      <c r="E801" s="178" t="n"/>
      <c r="F801" s="178" t="n"/>
      <c r="G801" s="179" t="n"/>
      <c r="H801" s="173" t="n"/>
      <c r="I801" s="173" t="n"/>
      <c r="J801" s="181" t="n"/>
      <c r="K801" s="178" t="n"/>
      <c r="L801" s="178" t="n"/>
      <c r="M801" s="178" t="n"/>
      <c r="N801" s="178" t="n"/>
      <c r="O801" s="179" t="n"/>
      <c r="P801" s="173" t="n"/>
    </row>
    <row r="802" ht="18.75" customHeight="1">
      <c r="A802" s="173" t="n"/>
      <c r="B802" s="177">
        <f>IF(B799="Ofício","ATRIBUTO PADRÃO","ATRIBUTO FIXO")</f>
        <v/>
      </c>
      <c r="C802" s="178" t="n"/>
      <c r="D802" s="179" t="n"/>
      <c r="E802" s="181" t="n"/>
      <c r="F802" s="178" t="n"/>
      <c r="G802" s="179" t="n"/>
      <c r="H802" s="173" t="n"/>
      <c r="I802" s="173" t="n"/>
      <c r="J802" s="177">
        <f>IF(J799="Ofício","ATRIBUTO PADRÃO","ATRIBUTO FIXO")</f>
        <v/>
      </c>
      <c r="K802" s="178" t="n"/>
      <c r="L802" s="179" t="n"/>
      <c r="M802" s="181" t="n"/>
      <c r="N802" s="178" t="n"/>
      <c r="O802" s="179" t="n"/>
      <c r="P802" s="173" t="n"/>
    </row>
    <row r="803" ht="18.75" customHeight="1">
      <c r="A803" s="173" t="n"/>
      <c r="B803" s="177" t="inlineStr">
        <is>
          <t>DESCRIÇÃO</t>
        </is>
      </c>
      <c r="C803" s="178" t="n"/>
      <c r="D803" s="178" t="n"/>
      <c r="E803" s="178" t="n"/>
      <c r="F803" s="178" t="n"/>
      <c r="G803" s="179" t="n"/>
      <c r="H803" s="173" t="n"/>
      <c r="I803" s="173" t="n"/>
      <c r="J803" s="177" t="inlineStr">
        <is>
          <t>DESCRIÇÃO</t>
        </is>
      </c>
      <c r="K803" s="178" t="n"/>
      <c r="L803" s="178" t="n"/>
      <c r="M803" s="178" t="n"/>
      <c r="N803" s="178" t="n"/>
      <c r="O803" s="179" t="n"/>
      <c r="P803" s="173" t="n"/>
    </row>
    <row r="804" ht="18.75" customHeight="1">
      <c r="A804" s="173" t="n"/>
      <c r="B804" s="183" t="n"/>
      <c r="C804" s="184" t="n"/>
      <c r="D804" s="184" t="n"/>
      <c r="E804" s="184" t="n"/>
      <c r="F804" s="184" t="n"/>
      <c r="G804" s="185" t="n"/>
      <c r="H804" s="173" t="n"/>
      <c r="I804" s="173" t="n"/>
      <c r="J804" s="183" t="n"/>
      <c r="K804" s="184" t="n"/>
      <c r="L804" s="184" t="n"/>
      <c r="M804" s="184" t="n"/>
      <c r="N804" s="184" t="n"/>
      <c r="O804" s="185" t="n"/>
      <c r="P804" s="173" t="n"/>
    </row>
    <row r="805" ht="18.75" customHeight="1">
      <c r="A805" s="173" t="n"/>
      <c r="B805" s="186" t="n"/>
      <c r="G805" s="187" t="n"/>
      <c r="H805" s="173" t="n"/>
      <c r="I805" s="173" t="n"/>
      <c r="J805" s="186" t="n"/>
      <c r="O805" s="187" t="n"/>
      <c r="P805" s="173" t="n"/>
    </row>
    <row r="806" ht="18.75" customHeight="1">
      <c r="A806" s="173" t="n"/>
      <c r="B806" s="188" t="n"/>
      <c r="C806" s="189" t="n"/>
      <c r="D806" s="189" t="n"/>
      <c r="E806" s="189" t="n"/>
      <c r="F806" s="189" t="n"/>
      <c r="G806" s="190" t="n"/>
      <c r="H806" s="173" t="n"/>
      <c r="I806" s="173" t="n"/>
      <c r="J806" s="188" t="n"/>
      <c r="K806" s="189" t="n"/>
      <c r="L806" s="189" t="n"/>
      <c r="M806" s="189" t="n"/>
      <c r="N806" s="189" t="n"/>
      <c r="O806" s="190" t="n"/>
      <c r="P806" s="173" t="n"/>
    </row>
    <row r="807"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t="18.75" customHeight="1">
      <c r="A808" s="173" t="n"/>
      <c r="B808" s="175">
        <f>IF('DADOS_PROGRESSAO'!$G$2="","Usa os treinos e especializações existentes.","⚠ "&amp;'DADOS_PROGRESSAO'!$G$2)</f>
        <v/>
      </c>
      <c r="H808" s="173" t="n"/>
      <c r="I808" s="173" t="n"/>
      <c r="J808" s="175">
        <f>IF('DADOS_PROGRESSAO'!$G$3="","Usa os treinos e especializações existentes.","⚠ "&amp;'DADOS_PROGRESSAO'!$G$3)</f>
        <v/>
      </c>
      <c r="P808" s="173" t="n"/>
    </row>
    <row r="809" ht="18.75" customHeight="1">
      <c r="A809" s="173" t="n"/>
      <c r="H809" s="173" t="n"/>
      <c r="I809" s="173" t="n"/>
      <c r="P809" s="173" t="n"/>
    </row>
    <row r="810"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t="18.75" customHeight="1">
      <c r="A811" s="173" t="n"/>
      <c r="B811" s="176" t="inlineStr">
        <is>
          <t>PERÍCIA 3 · CUSTOM</t>
        </is>
      </c>
      <c r="H811" s="173" t="n"/>
      <c r="I811" s="173" t="n"/>
      <c r="J811" s="176" t="inlineStr">
        <is>
          <t>PERÍCIA 4 · CUSTOM</t>
        </is>
      </c>
      <c r="P811" s="173" t="n"/>
    </row>
    <row r="812" ht="18.75" customHeight="1">
      <c r="A812" s="173" t="n"/>
      <c r="B812" s="177" t="inlineStr">
        <is>
          <t>TIPO</t>
        </is>
      </c>
      <c r="C812" s="178" t="n"/>
      <c r="D812" s="178" t="n"/>
      <c r="E812" s="179" t="n"/>
      <c r="F812" s="177" t="inlineStr">
        <is>
          <t>MESTRE VIU</t>
        </is>
      </c>
      <c r="G812" s="179" t="n"/>
      <c r="H812" s="173" t="n"/>
      <c r="I812" s="173" t="n"/>
      <c r="J812" s="177" t="inlineStr">
        <is>
          <t>TIPO</t>
        </is>
      </c>
      <c r="K812" s="178" t="n"/>
      <c r="L812" s="178" t="n"/>
      <c r="M812" s="179" t="n"/>
      <c r="N812" s="177" t="inlineStr">
        <is>
          <t>MESTRE VIU</t>
        </is>
      </c>
      <c r="O812" s="179" t="n"/>
      <c r="P812" s="173" t="n"/>
    </row>
    <row r="813" ht="18.75" customHeight="1">
      <c r="A813" s="173" t="n"/>
      <c r="B813" s="181" t="inlineStr">
        <is>
          <t>Perícia</t>
        </is>
      </c>
      <c r="C813" s="178" t="n"/>
      <c r="D813" s="178" t="n"/>
      <c r="E813" s="179" t="n"/>
      <c r="F813" s="180" t="b">
        <v>0</v>
      </c>
      <c r="G813" s="179" t="n"/>
      <c r="H813" s="173" t="n"/>
      <c r="I813" s="173" t="n"/>
      <c r="J813" s="181" t="inlineStr">
        <is>
          <t>Perícia</t>
        </is>
      </c>
      <c r="K813" s="178" t="n"/>
      <c r="L813" s="178" t="n"/>
      <c r="M813" s="179" t="n"/>
      <c r="N813" s="180" t="b">
        <v>0</v>
      </c>
      <c r="O813" s="179" t="n"/>
      <c r="P813" s="173" t="n"/>
    </row>
    <row r="814" ht="18.75" customHeight="1">
      <c r="A814" s="173" t="n"/>
      <c r="B814" s="177" t="inlineStr">
        <is>
          <t>NOME</t>
        </is>
      </c>
      <c r="C814" s="178" t="n"/>
      <c r="D814" s="178" t="n"/>
      <c r="E814" s="178" t="n"/>
      <c r="F814" s="178" t="n"/>
      <c r="G814" s="179" t="n"/>
      <c r="H814" s="173" t="n"/>
      <c r="I814" s="173" t="n"/>
      <c r="J814" s="177" t="inlineStr">
        <is>
          <t>NOME</t>
        </is>
      </c>
      <c r="K814" s="178" t="n"/>
      <c r="L814" s="178" t="n"/>
      <c r="M814" s="178" t="n"/>
      <c r="N814" s="178" t="n"/>
      <c r="O814" s="179" t="n"/>
      <c r="P814" s="173" t="n"/>
    </row>
    <row r="815" ht="18.75" customHeight="1">
      <c r="A815" s="173" t="n"/>
      <c r="B815" s="181" t="n"/>
      <c r="C815" s="178" t="n"/>
      <c r="D815" s="178" t="n"/>
      <c r="E815" s="178" t="n"/>
      <c r="F815" s="178" t="n"/>
      <c r="G815" s="179" t="n"/>
      <c r="H815" s="173" t="n"/>
      <c r="I815" s="173" t="n"/>
      <c r="J815" s="181" t="n"/>
      <c r="K815" s="178" t="n"/>
      <c r="L815" s="178" t="n"/>
      <c r="M815" s="178" t="n"/>
      <c r="N815" s="178" t="n"/>
      <c r="O815" s="179" t="n"/>
      <c r="P815" s="173" t="n"/>
    </row>
    <row r="816" ht="18.75" customHeight="1">
      <c r="A816" s="173" t="n"/>
      <c r="B816" s="177">
        <f>IF(B813="Ofício","ATRIBUTO PADRÃO","ATRIBUTO FIXO")</f>
        <v/>
      </c>
      <c r="C816" s="178" t="n"/>
      <c r="D816" s="179" t="n"/>
      <c r="E816" s="181" t="n"/>
      <c r="F816" s="178" t="n"/>
      <c r="G816" s="179" t="n"/>
      <c r="H816" s="173" t="n"/>
      <c r="I816" s="173" t="n"/>
      <c r="J816" s="177">
        <f>IF(J813="Ofício","ATRIBUTO PADRÃO","ATRIBUTO FIXO")</f>
        <v/>
      </c>
      <c r="K816" s="178" t="n"/>
      <c r="L816" s="179" t="n"/>
      <c r="M816" s="181" t="n"/>
      <c r="N816" s="178" t="n"/>
      <c r="O816" s="179" t="n"/>
      <c r="P816" s="173" t="n"/>
    </row>
    <row r="817" ht="18.75" customHeight="1">
      <c r="A817" s="173" t="n"/>
      <c r="B817" s="177" t="inlineStr">
        <is>
          <t>DESCRIÇÃO</t>
        </is>
      </c>
      <c r="C817" s="178" t="n"/>
      <c r="D817" s="178" t="n"/>
      <c r="E817" s="178" t="n"/>
      <c r="F817" s="178" t="n"/>
      <c r="G817" s="179" t="n"/>
      <c r="H817" s="173" t="n"/>
      <c r="I817" s="173" t="n"/>
      <c r="J817" s="177" t="inlineStr">
        <is>
          <t>DESCRIÇÃO</t>
        </is>
      </c>
      <c r="K817" s="178" t="n"/>
      <c r="L817" s="178" t="n"/>
      <c r="M817" s="178" t="n"/>
      <c r="N817" s="178" t="n"/>
      <c r="O817" s="179" t="n"/>
      <c r="P817" s="173" t="n"/>
    </row>
    <row r="818" ht="18.75" customHeight="1">
      <c r="A818" s="173" t="n"/>
      <c r="B818" s="183" t="n"/>
      <c r="C818" s="184" t="n"/>
      <c r="D818" s="184" t="n"/>
      <c r="E818" s="184" t="n"/>
      <c r="F818" s="184" t="n"/>
      <c r="G818" s="185" t="n"/>
      <c r="H818" s="173" t="n"/>
      <c r="I818" s="173" t="n"/>
      <c r="J818" s="183" t="n"/>
      <c r="K818" s="184" t="n"/>
      <c r="L818" s="184" t="n"/>
      <c r="M818" s="184" t="n"/>
      <c r="N818" s="184" t="n"/>
      <c r="O818" s="185" t="n"/>
      <c r="P818" s="173" t="n"/>
    </row>
    <row r="819" ht="18.75" customHeight="1">
      <c r="A819" s="173" t="n"/>
      <c r="B819" s="186" t="n"/>
      <c r="G819" s="187" t="n"/>
      <c r="H819" s="173" t="n"/>
      <c r="I819" s="173" t="n"/>
      <c r="J819" s="186" t="n"/>
      <c r="O819" s="187" t="n"/>
      <c r="P819" s="173" t="n"/>
    </row>
    <row r="820" ht="18.75" customHeight="1">
      <c r="A820" s="173" t="n"/>
      <c r="B820" s="188" t="n"/>
      <c r="C820" s="189" t="n"/>
      <c r="D820" s="189" t="n"/>
      <c r="E820" s="189" t="n"/>
      <c r="F820" s="189" t="n"/>
      <c r="G820" s="190" t="n"/>
      <c r="H820" s="173" t="n"/>
      <c r="I820" s="173" t="n"/>
      <c r="J820" s="188" t="n"/>
      <c r="K820" s="189" t="n"/>
      <c r="L820" s="189" t="n"/>
      <c r="M820" s="189" t="n"/>
      <c r="N820" s="189" t="n"/>
      <c r="O820" s="190" t="n"/>
      <c r="P820" s="173" t="n"/>
    </row>
    <row r="82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t="18.75" customHeight="1">
      <c r="A822" s="173" t="n"/>
      <c r="B822" s="175">
        <f>IF('DADOS_PROGRESSAO'!$G$4="","Usa os treinos e especializações existentes.","⚠ "&amp;'DADOS_PROGRESSAO'!$G$4)</f>
        <v/>
      </c>
      <c r="H822" s="173" t="n"/>
      <c r="I822" s="173" t="n"/>
      <c r="J822" s="175">
        <f>IF('DADOS_PROGRESSAO'!$G$5="","Usa os treinos e especializações existentes.","⚠ "&amp;'DADOS_PROGRESSAO'!$G$5)</f>
        <v/>
      </c>
      <c r="P822" s="173" t="n"/>
    </row>
    <row r="823" ht="18.75" customHeight="1">
      <c r="A823" s="173" t="n"/>
      <c r="H823" s="173" t="n"/>
      <c r="I823" s="173" t="n"/>
      <c r="P823" s="173" t="n"/>
    </row>
    <row r="824"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t="18.75" customHeight="1">
      <c r="A825" s="173" t="n"/>
      <c r="B825" s="176" t="inlineStr">
        <is>
          <t>PERÍCIA 5 · CUSTOM</t>
        </is>
      </c>
      <c r="H825" s="173" t="n"/>
      <c r="I825" s="173" t="n"/>
      <c r="J825" s="176" t="inlineStr">
        <is>
          <t>PERÍCIA 6 · CUSTOM</t>
        </is>
      </c>
      <c r="P825" s="173" t="n"/>
    </row>
    <row r="826" ht="18.75" customHeight="1">
      <c r="A826" s="173" t="n"/>
      <c r="B826" s="177" t="inlineStr">
        <is>
          <t>TIPO</t>
        </is>
      </c>
      <c r="C826" s="178" t="n"/>
      <c r="D826" s="178" t="n"/>
      <c r="E826" s="179" t="n"/>
      <c r="F826" s="177" t="inlineStr">
        <is>
          <t>MESTRE VIU</t>
        </is>
      </c>
      <c r="G826" s="179" t="n"/>
      <c r="H826" s="173" t="n"/>
      <c r="I826" s="173" t="n"/>
      <c r="J826" s="177" t="inlineStr">
        <is>
          <t>TIPO</t>
        </is>
      </c>
      <c r="K826" s="178" t="n"/>
      <c r="L826" s="178" t="n"/>
      <c r="M826" s="179" t="n"/>
      <c r="N826" s="177" t="inlineStr">
        <is>
          <t>MESTRE VIU</t>
        </is>
      </c>
      <c r="O826" s="179" t="n"/>
      <c r="P826" s="173" t="n"/>
    </row>
    <row r="827" ht="18.75" customHeight="1">
      <c r="A827" s="173" t="n"/>
      <c r="B827" s="181" t="inlineStr">
        <is>
          <t>Perícia</t>
        </is>
      </c>
      <c r="C827" s="178" t="n"/>
      <c r="D827" s="178" t="n"/>
      <c r="E827" s="179" t="n"/>
      <c r="F827" s="180" t="b">
        <v>0</v>
      </c>
      <c r="G827" s="179" t="n"/>
      <c r="H827" s="173" t="n"/>
      <c r="I827" s="173" t="n"/>
      <c r="J827" s="181" t="inlineStr">
        <is>
          <t>Perícia</t>
        </is>
      </c>
      <c r="K827" s="178" t="n"/>
      <c r="L827" s="178" t="n"/>
      <c r="M827" s="179" t="n"/>
      <c r="N827" s="180" t="b">
        <v>0</v>
      </c>
      <c r="O827" s="179" t="n"/>
      <c r="P827" s="173" t="n"/>
    </row>
    <row r="828" ht="18.75" customHeight="1">
      <c r="A828" s="173" t="n"/>
      <c r="B828" s="177" t="inlineStr">
        <is>
          <t>NOME</t>
        </is>
      </c>
      <c r="C828" s="178" t="n"/>
      <c r="D828" s="178" t="n"/>
      <c r="E828" s="178" t="n"/>
      <c r="F828" s="178" t="n"/>
      <c r="G828" s="179" t="n"/>
      <c r="H828" s="173" t="n"/>
      <c r="I828" s="173" t="n"/>
      <c r="J828" s="177" t="inlineStr">
        <is>
          <t>NOME</t>
        </is>
      </c>
      <c r="K828" s="178" t="n"/>
      <c r="L828" s="178" t="n"/>
      <c r="M828" s="178" t="n"/>
      <c r="N828" s="178" t="n"/>
      <c r="O828" s="179" t="n"/>
      <c r="P828" s="173" t="n"/>
    </row>
    <row r="829" ht="18.75" customHeight="1">
      <c r="A829" s="173" t="n"/>
      <c r="B829" s="181" t="n"/>
      <c r="C829" s="178" t="n"/>
      <c r="D829" s="178" t="n"/>
      <c r="E829" s="178" t="n"/>
      <c r="F829" s="178" t="n"/>
      <c r="G829" s="179" t="n"/>
      <c r="H829" s="173" t="n"/>
      <c r="I829" s="173" t="n"/>
      <c r="J829" s="181" t="n"/>
      <c r="K829" s="178" t="n"/>
      <c r="L829" s="178" t="n"/>
      <c r="M829" s="178" t="n"/>
      <c r="N829" s="178" t="n"/>
      <c r="O829" s="179" t="n"/>
      <c r="P829" s="173" t="n"/>
    </row>
    <row r="830" ht="18.75" customHeight="1">
      <c r="A830" s="173" t="n"/>
      <c r="B830" s="177">
        <f>IF(B827="Ofício","ATRIBUTO PADRÃO","ATRIBUTO FIXO")</f>
        <v/>
      </c>
      <c r="C830" s="178" t="n"/>
      <c r="D830" s="179" t="n"/>
      <c r="E830" s="181" t="n"/>
      <c r="F830" s="178" t="n"/>
      <c r="G830" s="179" t="n"/>
      <c r="H830" s="173" t="n"/>
      <c r="I830" s="173" t="n"/>
      <c r="J830" s="177">
        <f>IF(J827="Ofício","ATRIBUTO PADRÃO","ATRIBUTO FIXO")</f>
        <v/>
      </c>
      <c r="K830" s="178" t="n"/>
      <c r="L830" s="179" t="n"/>
      <c r="M830" s="181" t="n"/>
      <c r="N830" s="178" t="n"/>
      <c r="O830" s="179" t="n"/>
      <c r="P830" s="173" t="n"/>
    </row>
    <row r="831" ht="18.75" customHeight="1">
      <c r="A831" s="173" t="n"/>
      <c r="B831" s="177" t="inlineStr">
        <is>
          <t>DESCRIÇÃO</t>
        </is>
      </c>
      <c r="C831" s="178" t="n"/>
      <c r="D831" s="178" t="n"/>
      <c r="E831" s="178" t="n"/>
      <c r="F831" s="178" t="n"/>
      <c r="G831" s="179" t="n"/>
      <c r="H831" s="173" t="n"/>
      <c r="I831" s="173" t="n"/>
      <c r="J831" s="177" t="inlineStr">
        <is>
          <t>DESCRIÇÃO</t>
        </is>
      </c>
      <c r="K831" s="178" t="n"/>
      <c r="L831" s="178" t="n"/>
      <c r="M831" s="178" t="n"/>
      <c r="N831" s="178" t="n"/>
      <c r="O831" s="179" t="n"/>
      <c r="P831" s="173" t="n"/>
    </row>
    <row r="832" ht="18.75" customHeight="1">
      <c r="A832" s="173" t="n"/>
      <c r="B832" s="183" t="n"/>
      <c r="C832" s="184" t="n"/>
      <c r="D832" s="184" t="n"/>
      <c r="E832" s="184" t="n"/>
      <c r="F832" s="184" t="n"/>
      <c r="G832" s="185" t="n"/>
      <c r="H832" s="173" t="n"/>
      <c r="I832" s="173" t="n"/>
      <c r="J832" s="183" t="n"/>
      <c r="K832" s="184" t="n"/>
      <c r="L832" s="184" t="n"/>
      <c r="M832" s="184" t="n"/>
      <c r="N832" s="184" t="n"/>
      <c r="O832" s="185" t="n"/>
      <c r="P832" s="173" t="n"/>
    </row>
    <row r="833" ht="18.75" customHeight="1">
      <c r="A833" s="173" t="n"/>
      <c r="B833" s="186" t="n"/>
      <c r="G833" s="187" t="n"/>
      <c r="H833" s="173" t="n"/>
      <c r="I833" s="173" t="n"/>
      <c r="J833" s="186" t="n"/>
      <c r="O833" s="187" t="n"/>
      <c r="P833" s="173" t="n"/>
    </row>
    <row r="834" ht="18.75" customHeight="1">
      <c r="A834" s="173" t="n"/>
      <c r="B834" s="188" t="n"/>
      <c r="C834" s="189" t="n"/>
      <c r="D834" s="189" t="n"/>
      <c r="E834" s="189" t="n"/>
      <c r="F834" s="189" t="n"/>
      <c r="G834" s="190" t="n"/>
      <c r="H834" s="173" t="n"/>
      <c r="I834" s="173" t="n"/>
      <c r="J834" s="188" t="n"/>
      <c r="K834" s="189" t="n"/>
      <c r="L834" s="189" t="n"/>
      <c r="M834" s="189" t="n"/>
      <c r="N834" s="189" t="n"/>
      <c r="O834" s="190" t="n"/>
      <c r="P834" s="173" t="n"/>
    </row>
    <row r="835"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t="18.75" customHeight="1">
      <c r="A836" s="173" t="n"/>
      <c r="B836" s="175">
        <f>IF('DADOS_PROGRESSAO'!$G$6="","Usa os treinos e especializações existentes.","⚠ "&amp;'DADOS_PROGRESSAO'!$G$6)</f>
        <v/>
      </c>
      <c r="H836" s="173" t="n"/>
      <c r="I836" s="173" t="n"/>
      <c r="J836" s="175">
        <f>IF('DADOS_PROGRESSAO'!$G$7="","Usa os treinos e especializações existentes.","⚠ "&amp;'DADOS_PROGRESSAO'!$G$7)</f>
        <v/>
      </c>
      <c r="P836" s="173" t="n"/>
    </row>
    <row r="837" ht="18.75" customHeight="1">
      <c r="A837" s="173" t="n"/>
      <c r="H837" s="173" t="n"/>
      <c r="I837" s="173" t="n"/>
      <c r="P837" s="173" t="n"/>
    </row>
    <row r="838"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t="18.75" customHeight="1">
      <c r="A839" s="173" t="n"/>
      <c r="B839" s="176" t="inlineStr">
        <is>
          <t>PERÍCIA 7 · CUSTOM</t>
        </is>
      </c>
      <c r="H839" s="173" t="n"/>
      <c r="I839" s="173" t="n"/>
      <c r="J839" s="176" t="inlineStr">
        <is>
          <t>PERÍCIA 8 · CUSTOM</t>
        </is>
      </c>
      <c r="P839" s="173" t="n"/>
    </row>
    <row r="840" ht="18.75" customHeight="1">
      <c r="A840" s="173" t="n"/>
      <c r="B840" s="177" t="inlineStr">
        <is>
          <t>TIPO</t>
        </is>
      </c>
      <c r="C840" s="178" t="n"/>
      <c r="D840" s="178" t="n"/>
      <c r="E840" s="179" t="n"/>
      <c r="F840" s="177" t="inlineStr">
        <is>
          <t>MESTRE VIU</t>
        </is>
      </c>
      <c r="G840" s="179" t="n"/>
      <c r="H840" s="173" t="n"/>
      <c r="I840" s="173" t="n"/>
      <c r="J840" s="177" t="inlineStr">
        <is>
          <t>TIPO</t>
        </is>
      </c>
      <c r="K840" s="178" t="n"/>
      <c r="L840" s="178" t="n"/>
      <c r="M840" s="179" t="n"/>
      <c r="N840" s="177" t="inlineStr">
        <is>
          <t>MESTRE VIU</t>
        </is>
      </c>
      <c r="O840" s="179" t="n"/>
      <c r="P840" s="173" t="n"/>
    </row>
    <row r="841" ht="18.75" customHeight="1">
      <c r="A841" s="173" t="n"/>
      <c r="B841" s="181" t="inlineStr">
        <is>
          <t>Perícia</t>
        </is>
      </c>
      <c r="C841" s="178" t="n"/>
      <c r="D841" s="178" t="n"/>
      <c r="E841" s="179" t="n"/>
      <c r="F841" s="180" t="b">
        <v>0</v>
      </c>
      <c r="G841" s="179" t="n"/>
      <c r="H841" s="173" t="n"/>
      <c r="I841" s="173" t="n"/>
      <c r="J841" s="181" t="inlineStr">
        <is>
          <t>Perícia</t>
        </is>
      </c>
      <c r="K841" s="178" t="n"/>
      <c r="L841" s="178" t="n"/>
      <c r="M841" s="179" t="n"/>
      <c r="N841" s="180" t="b">
        <v>0</v>
      </c>
      <c r="O841" s="179" t="n"/>
      <c r="P841" s="173" t="n"/>
    </row>
    <row r="842" ht="18.75" customHeight="1">
      <c r="A842" s="173" t="n"/>
      <c r="B842" s="177" t="inlineStr">
        <is>
          <t>NOME</t>
        </is>
      </c>
      <c r="C842" s="178" t="n"/>
      <c r="D842" s="178" t="n"/>
      <c r="E842" s="178" t="n"/>
      <c r="F842" s="178" t="n"/>
      <c r="G842" s="179" t="n"/>
      <c r="H842" s="173" t="n"/>
      <c r="I842" s="173" t="n"/>
      <c r="J842" s="177" t="inlineStr">
        <is>
          <t>NOME</t>
        </is>
      </c>
      <c r="K842" s="178" t="n"/>
      <c r="L842" s="178" t="n"/>
      <c r="M842" s="178" t="n"/>
      <c r="N842" s="178" t="n"/>
      <c r="O842" s="179" t="n"/>
      <c r="P842" s="173" t="n"/>
    </row>
    <row r="843" ht="18.75" customHeight="1">
      <c r="A843" s="173" t="n"/>
      <c r="B843" s="181" t="n"/>
      <c r="C843" s="178" t="n"/>
      <c r="D843" s="178" t="n"/>
      <c r="E843" s="178" t="n"/>
      <c r="F843" s="178" t="n"/>
      <c r="G843" s="179" t="n"/>
      <c r="H843" s="173" t="n"/>
      <c r="I843" s="173" t="n"/>
      <c r="J843" s="181" t="n"/>
      <c r="K843" s="178" t="n"/>
      <c r="L843" s="178" t="n"/>
      <c r="M843" s="178" t="n"/>
      <c r="N843" s="178" t="n"/>
      <c r="O843" s="179" t="n"/>
      <c r="P843" s="173" t="n"/>
    </row>
    <row r="844" ht="18.75" customHeight="1">
      <c r="A844" s="173" t="n"/>
      <c r="B844" s="177">
        <f>IF(B841="Ofício","ATRIBUTO PADRÃO","ATRIBUTO FIXO")</f>
        <v/>
      </c>
      <c r="C844" s="178" t="n"/>
      <c r="D844" s="179" t="n"/>
      <c r="E844" s="181" t="n"/>
      <c r="F844" s="178" t="n"/>
      <c r="G844" s="179" t="n"/>
      <c r="H844" s="173" t="n"/>
      <c r="I844" s="173" t="n"/>
      <c r="J844" s="177">
        <f>IF(J841="Ofício","ATRIBUTO PADRÃO","ATRIBUTO FIXO")</f>
        <v/>
      </c>
      <c r="K844" s="178" t="n"/>
      <c r="L844" s="179" t="n"/>
      <c r="M844" s="181" t="n"/>
      <c r="N844" s="178" t="n"/>
      <c r="O844" s="179" t="n"/>
      <c r="P844" s="173" t="n"/>
    </row>
    <row r="845" ht="18.75" customHeight="1">
      <c r="A845" s="173" t="n"/>
      <c r="B845" s="177" t="inlineStr">
        <is>
          <t>DESCRIÇÃO</t>
        </is>
      </c>
      <c r="C845" s="178" t="n"/>
      <c r="D845" s="178" t="n"/>
      <c r="E845" s="178" t="n"/>
      <c r="F845" s="178" t="n"/>
      <c r="G845" s="179" t="n"/>
      <c r="H845" s="173" t="n"/>
      <c r="I845" s="173" t="n"/>
      <c r="J845" s="177" t="inlineStr">
        <is>
          <t>DESCRIÇÃO</t>
        </is>
      </c>
      <c r="K845" s="178" t="n"/>
      <c r="L845" s="178" t="n"/>
      <c r="M845" s="178" t="n"/>
      <c r="N845" s="178" t="n"/>
      <c r="O845" s="179" t="n"/>
      <c r="P845" s="173" t="n"/>
    </row>
    <row r="846" ht="18.75" customHeight="1">
      <c r="A846" s="173" t="n"/>
      <c r="B846" s="183" t="n"/>
      <c r="C846" s="184" t="n"/>
      <c r="D846" s="184" t="n"/>
      <c r="E846" s="184" t="n"/>
      <c r="F846" s="184" t="n"/>
      <c r="G846" s="185" t="n"/>
      <c r="H846" s="173" t="n"/>
      <c r="I846" s="173" t="n"/>
      <c r="J846" s="183" t="n"/>
      <c r="K846" s="184" t="n"/>
      <c r="L846" s="184" t="n"/>
      <c r="M846" s="184" t="n"/>
      <c r="N846" s="184" t="n"/>
      <c r="O846" s="185" t="n"/>
      <c r="P846" s="173" t="n"/>
    </row>
    <row r="847" ht="18.75" customHeight="1">
      <c r="A847" s="173" t="n"/>
      <c r="B847" s="186" t="n"/>
      <c r="G847" s="187" t="n"/>
      <c r="H847" s="173" t="n"/>
      <c r="I847" s="173" t="n"/>
      <c r="J847" s="186" t="n"/>
      <c r="O847" s="187" t="n"/>
      <c r="P847" s="173" t="n"/>
    </row>
    <row r="848" ht="18.75" customHeight="1">
      <c r="A848" s="173" t="n"/>
      <c r="B848" s="188" t="n"/>
      <c r="C848" s="189" t="n"/>
      <c r="D848" s="189" t="n"/>
      <c r="E848" s="189" t="n"/>
      <c r="F848" s="189" t="n"/>
      <c r="G848" s="190" t="n"/>
      <c r="H848" s="173" t="n"/>
      <c r="I848" s="173" t="n"/>
      <c r="J848" s="188" t="n"/>
      <c r="K848" s="189" t="n"/>
      <c r="L848" s="189" t="n"/>
      <c r="M848" s="189" t="n"/>
      <c r="N848" s="189" t="n"/>
      <c r="O848" s="190" t="n"/>
      <c r="P848" s="173" t="n"/>
    </row>
    <row r="849"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t="18.75" customHeight="1">
      <c r="A850" s="173" t="n"/>
      <c r="B850" s="175">
        <f>IF('DADOS_PROGRESSAO'!$G$8="","Usa os treinos e especializações existentes.","⚠ "&amp;'DADOS_PROGRESSAO'!$G$8)</f>
        <v/>
      </c>
      <c r="H850" s="173" t="n"/>
      <c r="I850" s="173" t="n"/>
      <c r="J850" s="175">
        <f>IF('DADOS_PROGRESSAO'!$G$9="","Usa os treinos e especializações existentes.","⚠ "&amp;'DADOS_PROGRESSAO'!$G$9)</f>
        <v/>
      </c>
      <c r="P850" s="173" t="n"/>
    </row>
    <row r="851" ht="18.75" customHeight="1">
      <c r="A851" s="173" t="n"/>
      <c r="H851" s="173" t="n"/>
      <c r="I851" s="173" t="n"/>
      <c r="P851" s="173" t="n"/>
    </row>
    <row r="852"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t="18.75" customHeight="1">
      <c r="A853" s="173" t="n"/>
      <c r="B853" s="176" t="inlineStr">
        <is>
          <t>PERÍCIA 9 · CUSTOM</t>
        </is>
      </c>
      <c r="H853" s="173" t="n"/>
      <c r="I853" s="173" t="n"/>
      <c r="J853" s="176" t="inlineStr">
        <is>
          <t>PERÍCIA 10 · CUSTOM</t>
        </is>
      </c>
      <c r="P853" s="173" t="n"/>
    </row>
    <row r="854" ht="18.75" customHeight="1">
      <c r="A854" s="173" t="n"/>
      <c r="B854" s="177" t="inlineStr">
        <is>
          <t>TIPO</t>
        </is>
      </c>
      <c r="C854" s="178" t="n"/>
      <c r="D854" s="178" t="n"/>
      <c r="E854" s="179" t="n"/>
      <c r="F854" s="177" t="inlineStr">
        <is>
          <t>MESTRE VIU</t>
        </is>
      </c>
      <c r="G854" s="179" t="n"/>
      <c r="H854" s="173" t="n"/>
      <c r="I854" s="173" t="n"/>
      <c r="J854" s="177" t="inlineStr">
        <is>
          <t>TIPO</t>
        </is>
      </c>
      <c r="K854" s="178" t="n"/>
      <c r="L854" s="178" t="n"/>
      <c r="M854" s="179" t="n"/>
      <c r="N854" s="177" t="inlineStr">
        <is>
          <t>MESTRE VIU</t>
        </is>
      </c>
      <c r="O854" s="179" t="n"/>
      <c r="P854" s="173" t="n"/>
    </row>
    <row r="855" ht="18.75" customHeight="1">
      <c r="A855" s="173" t="n"/>
      <c r="B855" s="181" t="inlineStr">
        <is>
          <t>Perícia</t>
        </is>
      </c>
      <c r="C855" s="178" t="n"/>
      <c r="D855" s="178" t="n"/>
      <c r="E855" s="179" t="n"/>
      <c r="F855" s="180" t="b">
        <v>0</v>
      </c>
      <c r="G855" s="179" t="n"/>
      <c r="H855" s="173" t="n"/>
      <c r="I855" s="173" t="n"/>
      <c r="J855" s="181" t="inlineStr">
        <is>
          <t>Perícia</t>
        </is>
      </c>
      <c r="K855" s="178" t="n"/>
      <c r="L855" s="178" t="n"/>
      <c r="M855" s="179" t="n"/>
      <c r="N855" s="180" t="b">
        <v>0</v>
      </c>
      <c r="O855" s="179" t="n"/>
      <c r="P855" s="173" t="n"/>
    </row>
    <row r="856" ht="18.75" customHeight="1">
      <c r="A856" s="173" t="n"/>
      <c r="B856" s="177" t="inlineStr">
        <is>
          <t>NOME</t>
        </is>
      </c>
      <c r="C856" s="178" t="n"/>
      <c r="D856" s="178" t="n"/>
      <c r="E856" s="178" t="n"/>
      <c r="F856" s="178" t="n"/>
      <c r="G856" s="179" t="n"/>
      <c r="H856" s="173" t="n"/>
      <c r="I856" s="173" t="n"/>
      <c r="J856" s="177" t="inlineStr">
        <is>
          <t>NOME</t>
        </is>
      </c>
      <c r="K856" s="178" t="n"/>
      <c r="L856" s="178" t="n"/>
      <c r="M856" s="178" t="n"/>
      <c r="N856" s="178" t="n"/>
      <c r="O856" s="179" t="n"/>
      <c r="P856" s="173" t="n"/>
    </row>
    <row r="857" ht="18.75" customHeight="1">
      <c r="A857" s="173" t="n"/>
      <c r="B857" s="181" t="n"/>
      <c r="C857" s="178" t="n"/>
      <c r="D857" s="178" t="n"/>
      <c r="E857" s="178" t="n"/>
      <c r="F857" s="178" t="n"/>
      <c r="G857" s="179" t="n"/>
      <c r="H857" s="173" t="n"/>
      <c r="I857" s="173" t="n"/>
      <c r="J857" s="181" t="n"/>
      <c r="K857" s="178" t="n"/>
      <c r="L857" s="178" t="n"/>
      <c r="M857" s="178" t="n"/>
      <c r="N857" s="178" t="n"/>
      <c r="O857" s="179" t="n"/>
      <c r="P857" s="173" t="n"/>
    </row>
    <row r="858" ht="18.75" customHeight="1">
      <c r="A858" s="173" t="n"/>
      <c r="B858" s="177">
        <f>IF(B855="Ofício","ATRIBUTO PADRÃO","ATRIBUTO FIXO")</f>
        <v/>
      </c>
      <c r="C858" s="178" t="n"/>
      <c r="D858" s="179" t="n"/>
      <c r="E858" s="181" t="n"/>
      <c r="F858" s="178" t="n"/>
      <c r="G858" s="179" t="n"/>
      <c r="H858" s="173" t="n"/>
      <c r="I858" s="173" t="n"/>
      <c r="J858" s="177">
        <f>IF(J855="Ofício","ATRIBUTO PADRÃO","ATRIBUTO FIXO")</f>
        <v/>
      </c>
      <c r="K858" s="178" t="n"/>
      <c r="L858" s="179" t="n"/>
      <c r="M858" s="181" t="n"/>
      <c r="N858" s="178" t="n"/>
      <c r="O858" s="179" t="n"/>
      <c r="P858" s="173" t="n"/>
    </row>
    <row r="859" ht="18.75" customHeight="1">
      <c r="A859" s="173" t="n"/>
      <c r="B859" s="177" t="inlineStr">
        <is>
          <t>DESCRIÇÃO</t>
        </is>
      </c>
      <c r="C859" s="178" t="n"/>
      <c r="D859" s="178" t="n"/>
      <c r="E859" s="178" t="n"/>
      <c r="F859" s="178" t="n"/>
      <c r="G859" s="179" t="n"/>
      <c r="H859" s="173" t="n"/>
      <c r="I859" s="173" t="n"/>
      <c r="J859" s="177" t="inlineStr">
        <is>
          <t>DESCRIÇÃO</t>
        </is>
      </c>
      <c r="K859" s="178" t="n"/>
      <c r="L859" s="178" t="n"/>
      <c r="M859" s="178" t="n"/>
      <c r="N859" s="178" t="n"/>
      <c r="O859" s="179" t="n"/>
      <c r="P859" s="173" t="n"/>
    </row>
    <row r="860" ht="18.75" customHeight="1">
      <c r="A860" s="173" t="n"/>
      <c r="B860" s="183" t="n"/>
      <c r="C860" s="184" t="n"/>
      <c r="D860" s="184" t="n"/>
      <c r="E860" s="184" t="n"/>
      <c r="F860" s="184" t="n"/>
      <c r="G860" s="185" t="n"/>
      <c r="H860" s="173" t="n"/>
      <c r="I860" s="173" t="n"/>
      <c r="J860" s="183" t="n"/>
      <c r="K860" s="184" t="n"/>
      <c r="L860" s="184" t="n"/>
      <c r="M860" s="184" t="n"/>
      <c r="N860" s="184" t="n"/>
      <c r="O860" s="185" t="n"/>
      <c r="P860" s="173" t="n"/>
    </row>
    <row r="861" ht="18.75" customHeight="1">
      <c r="A861" s="173" t="n"/>
      <c r="B861" s="186" t="n"/>
      <c r="G861" s="187" t="n"/>
      <c r="H861" s="173" t="n"/>
      <c r="I861" s="173" t="n"/>
      <c r="J861" s="186" t="n"/>
      <c r="O861" s="187" t="n"/>
      <c r="P861" s="173" t="n"/>
    </row>
    <row r="862" ht="18.75" customHeight="1">
      <c r="A862" s="173" t="n"/>
      <c r="B862" s="188" t="n"/>
      <c r="C862" s="189" t="n"/>
      <c r="D862" s="189" t="n"/>
      <c r="E862" s="189" t="n"/>
      <c r="F862" s="189" t="n"/>
      <c r="G862" s="190" t="n"/>
      <c r="H862" s="173" t="n"/>
      <c r="I862" s="173" t="n"/>
      <c r="J862" s="188" t="n"/>
      <c r="K862" s="189" t="n"/>
      <c r="L862" s="189" t="n"/>
      <c r="M862" s="189" t="n"/>
      <c r="N862" s="189" t="n"/>
      <c r="O862" s="190" t="n"/>
      <c r="P862" s="173" t="n"/>
    </row>
    <row r="863"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t="18.75" customHeight="1">
      <c r="A864" s="173" t="n"/>
      <c r="B864" s="175">
        <f>IF('DADOS_PROGRESSAO'!$G$10="","Usa os treinos e especializações existentes.","⚠ "&amp;'DADOS_PROGRESSAO'!$G$10)</f>
        <v/>
      </c>
      <c r="H864" s="173" t="n"/>
      <c r="I864" s="173" t="n"/>
      <c r="J864" s="175">
        <f>IF('DADOS_PROGRESSAO'!$G$11="","Usa os treinos e especializações existentes.","⚠ "&amp;'DADOS_PROGRESSAO'!$G$11)</f>
        <v/>
      </c>
      <c r="P864" s="173" t="n"/>
    </row>
    <row r="865" ht="18.75" customHeight="1">
      <c r="A865" s="173" t="n"/>
      <c r="H865" s="173" t="n"/>
      <c r="I865" s="173" t="n"/>
      <c r="P865" s="173" t="n"/>
    </row>
    <row r="866"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t="18.75" customHeight="1">
      <c r="A867" s="173" t="n"/>
      <c r="B867" s="176" t="inlineStr">
        <is>
          <t>OFÍCIO 1 · CUSTOM</t>
        </is>
      </c>
      <c r="H867" s="173" t="n"/>
      <c r="I867" s="173" t="n"/>
      <c r="J867" s="176" t="inlineStr">
        <is>
          <t>OFÍCIO 2 · CUSTOM</t>
        </is>
      </c>
      <c r="P867" s="173" t="n"/>
    </row>
    <row r="868" ht="18.75" customHeight="1">
      <c r="A868" s="173" t="n"/>
      <c r="B868" s="177" t="inlineStr">
        <is>
          <t>TIPO</t>
        </is>
      </c>
      <c r="C868" s="178" t="n"/>
      <c r="D868" s="178" t="n"/>
      <c r="E868" s="179" t="n"/>
      <c r="F868" s="177" t="inlineStr">
        <is>
          <t>MESTRE VIU</t>
        </is>
      </c>
      <c r="G868" s="179" t="n"/>
      <c r="H868" s="173" t="n"/>
      <c r="I868" s="173" t="n"/>
      <c r="J868" s="177" t="inlineStr">
        <is>
          <t>TIPO</t>
        </is>
      </c>
      <c r="K868" s="178" t="n"/>
      <c r="L868" s="178" t="n"/>
      <c r="M868" s="179" t="n"/>
      <c r="N868" s="177" t="inlineStr">
        <is>
          <t>MESTRE VIU</t>
        </is>
      </c>
      <c r="O868" s="179" t="n"/>
      <c r="P868" s="173" t="n"/>
    </row>
    <row r="869" ht="18.75" customHeight="1">
      <c r="A869" s="173" t="n"/>
      <c r="B869" s="181" t="inlineStr">
        <is>
          <t>Ofício</t>
        </is>
      </c>
      <c r="C869" s="178" t="n"/>
      <c r="D869" s="178" t="n"/>
      <c r="E869" s="179" t="n"/>
      <c r="F869" s="180" t="b">
        <v>0</v>
      </c>
      <c r="G869" s="179" t="n"/>
      <c r="H869" s="173" t="n"/>
      <c r="I869" s="173" t="n"/>
      <c r="J869" s="181" t="inlineStr">
        <is>
          <t>Ofício</t>
        </is>
      </c>
      <c r="K869" s="178" t="n"/>
      <c r="L869" s="178" t="n"/>
      <c r="M869" s="179" t="n"/>
      <c r="N869" s="180" t="b">
        <v>0</v>
      </c>
      <c r="O869" s="179" t="n"/>
      <c r="P869" s="173" t="n"/>
    </row>
    <row r="870" ht="18.75" customHeight="1">
      <c r="A870" s="173" t="n"/>
      <c r="B870" s="177" t="inlineStr">
        <is>
          <t>NOME</t>
        </is>
      </c>
      <c r="C870" s="178" t="n"/>
      <c r="D870" s="178" t="n"/>
      <c r="E870" s="178" t="n"/>
      <c r="F870" s="178" t="n"/>
      <c r="G870" s="179" t="n"/>
      <c r="H870" s="173" t="n"/>
      <c r="I870" s="173" t="n"/>
      <c r="J870" s="177" t="inlineStr">
        <is>
          <t>NOME</t>
        </is>
      </c>
      <c r="K870" s="178" t="n"/>
      <c r="L870" s="178" t="n"/>
      <c r="M870" s="178" t="n"/>
      <c r="N870" s="178" t="n"/>
      <c r="O870" s="179" t="n"/>
      <c r="P870" s="173" t="n"/>
    </row>
    <row r="871" ht="18.75" customHeight="1">
      <c r="A871" s="173" t="n"/>
      <c r="B871" s="181" t="n"/>
      <c r="C871" s="178" t="n"/>
      <c r="D871" s="178" t="n"/>
      <c r="E871" s="178" t="n"/>
      <c r="F871" s="178" t="n"/>
      <c r="G871" s="179" t="n"/>
      <c r="H871" s="173" t="n"/>
      <c r="I871" s="173" t="n"/>
      <c r="J871" s="181" t="n"/>
      <c r="K871" s="178" t="n"/>
      <c r="L871" s="178" t="n"/>
      <c r="M871" s="178" t="n"/>
      <c r="N871" s="178" t="n"/>
      <c r="O871" s="179" t="n"/>
      <c r="P871" s="173" t="n"/>
    </row>
    <row r="872" ht="18.75" customHeight="1">
      <c r="A872" s="173" t="n"/>
      <c r="B872" s="177">
        <f>IF(B869="Ofício","ATRIBUTO PADRÃO","ATRIBUTO FIXO")</f>
        <v/>
      </c>
      <c r="C872" s="178" t="n"/>
      <c r="D872" s="179" t="n"/>
      <c r="E872" s="181" t="n"/>
      <c r="F872" s="178" t="n"/>
      <c r="G872" s="179" t="n"/>
      <c r="H872" s="173" t="n"/>
      <c r="I872" s="173" t="n"/>
      <c r="J872" s="177">
        <f>IF(J869="Ofício","ATRIBUTO PADRÃO","ATRIBUTO FIXO")</f>
        <v/>
      </c>
      <c r="K872" s="178" t="n"/>
      <c r="L872" s="179" t="n"/>
      <c r="M872" s="181" t="n"/>
      <c r="N872" s="178" t="n"/>
      <c r="O872" s="179" t="n"/>
      <c r="P872" s="173" t="n"/>
    </row>
    <row r="873" ht="18.75" customHeight="1">
      <c r="A873" s="173" t="n"/>
      <c r="B873" s="177" t="inlineStr">
        <is>
          <t>DESCRIÇÃO</t>
        </is>
      </c>
      <c r="C873" s="178" t="n"/>
      <c r="D873" s="178" t="n"/>
      <c r="E873" s="178" t="n"/>
      <c r="F873" s="178" t="n"/>
      <c r="G873" s="179" t="n"/>
      <c r="H873" s="173" t="n"/>
      <c r="I873" s="173" t="n"/>
      <c r="J873" s="177" t="inlineStr">
        <is>
          <t>DESCRIÇÃO</t>
        </is>
      </c>
      <c r="K873" s="178" t="n"/>
      <c r="L873" s="178" t="n"/>
      <c r="M873" s="178" t="n"/>
      <c r="N873" s="178" t="n"/>
      <c r="O873" s="179" t="n"/>
      <c r="P873" s="173" t="n"/>
    </row>
    <row r="874" ht="18.75" customHeight="1">
      <c r="A874" s="173" t="n"/>
      <c r="B874" s="183" t="n"/>
      <c r="C874" s="184" t="n"/>
      <c r="D874" s="184" t="n"/>
      <c r="E874" s="184" t="n"/>
      <c r="F874" s="184" t="n"/>
      <c r="G874" s="185" t="n"/>
      <c r="H874" s="173" t="n"/>
      <c r="I874" s="173" t="n"/>
      <c r="J874" s="183" t="n"/>
      <c r="K874" s="184" t="n"/>
      <c r="L874" s="184" t="n"/>
      <c r="M874" s="184" t="n"/>
      <c r="N874" s="184" t="n"/>
      <c r="O874" s="185" t="n"/>
      <c r="P874" s="173" t="n"/>
    </row>
    <row r="875" ht="18.75" customHeight="1">
      <c r="A875" s="173" t="n"/>
      <c r="B875" s="186" t="n"/>
      <c r="G875" s="187" t="n"/>
      <c r="H875" s="173" t="n"/>
      <c r="I875" s="173" t="n"/>
      <c r="J875" s="186" t="n"/>
      <c r="O875" s="187" t="n"/>
      <c r="P875" s="173" t="n"/>
    </row>
    <row r="876" ht="18.75" customHeight="1">
      <c r="A876" s="173" t="n"/>
      <c r="B876" s="188" t="n"/>
      <c r="C876" s="189" t="n"/>
      <c r="D876" s="189" t="n"/>
      <c r="E876" s="189" t="n"/>
      <c r="F876" s="189" t="n"/>
      <c r="G876" s="190" t="n"/>
      <c r="H876" s="173" t="n"/>
      <c r="I876" s="173" t="n"/>
      <c r="J876" s="188" t="n"/>
      <c r="K876" s="189" t="n"/>
      <c r="L876" s="189" t="n"/>
      <c r="M876" s="189" t="n"/>
      <c r="N876" s="189" t="n"/>
      <c r="O876" s="190" t="n"/>
      <c r="P876" s="173" t="n"/>
    </row>
    <row r="877" ht="18.75" customHeight="1">
      <c r="A877" s="173" t="n"/>
      <c r="B877" s="173" t="n"/>
      <c r="C877" s="173" t="n"/>
      <c r="D877" s="173" t="n"/>
      <c r="E877" s="173" t="n"/>
      <c r="F877" s="173" t="n"/>
      <c r="G877" s="173" t="n"/>
      <c r="H877" s="173" t="n"/>
      <c r="I877" s="173" t="n"/>
      <c r="J877" s="173" t="n"/>
      <c r="K877" s="173" t="n"/>
      <c r="L877" s="173" t="n"/>
      <c r="M877" s="173" t="n"/>
      <c r="N877" s="173" t="n"/>
      <c r="O877" s="173" t="n"/>
      <c r="P877" s="173" t="n"/>
    </row>
    <row r="878" ht="18.75" customHeight="1">
      <c r="A878" s="173" t="n"/>
      <c r="B878" s="175">
        <f>IF('DADOS_PROGRESSAO'!$G$12="","Usa os treinos e especializações existentes.","⚠ "&amp;'DADOS_PROGRESSAO'!$G$12)</f>
        <v/>
      </c>
      <c r="H878" s="173" t="n"/>
      <c r="I878" s="173" t="n"/>
      <c r="J878" s="175">
        <f>IF('DADOS_PROGRESSAO'!$G$13="","Usa os treinos e especializações existentes.","⚠ "&amp;'DADOS_PROGRESSAO'!$G$13)</f>
        <v/>
      </c>
      <c r="P878" s="173" t="n"/>
    </row>
    <row r="879" ht="18.75" customHeight="1">
      <c r="A879" s="173" t="n"/>
      <c r="H879" s="173" t="n"/>
      <c r="I879" s="173" t="n"/>
      <c r="P879" s="173" t="n"/>
    </row>
    <row r="880" ht="18.75" customHeight="1">
      <c r="A880" s="173" t="n"/>
      <c r="B880" s="173" t="n"/>
      <c r="C880" s="173" t="n"/>
      <c r="D880" s="173" t="n"/>
      <c r="E880" s="173" t="n"/>
      <c r="F880" s="173" t="n"/>
      <c r="G880" s="173" t="n"/>
      <c r="H880" s="173" t="n"/>
      <c r="I880" s="173" t="n"/>
      <c r="J880" s="173" t="n"/>
      <c r="K880" s="173" t="n"/>
      <c r="L880" s="173" t="n"/>
      <c r="M880" s="173" t="n"/>
      <c r="N880" s="173" t="n"/>
      <c r="O880" s="173" t="n"/>
      <c r="P880" s="173" t="n"/>
    </row>
    <row r="881" ht="18.75" customHeight="1">
      <c r="A881" s="173" t="n"/>
      <c r="B881" s="176" t="inlineStr">
        <is>
          <t>OFÍCIO 3 · CUSTOM</t>
        </is>
      </c>
      <c r="H881" s="173" t="n"/>
      <c r="I881" s="173" t="n"/>
      <c r="J881" s="176" t="inlineStr">
        <is>
          <t>OFÍCIO 4 · CUSTOM</t>
        </is>
      </c>
      <c r="P881" s="173" t="n"/>
    </row>
    <row r="882" ht="18.75" customHeight="1">
      <c r="A882" s="173" t="n"/>
      <c r="B882" s="177" t="inlineStr">
        <is>
          <t>TIPO</t>
        </is>
      </c>
      <c r="C882" s="178" t="n"/>
      <c r="D882" s="178" t="n"/>
      <c r="E882" s="179" t="n"/>
      <c r="F882" s="177" t="inlineStr">
        <is>
          <t>MESTRE VIU</t>
        </is>
      </c>
      <c r="G882" s="179" t="n"/>
      <c r="H882" s="173" t="n"/>
      <c r="I882" s="173" t="n"/>
      <c r="J882" s="177" t="inlineStr">
        <is>
          <t>TIPO</t>
        </is>
      </c>
      <c r="K882" s="178" t="n"/>
      <c r="L882" s="178" t="n"/>
      <c r="M882" s="179" t="n"/>
      <c r="N882" s="177" t="inlineStr">
        <is>
          <t>MESTRE VIU</t>
        </is>
      </c>
      <c r="O882" s="179" t="n"/>
      <c r="P882" s="173" t="n"/>
    </row>
    <row r="883" ht="18.75" customHeight="1">
      <c r="A883" s="173" t="n"/>
      <c r="B883" s="181" t="inlineStr">
        <is>
          <t>Ofício</t>
        </is>
      </c>
      <c r="C883" s="178" t="n"/>
      <c r="D883" s="178" t="n"/>
      <c r="E883" s="179" t="n"/>
      <c r="F883" s="180" t="b">
        <v>0</v>
      </c>
      <c r="G883" s="179" t="n"/>
      <c r="H883" s="173" t="n"/>
      <c r="I883" s="173" t="n"/>
      <c r="J883" s="181" t="inlineStr">
        <is>
          <t>Ofício</t>
        </is>
      </c>
      <c r="K883" s="178" t="n"/>
      <c r="L883" s="178" t="n"/>
      <c r="M883" s="179" t="n"/>
      <c r="N883" s="180" t="b">
        <v>0</v>
      </c>
      <c r="O883" s="179" t="n"/>
      <c r="P883" s="173" t="n"/>
    </row>
    <row r="884" ht="18.75" customHeight="1">
      <c r="A884" s="173" t="n"/>
      <c r="B884" s="177" t="inlineStr">
        <is>
          <t>NOME</t>
        </is>
      </c>
      <c r="C884" s="178" t="n"/>
      <c r="D884" s="178" t="n"/>
      <c r="E884" s="178" t="n"/>
      <c r="F884" s="178" t="n"/>
      <c r="G884" s="179" t="n"/>
      <c r="H884" s="173" t="n"/>
      <c r="I884" s="173" t="n"/>
      <c r="J884" s="177" t="inlineStr">
        <is>
          <t>NOME</t>
        </is>
      </c>
      <c r="K884" s="178" t="n"/>
      <c r="L884" s="178" t="n"/>
      <c r="M884" s="178" t="n"/>
      <c r="N884" s="178" t="n"/>
      <c r="O884" s="179" t="n"/>
      <c r="P884" s="173" t="n"/>
    </row>
    <row r="885" ht="18.75" customHeight="1">
      <c r="A885" s="173" t="n"/>
      <c r="B885" s="181" t="n"/>
      <c r="C885" s="178" t="n"/>
      <c r="D885" s="178" t="n"/>
      <c r="E885" s="178" t="n"/>
      <c r="F885" s="178" t="n"/>
      <c r="G885" s="179" t="n"/>
      <c r="H885" s="173" t="n"/>
      <c r="I885" s="173" t="n"/>
      <c r="J885" s="181" t="n"/>
      <c r="K885" s="178" t="n"/>
      <c r="L885" s="178" t="n"/>
      <c r="M885" s="178" t="n"/>
      <c r="N885" s="178" t="n"/>
      <c r="O885" s="179" t="n"/>
      <c r="P885" s="173" t="n"/>
    </row>
    <row r="886" ht="18.75" customHeight="1">
      <c r="A886" s="173" t="n"/>
      <c r="B886" s="177">
        <f>IF(B883="Ofício","ATRIBUTO PADRÃO","ATRIBUTO FIXO")</f>
        <v/>
      </c>
      <c r="C886" s="178" t="n"/>
      <c r="D886" s="179" t="n"/>
      <c r="E886" s="181" t="n"/>
      <c r="F886" s="178" t="n"/>
      <c r="G886" s="179" t="n"/>
      <c r="H886" s="173" t="n"/>
      <c r="I886" s="173" t="n"/>
      <c r="J886" s="177">
        <f>IF(J883="Ofício","ATRIBUTO PADRÃO","ATRIBUTO FIXO")</f>
        <v/>
      </c>
      <c r="K886" s="178" t="n"/>
      <c r="L886" s="179" t="n"/>
      <c r="M886" s="181" t="n"/>
      <c r="N886" s="178" t="n"/>
      <c r="O886" s="179" t="n"/>
      <c r="P886" s="173" t="n"/>
    </row>
    <row r="887" ht="18.75" customHeight="1">
      <c r="A887" s="173" t="n"/>
      <c r="B887" s="177" t="inlineStr">
        <is>
          <t>DESCRIÇÃO</t>
        </is>
      </c>
      <c r="C887" s="178" t="n"/>
      <c r="D887" s="178" t="n"/>
      <c r="E887" s="178" t="n"/>
      <c r="F887" s="178" t="n"/>
      <c r="G887" s="179" t="n"/>
      <c r="H887" s="173" t="n"/>
      <c r="I887" s="173" t="n"/>
      <c r="J887" s="177" t="inlineStr">
        <is>
          <t>DESCRIÇÃO</t>
        </is>
      </c>
      <c r="K887" s="178" t="n"/>
      <c r="L887" s="178" t="n"/>
      <c r="M887" s="178" t="n"/>
      <c r="N887" s="178" t="n"/>
      <c r="O887" s="179" t="n"/>
      <c r="P887" s="173" t="n"/>
    </row>
    <row r="888" ht="18.75" customHeight="1">
      <c r="A888" s="173" t="n"/>
      <c r="B888" s="183" t="n"/>
      <c r="C888" s="184" t="n"/>
      <c r="D888" s="184" t="n"/>
      <c r="E888" s="184" t="n"/>
      <c r="F888" s="184" t="n"/>
      <c r="G888" s="185" t="n"/>
      <c r="H888" s="173" t="n"/>
      <c r="I888" s="173" t="n"/>
      <c r="J888" s="183" t="n"/>
      <c r="K888" s="184" t="n"/>
      <c r="L888" s="184" t="n"/>
      <c r="M888" s="184" t="n"/>
      <c r="N888" s="184" t="n"/>
      <c r="O888" s="185" t="n"/>
      <c r="P888" s="173" t="n"/>
    </row>
    <row r="889" ht="18.75" customHeight="1">
      <c r="A889" s="173" t="n"/>
      <c r="B889" s="186" t="n"/>
      <c r="G889" s="187" t="n"/>
      <c r="H889" s="173" t="n"/>
      <c r="I889" s="173" t="n"/>
      <c r="J889" s="186" t="n"/>
      <c r="O889" s="187" t="n"/>
      <c r="P889" s="173" t="n"/>
    </row>
    <row r="890" ht="18.75" customHeight="1">
      <c r="A890" s="173" t="n"/>
      <c r="B890" s="188" t="n"/>
      <c r="C890" s="189" t="n"/>
      <c r="D890" s="189" t="n"/>
      <c r="E890" s="189" t="n"/>
      <c r="F890" s="189" t="n"/>
      <c r="G890" s="190" t="n"/>
      <c r="H890" s="173" t="n"/>
      <c r="I890" s="173" t="n"/>
      <c r="J890" s="188" t="n"/>
      <c r="K890" s="189" t="n"/>
      <c r="L890" s="189" t="n"/>
      <c r="M890" s="189" t="n"/>
      <c r="N890" s="189" t="n"/>
      <c r="O890" s="190" t="n"/>
      <c r="P890" s="173" t="n"/>
    </row>
    <row r="891" ht="18.75" customHeight="1">
      <c r="A891" s="173" t="n"/>
      <c r="B891" s="173" t="n"/>
      <c r="C891" s="173" t="n"/>
      <c r="D891" s="173" t="n"/>
      <c r="E891" s="173" t="n"/>
      <c r="F891" s="173" t="n"/>
      <c r="G891" s="173" t="n"/>
      <c r="H891" s="173" t="n"/>
      <c r="I891" s="173" t="n"/>
      <c r="J891" s="173" t="n"/>
      <c r="K891" s="173" t="n"/>
      <c r="L891" s="173" t="n"/>
      <c r="M891" s="173" t="n"/>
      <c r="N891" s="173" t="n"/>
      <c r="O891" s="173" t="n"/>
      <c r="P891" s="173" t="n"/>
    </row>
    <row r="892" ht="18.75" customHeight="1">
      <c r="A892" s="173" t="n"/>
      <c r="B892" s="175">
        <f>IF('DADOS_PROGRESSAO'!$G$14="","Usa os treinos e especializações existentes.","⚠ "&amp;'DADOS_PROGRESSAO'!$G$14)</f>
        <v/>
      </c>
      <c r="H892" s="173" t="n"/>
      <c r="I892" s="173" t="n"/>
      <c r="J892" s="175">
        <f>IF('DADOS_PROGRESSAO'!$G$15="","Usa os treinos e especializações existentes.","⚠ "&amp;'DADOS_PROGRESSAO'!$G$15)</f>
        <v/>
      </c>
      <c r="P892" s="173" t="n"/>
    </row>
    <row r="893" ht="18.75" customHeight="1">
      <c r="A893" s="173" t="n"/>
      <c r="H893" s="173" t="n"/>
      <c r="I893" s="173" t="n"/>
      <c r="P893" s="173" t="n"/>
    </row>
    <row r="894" ht="18.75" customHeight="1">
      <c r="A894" s="173" t="n"/>
      <c r="B894" s="173" t="n"/>
      <c r="C894" s="173" t="n"/>
      <c r="D894" s="173" t="n"/>
      <c r="E894" s="173" t="n"/>
      <c r="F894" s="173" t="n"/>
      <c r="G894" s="173" t="n"/>
      <c r="H894" s="173" t="n"/>
      <c r="I894" s="173" t="n"/>
      <c r="J894" s="173" t="n"/>
      <c r="K894" s="173" t="n"/>
      <c r="L894" s="173" t="n"/>
      <c r="M894" s="173" t="n"/>
      <c r="N894" s="173" t="n"/>
      <c r="O894" s="173" t="n"/>
      <c r="P894" s="173" t="n"/>
    </row>
    <row r="895" ht="18.75" customHeight="1">
      <c r="A895" s="173" t="n"/>
      <c r="B895" s="176" t="inlineStr">
        <is>
          <t>OFÍCIO 5 · CUSTOM</t>
        </is>
      </c>
      <c r="H895" s="173" t="n"/>
      <c r="I895" s="173" t="n"/>
      <c r="J895" s="176" t="inlineStr">
        <is>
          <t>OFÍCIO 6 · CUSTOM</t>
        </is>
      </c>
      <c r="P895" s="173" t="n"/>
    </row>
    <row r="896" ht="18.75" customHeight="1">
      <c r="A896" s="173" t="n"/>
      <c r="B896" s="177" t="inlineStr">
        <is>
          <t>TIPO</t>
        </is>
      </c>
      <c r="C896" s="178" t="n"/>
      <c r="D896" s="178" t="n"/>
      <c r="E896" s="179" t="n"/>
      <c r="F896" s="177" t="inlineStr">
        <is>
          <t>MESTRE VIU</t>
        </is>
      </c>
      <c r="G896" s="179" t="n"/>
      <c r="H896" s="173" t="n"/>
      <c r="I896" s="173" t="n"/>
      <c r="J896" s="177" t="inlineStr">
        <is>
          <t>TIPO</t>
        </is>
      </c>
      <c r="K896" s="178" t="n"/>
      <c r="L896" s="178" t="n"/>
      <c r="M896" s="179" t="n"/>
      <c r="N896" s="177" t="inlineStr">
        <is>
          <t>MESTRE VIU</t>
        </is>
      </c>
      <c r="O896" s="179" t="n"/>
      <c r="P896" s="173" t="n"/>
    </row>
    <row r="897" ht="18.75" customHeight="1">
      <c r="A897" s="173" t="n"/>
      <c r="B897" s="181" t="inlineStr">
        <is>
          <t>Ofício</t>
        </is>
      </c>
      <c r="C897" s="178" t="n"/>
      <c r="D897" s="178" t="n"/>
      <c r="E897" s="179" t="n"/>
      <c r="F897" s="180" t="b">
        <v>0</v>
      </c>
      <c r="G897" s="179" t="n"/>
      <c r="H897" s="173" t="n"/>
      <c r="I897" s="173" t="n"/>
      <c r="J897" s="181" t="inlineStr">
        <is>
          <t>Ofício</t>
        </is>
      </c>
      <c r="K897" s="178" t="n"/>
      <c r="L897" s="178" t="n"/>
      <c r="M897" s="179" t="n"/>
      <c r="N897" s="180" t="b">
        <v>0</v>
      </c>
      <c r="O897" s="179" t="n"/>
      <c r="P897" s="173" t="n"/>
    </row>
    <row r="898" ht="18.75" customHeight="1">
      <c r="A898" s="173" t="n"/>
      <c r="B898" s="177" t="inlineStr">
        <is>
          <t>NOME</t>
        </is>
      </c>
      <c r="C898" s="178" t="n"/>
      <c r="D898" s="178" t="n"/>
      <c r="E898" s="178" t="n"/>
      <c r="F898" s="178" t="n"/>
      <c r="G898" s="179" t="n"/>
      <c r="H898" s="173" t="n"/>
      <c r="I898" s="173" t="n"/>
      <c r="J898" s="177" t="inlineStr">
        <is>
          <t>NOME</t>
        </is>
      </c>
      <c r="K898" s="178" t="n"/>
      <c r="L898" s="178" t="n"/>
      <c r="M898" s="178" t="n"/>
      <c r="N898" s="178" t="n"/>
      <c r="O898" s="179" t="n"/>
      <c r="P898" s="173" t="n"/>
    </row>
    <row r="899" ht="18.75" customHeight="1">
      <c r="A899" s="173" t="n"/>
      <c r="B899" s="181" t="n"/>
      <c r="C899" s="178" t="n"/>
      <c r="D899" s="178" t="n"/>
      <c r="E899" s="178" t="n"/>
      <c r="F899" s="178" t="n"/>
      <c r="G899" s="179" t="n"/>
      <c r="H899" s="173" t="n"/>
      <c r="I899" s="173" t="n"/>
      <c r="J899" s="181" t="n"/>
      <c r="K899" s="178" t="n"/>
      <c r="L899" s="178" t="n"/>
      <c r="M899" s="178" t="n"/>
      <c r="N899" s="178" t="n"/>
      <c r="O899" s="179" t="n"/>
      <c r="P899" s="173" t="n"/>
    </row>
    <row r="900" ht="18.75" customHeight="1">
      <c r="A900" s="173" t="n"/>
      <c r="B900" s="177">
        <f>IF(B897="Ofício","ATRIBUTO PADRÃO","ATRIBUTO FIXO")</f>
        <v/>
      </c>
      <c r="C900" s="178" t="n"/>
      <c r="D900" s="179" t="n"/>
      <c r="E900" s="181" t="n"/>
      <c r="F900" s="178" t="n"/>
      <c r="G900" s="179" t="n"/>
      <c r="H900" s="173" t="n"/>
      <c r="I900" s="173" t="n"/>
      <c r="J900" s="177">
        <f>IF(J897="Ofício","ATRIBUTO PADRÃO","ATRIBUTO FIXO")</f>
        <v/>
      </c>
      <c r="K900" s="178" t="n"/>
      <c r="L900" s="179" t="n"/>
      <c r="M900" s="181" t="n"/>
      <c r="N900" s="178" t="n"/>
      <c r="O900" s="179" t="n"/>
      <c r="P900" s="173" t="n"/>
    </row>
    <row r="901" ht="18.75" customHeight="1">
      <c r="A901" s="173" t="n"/>
      <c r="B901" s="177" t="inlineStr">
        <is>
          <t>DESCRIÇÃO</t>
        </is>
      </c>
      <c r="C901" s="178" t="n"/>
      <c r="D901" s="178" t="n"/>
      <c r="E901" s="178" t="n"/>
      <c r="F901" s="178" t="n"/>
      <c r="G901" s="179" t="n"/>
      <c r="H901" s="173" t="n"/>
      <c r="I901" s="173" t="n"/>
      <c r="J901" s="177" t="inlineStr">
        <is>
          <t>DESCRIÇÃO</t>
        </is>
      </c>
      <c r="K901" s="178" t="n"/>
      <c r="L901" s="178" t="n"/>
      <c r="M901" s="178" t="n"/>
      <c r="N901" s="178" t="n"/>
      <c r="O901" s="179" t="n"/>
      <c r="P901" s="173" t="n"/>
    </row>
    <row r="902" ht="18.75" customHeight="1">
      <c r="A902" s="173" t="n"/>
      <c r="B902" s="183" t="n"/>
      <c r="C902" s="184" t="n"/>
      <c r="D902" s="184" t="n"/>
      <c r="E902" s="184" t="n"/>
      <c r="F902" s="184" t="n"/>
      <c r="G902" s="185" t="n"/>
      <c r="H902" s="173" t="n"/>
      <c r="I902" s="173" t="n"/>
      <c r="J902" s="183" t="n"/>
      <c r="K902" s="184" t="n"/>
      <c r="L902" s="184" t="n"/>
      <c r="M902" s="184" t="n"/>
      <c r="N902" s="184" t="n"/>
      <c r="O902" s="185" t="n"/>
      <c r="P902" s="173" t="n"/>
    </row>
    <row r="903" ht="18.75" customHeight="1">
      <c r="A903" s="173" t="n"/>
      <c r="B903" s="186" t="n"/>
      <c r="G903" s="187" t="n"/>
      <c r="H903" s="173" t="n"/>
      <c r="I903" s="173" t="n"/>
      <c r="J903" s="186" t="n"/>
      <c r="O903" s="187" t="n"/>
      <c r="P903" s="173" t="n"/>
    </row>
    <row r="904" ht="18.75" customHeight="1">
      <c r="A904" s="173" t="n"/>
      <c r="B904" s="188" t="n"/>
      <c r="C904" s="189" t="n"/>
      <c r="D904" s="189" t="n"/>
      <c r="E904" s="189" t="n"/>
      <c r="F904" s="189" t="n"/>
      <c r="G904" s="190" t="n"/>
      <c r="H904" s="173" t="n"/>
      <c r="I904" s="173" t="n"/>
      <c r="J904" s="188" t="n"/>
      <c r="K904" s="189" t="n"/>
      <c r="L904" s="189" t="n"/>
      <c r="M904" s="189" t="n"/>
      <c r="N904" s="189" t="n"/>
      <c r="O904" s="190" t="n"/>
      <c r="P904" s="173" t="n"/>
    </row>
    <row r="905" ht="18.75" customHeight="1">
      <c r="A905" s="173" t="n"/>
      <c r="B905" s="173" t="n"/>
      <c r="C905" s="173" t="n"/>
      <c r="D905" s="173" t="n"/>
      <c r="E905" s="173" t="n"/>
      <c r="F905" s="173" t="n"/>
      <c r="G905" s="173" t="n"/>
      <c r="H905" s="173" t="n"/>
      <c r="I905" s="173" t="n"/>
      <c r="J905" s="173" t="n"/>
      <c r="K905" s="173" t="n"/>
      <c r="L905" s="173" t="n"/>
      <c r="M905" s="173" t="n"/>
      <c r="N905" s="173" t="n"/>
      <c r="O905" s="173" t="n"/>
      <c r="P905" s="173" t="n"/>
    </row>
    <row r="906" ht="18.75" customHeight="1">
      <c r="A906" s="173" t="n"/>
      <c r="B906" s="175">
        <f>IF('DADOS_PROGRESSAO'!$G$16="","Usa os treinos e especializações existentes.","⚠ "&amp;'DADOS_PROGRESSAO'!$G$16)</f>
        <v/>
      </c>
      <c r="H906" s="173" t="n"/>
      <c r="I906" s="173" t="n"/>
      <c r="J906" s="175">
        <f>IF('DADOS_PROGRESSAO'!$G$17="","Usa os treinos e especializações existentes.","⚠ "&amp;'DADOS_PROGRESSAO'!$G$17)</f>
        <v/>
      </c>
      <c r="P906" s="173" t="n"/>
    </row>
    <row r="907" ht="18.75" customHeight="1">
      <c r="A907" s="173" t="n"/>
      <c r="H907" s="173" t="n"/>
      <c r="I907" s="173" t="n"/>
      <c r="P907" s="173" t="n"/>
    </row>
    <row r="908" ht="18.75" customHeight="1">
      <c r="A908" s="173" t="n"/>
      <c r="B908" s="173" t="n"/>
      <c r="C908" s="173" t="n"/>
      <c r="D908" s="173" t="n"/>
      <c r="E908" s="173" t="n"/>
      <c r="F908" s="173" t="n"/>
      <c r="G908" s="173" t="n"/>
      <c r="H908" s="173" t="n"/>
      <c r="I908" s="173" t="n"/>
      <c r="J908" s="173" t="n"/>
      <c r="K908" s="173" t="n"/>
      <c r="L908" s="173" t="n"/>
      <c r="M908" s="173" t="n"/>
      <c r="N908" s="173" t="n"/>
      <c r="O908" s="173" t="n"/>
      <c r="P908" s="173" t="n"/>
    </row>
    <row r="909" ht="18.75" customHeight="1">
      <c r="A909" s="173" t="n"/>
      <c r="B909" s="176" t="inlineStr">
        <is>
          <t>OFÍCIO 7 · CUSTOM</t>
        </is>
      </c>
      <c r="H909" s="173" t="n"/>
      <c r="I909" s="173" t="n"/>
      <c r="J909" s="176" t="inlineStr">
        <is>
          <t>OFÍCIO 8 · CUSTOM</t>
        </is>
      </c>
      <c r="P909" s="173" t="n"/>
    </row>
    <row r="910" ht="18.75" customHeight="1">
      <c r="A910" s="173" t="n"/>
      <c r="B910" s="177" t="inlineStr">
        <is>
          <t>TIPO</t>
        </is>
      </c>
      <c r="C910" s="178" t="n"/>
      <c r="D910" s="178" t="n"/>
      <c r="E910" s="179" t="n"/>
      <c r="F910" s="177" t="inlineStr">
        <is>
          <t>MESTRE VIU</t>
        </is>
      </c>
      <c r="G910" s="179" t="n"/>
      <c r="H910" s="173" t="n"/>
      <c r="I910" s="173" t="n"/>
      <c r="J910" s="177" t="inlineStr">
        <is>
          <t>TIPO</t>
        </is>
      </c>
      <c r="K910" s="178" t="n"/>
      <c r="L910" s="178" t="n"/>
      <c r="M910" s="179" t="n"/>
      <c r="N910" s="177" t="inlineStr">
        <is>
          <t>MESTRE VIU</t>
        </is>
      </c>
      <c r="O910" s="179" t="n"/>
      <c r="P910" s="173" t="n"/>
    </row>
    <row r="911" ht="18.75" customHeight="1">
      <c r="A911" s="173" t="n"/>
      <c r="B911" s="181" t="inlineStr">
        <is>
          <t>Ofício</t>
        </is>
      </c>
      <c r="C911" s="178" t="n"/>
      <c r="D911" s="178" t="n"/>
      <c r="E911" s="179" t="n"/>
      <c r="F911" s="180" t="b">
        <v>0</v>
      </c>
      <c r="G911" s="179" t="n"/>
      <c r="H911" s="173" t="n"/>
      <c r="I911" s="173" t="n"/>
      <c r="J911" s="181" t="inlineStr">
        <is>
          <t>Ofício</t>
        </is>
      </c>
      <c r="K911" s="178" t="n"/>
      <c r="L911" s="178" t="n"/>
      <c r="M911" s="179" t="n"/>
      <c r="N911" s="180" t="b">
        <v>0</v>
      </c>
      <c r="O911" s="179" t="n"/>
      <c r="P911" s="173" t="n"/>
    </row>
    <row r="912" ht="18.75" customHeight="1">
      <c r="A912" s="173" t="n"/>
      <c r="B912" s="177" t="inlineStr">
        <is>
          <t>NOME</t>
        </is>
      </c>
      <c r="C912" s="178" t="n"/>
      <c r="D912" s="178" t="n"/>
      <c r="E912" s="178" t="n"/>
      <c r="F912" s="178" t="n"/>
      <c r="G912" s="179" t="n"/>
      <c r="H912" s="173" t="n"/>
      <c r="I912" s="173" t="n"/>
      <c r="J912" s="177" t="inlineStr">
        <is>
          <t>NOME</t>
        </is>
      </c>
      <c r="K912" s="178" t="n"/>
      <c r="L912" s="178" t="n"/>
      <c r="M912" s="178" t="n"/>
      <c r="N912" s="178" t="n"/>
      <c r="O912" s="179" t="n"/>
      <c r="P912" s="173" t="n"/>
    </row>
    <row r="913" ht="18.75" customHeight="1">
      <c r="A913" s="173" t="n"/>
      <c r="B913" s="181" t="n"/>
      <c r="C913" s="178" t="n"/>
      <c r="D913" s="178" t="n"/>
      <c r="E913" s="178" t="n"/>
      <c r="F913" s="178" t="n"/>
      <c r="G913" s="179" t="n"/>
      <c r="H913" s="173" t="n"/>
      <c r="I913" s="173" t="n"/>
      <c r="J913" s="181" t="n"/>
      <c r="K913" s="178" t="n"/>
      <c r="L913" s="178" t="n"/>
      <c r="M913" s="178" t="n"/>
      <c r="N913" s="178" t="n"/>
      <c r="O913" s="179" t="n"/>
      <c r="P913" s="173" t="n"/>
    </row>
    <row r="914" ht="18.75" customHeight="1">
      <c r="A914" s="173" t="n"/>
      <c r="B914" s="177">
        <f>IF(B911="Ofício","ATRIBUTO PADRÃO","ATRIBUTO FIXO")</f>
        <v/>
      </c>
      <c r="C914" s="178" t="n"/>
      <c r="D914" s="179" t="n"/>
      <c r="E914" s="181" t="n"/>
      <c r="F914" s="178" t="n"/>
      <c r="G914" s="179" t="n"/>
      <c r="H914" s="173" t="n"/>
      <c r="I914" s="173" t="n"/>
      <c r="J914" s="177">
        <f>IF(J911="Ofício","ATRIBUTO PADRÃO","ATRIBUTO FIXO")</f>
        <v/>
      </c>
      <c r="K914" s="178" t="n"/>
      <c r="L914" s="179" t="n"/>
      <c r="M914" s="181" t="n"/>
      <c r="N914" s="178" t="n"/>
      <c r="O914" s="179" t="n"/>
      <c r="P914" s="173" t="n"/>
    </row>
    <row r="915" ht="18.75" customHeight="1">
      <c r="A915" s="173" t="n"/>
      <c r="B915" s="177" t="inlineStr">
        <is>
          <t>DESCRIÇÃO</t>
        </is>
      </c>
      <c r="C915" s="178" t="n"/>
      <c r="D915" s="178" t="n"/>
      <c r="E915" s="178" t="n"/>
      <c r="F915" s="178" t="n"/>
      <c r="G915" s="179" t="n"/>
      <c r="H915" s="173" t="n"/>
      <c r="I915" s="173" t="n"/>
      <c r="J915" s="177" t="inlineStr">
        <is>
          <t>DESCRIÇÃO</t>
        </is>
      </c>
      <c r="K915" s="178" t="n"/>
      <c r="L915" s="178" t="n"/>
      <c r="M915" s="178" t="n"/>
      <c r="N915" s="178" t="n"/>
      <c r="O915" s="179" t="n"/>
      <c r="P915" s="173" t="n"/>
    </row>
    <row r="916" ht="18.75" customHeight="1">
      <c r="A916" s="173" t="n"/>
      <c r="B916" s="183" t="n"/>
      <c r="C916" s="184" t="n"/>
      <c r="D916" s="184" t="n"/>
      <c r="E916" s="184" t="n"/>
      <c r="F916" s="184" t="n"/>
      <c r="G916" s="185" t="n"/>
      <c r="H916" s="173" t="n"/>
      <c r="I916" s="173" t="n"/>
      <c r="J916" s="183" t="n"/>
      <c r="K916" s="184" t="n"/>
      <c r="L916" s="184" t="n"/>
      <c r="M916" s="184" t="n"/>
      <c r="N916" s="184" t="n"/>
      <c r="O916" s="185" t="n"/>
      <c r="P916" s="173" t="n"/>
    </row>
    <row r="917" ht="18.75" customHeight="1">
      <c r="A917" s="173" t="n"/>
      <c r="B917" s="186" t="n"/>
      <c r="G917" s="187" t="n"/>
      <c r="H917" s="173" t="n"/>
      <c r="I917" s="173" t="n"/>
      <c r="J917" s="186" t="n"/>
      <c r="O917" s="187" t="n"/>
      <c r="P917" s="173" t="n"/>
    </row>
    <row r="918" ht="18.75" customHeight="1">
      <c r="A918" s="173" t="n"/>
      <c r="B918" s="188" t="n"/>
      <c r="C918" s="189" t="n"/>
      <c r="D918" s="189" t="n"/>
      <c r="E918" s="189" t="n"/>
      <c r="F918" s="189" t="n"/>
      <c r="G918" s="190" t="n"/>
      <c r="H918" s="173" t="n"/>
      <c r="I918" s="173" t="n"/>
      <c r="J918" s="188" t="n"/>
      <c r="K918" s="189" t="n"/>
      <c r="L918" s="189" t="n"/>
      <c r="M918" s="189" t="n"/>
      <c r="N918" s="189" t="n"/>
      <c r="O918" s="190" t="n"/>
      <c r="P918" s="173" t="n"/>
    </row>
    <row r="919" ht="18.75" customHeight="1">
      <c r="A919" s="173" t="n"/>
      <c r="B919" s="173" t="n"/>
      <c r="C919" s="173" t="n"/>
      <c r="D919" s="173" t="n"/>
      <c r="E919" s="173" t="n"/>
      <c r="F919" s="173" t="n"/>
      <c r="G919" s="173" t="n"/>
      <c r="H919" s="173" t="n"/>
      <c r="I919" s="173" t="n"/>
      <c r="J919" s="173" t="n"/>
      <c r="K919" s="173" t="n"/>
      <c r="L919" s="173" t="n"/>
      <c r="M919" s="173" t="n"/>
      <c r="N919" s="173" t="n"/>
      <c r="O919" s="173" t="n"/>
      <c r="P919" s="173" t="n"/>
    </row>
    <row r="920" ht="18.75" customHeight="1">
      <c r="A920" s="173" t="n"/>
      <c r="B920" s="175">
        <f>IF('DADOS_PROGRESSAO'!$G$18="","Usa os treinos e especializações existentes.","⚠ "&amp;'DADOS_PROGRESSAO'!$G$18)</f>
        <v/>
      </c>
      <c r="H920" s="173" t="n"/>
      <c r="I920" s="173" t="n"/>
      <c r="J920" s="175">
        <f>IF('DADOS_PROGRESSAO'!$G$19="","Usa os treinos e especializações existentes.","⚠ "&amp;'DADOS_PROGRESSAO'!$G$19)</f>
        <v/>
      </c>
      <c r="P920" s="173" t="n"/>
    </row>
    <row r="921" ht="18.75" customHeight="1">
      <c r="A921" s="173" t="n"/>
      <c r="H921" s="173" t="n"/>
      <c r="I921" s="173" t="n"/>
      <c r="P921" s="173" t="n"/>
    </row>
    <row r="922" ht="18.75" customHeight="1">
      <c r="A922" s="173" t="n"/>
      <c r="B922" s="173" t="n"/>
      <c r="C922" s="173" t="n"/>
      <c r="D922" s="173" t="n"/>
      <c r="E922" s="173" t="n"/>
      <c r="F922" s="173" t="n"/>
      <c r="G922" s="173" t="n"/>
      <c r="H922" s="173" t="n"/>
      <c r="I922" s="173" t="n"/>
      <c r="J922" s="173" t="n"/>
      <c r="K922" s="173" t="n"/>
      <c r="L922" s="173" t="n"/>
      <c r="M922" s="173" t="n"/>
      <c r="N922" s="173" t="n"/>
      <c r="O922" s="173" t="n"/>
      <c r="P922" s="173" t="n"/>
    </row>
    <row r="923" ht="18.75" customHeight="1">
      <c r="A923" s="173" t="n"/>
      <c r="B923" s="176" t="inlineStr">
        <is>
          <t>OFÍCIO 9 · CUSTOM</t>
        </is>
      </c>
      <c r="H923" s="173" t="n"/>
      <c r="I923" s="173" t="n"/>
      <c r="J923" s="176" t="inlineStr">
        <is>
          <t>OFÍCIO 10 · CUSTOM</t>
        </is>
      </c>
      <c r="P923" s="173" t="n"/>
    </row>
    <row r="924" ht="18.75" customHeight="1">
      <c r="A924" s="173" t="n"/>
      <c r="B924" s="177" t="inlineStr">
        <is>
          <t>TIPO</t>
        </is>
      </c>
      <c r="C924" s="178" t="n"/>
      <c r="D924" s="178" t="n"/>
      <c r="E924" s="179" t="n"/>
      <c r="F924" s="177" t="inlineStr">
        <is>
          <t>MESTRE VIU</t>
        </is>
      </c>
      <c r="G924" s="179" t="n"/>
      <c r="H924" s="173" t="n"/>
      <c r="I924" s="173" t="n"/>
      <c r="J924" s="177" t="inlineStr">
        <is>
          <t>TIPO</t>
        </is>
      </c>
      <c r="K924" s="178" t="n"/>
      <c r="L924" s="178" t="n"/>
      <c r="M924" s="179" t="n"/>
      <c r="N924" s="177" t="inlineStr">
        <is>
          <t>MESTRE VIU</t>
        </is>
      </c>
      <c r="O924" s="179" t="n"/>
      <c r="P924" s="173" t="n"/>
    </row>
    <row r="925" ht="18.75" customHeight="1">
      <c r="A925" s="173" t="n"/>
      <c r="B925" s="181" t="inlineStr">
        <is>
          <t>Ofício</t>
        </is>
      </c>
      <c r="C925" s="178" t="n"/>
      <c r="D925" s="178" t="n"/>
      <c r="E925" s="179" t="n"/>
      <c r="F925" s="180" t="b">
        <v>0</v>
      </c>
      <c r="G925" s="179" t="n"/>
      <c r="H925" s="173" t="n"/>
      <c r="I925" s="173" t="n"/>
      <c r="J925" s="181" t="inlineStr">
        <is>
          <t>Ofício</t>
        </is>
      </c>
      <c r="K925" s="178" t="n"/>
      <c r="L925" s="178" t="n"/>
      <c r="M925" s="179" t="n"/>
      <c r="N925" s="180" t="b">
        <v>0</v>
      </c>
      <c r="O925" s="179" t="n"/>
      <c r="P925" s="173" t="n"/>
    </row>
    <row r="926" ht="18.75" customHeight="1">
      <c r="A926" s="173" t="n"/>
      <c r="B926" s="177" t="inlineStr">
        <is>
          <t>NOME</t>
        </is>
      </c>
      <c r="C926" s="178" t="n"/>
      <c r="D926" s="178" t="n"/>
      <c r="E926" s="178" t="n"/>
      <c r="F926" s="178" t="n"/>
      <c r="G926" s="179" t="n"/>
      <c r="H926" s="173" t="n"/>
      <c r="I926" s="173" t="n"/>
      <c r="J926" s="177" t="inlineStr">
        <is>
          <t>NOME</t>
        </is>
      </c>
      <c r="K926" s="178" t="n"/>
      <c r="L926" s="178" t="n"/>
      <c r="M926" s="178" t="n"/>
      <c r="N926" s="178" t="n"/>
      <c r="O926" s="179" t="n"/>
      <c r="P926" s="173" t="n"/>
    </row>
    <row r="927" ht="18.75" customHeight="1">
      <c r="A927" s="173" t="n"/>
      <c r="B927" s="181" t="n"/>
      <c r="C927" s="178" t="n"/>
      <c r="D927" s="178" t="n"/>
      <c r="E927" s="178" t="n"/>
      <c r="F927" s="178" t="n"/>
      <c r="G927" s="179" t="n"/>
      <c r="H927" s="173" t="n"/>
      <c r="I927" s="173" t="n"/>
      <c r="J927" s="181" t="n"/>
      <c r="K927" s="178" t="n"/>
      <c r="L927" s="178" t="n"/>
      <c r="M927" s="178" t="n"/>
      <c r="N927" s="178" t="n"/>
      <c r="O927" s="179" t="n"/>
      <c r="P927" s="173" t="n"/>
    </row>
    <row r="928" ht="18.75" customHeight="1">
      <c r="A928" s="173" t="n"/>
      <c r="B928" s="177">
        <f>IF(B925="Ofício","ATRIBUTO PADRÃO","ATRIBUTO FIXO")</f>
        <v/>
      </c>
      <c r="C928" s="178" t="n"/>
      <c r="D928" s="179" t="n"/>
      <c r="E928" s="181" t="n"/>
      <c r="F928" s="178" t="n"/>
      <c r="G928" s="179" t="n"/>
      <c r="H928" s="173" t="n"/>
      <c r="I928" s="173" t="n"/>
      <c r="J928" s="177">
        <f>IF(J925="Ofício","ATRIBUTO PADRÃO","ATRIBUTO FIXO")</f>
        <v/>
      </c>
      <c r="K928" s="178" t="n"/>
      <c r="L928" s="179" t="n"/>
      <c r="M928" s="181" t="n"/>
      <c r="N928" s="178" t="n"/>
      <c r="O928" s="179" t="n"/>
      <c r="P928" s="173" t="n"/>
    </row>
    <row r="929" ht="18.75" customHeight="1">
      <c r="A929" s="173" t="n"/>
      <c r="B929" s="177" t="inlineStr">
        <is>
          <t>DESCRIÇÃO</t>
        </is>
      </c>
      <c r="C929" s="178" t="n"/>
      <c r="D929" s="178" t="n"/>
      <c r="E929" s="178" t="n"/>
      <c r="F929" s="178" t="n"/>
      <c r="G929" s="179" t="n"/>
      <c r="H929" s="173" t="n"/>
      <c r="I929" s="173" t="n"/>
      <c r="J929" s="177" t="inlineStr">
        <is>
          <t>DESCRIÇÃO</t>
        </is>
      </c>
      <c r="K929" s="178" t="n"/>
      <c r="L929" s="178" t="n"/>
      <c r="M929" s="178" t="n"/>
      <c r="N929" s="178" t="n"/>
      <c r="O929" s="179" t="n"/>
      <c r="P929" s="173" t="n"/>
    </row>
    <row r="930" ht="18.75" customHeight="1">
      <c r="A930" s="173" t="n"/>
      <c r="B930" s="183" t="n"/>
      <c r="C930" s="184" t="n"/>
      <c r="D930" s="184" t="n"/>
      <c r="E930" s="184" t="n"/>
      <c r="F930" s="184" t="n"/>
      <c r="G930" s="185" t="n"/>
      <c r="H930" s="173" t="n"/>
      <c r="I930" s="173" t="n"/>
      <c r="J930" s="183" t="n"/>
      <c r="K930" s="184" t="n"/>
      <c r="L930" s="184" t="n"/>
      <c r="M930" s="184" t="n"/>
      <c r="N930" s="184" t="n"/>
      <c r="O930" s="185" t="n"/>
      <c r="P930" s="173" t="n"/>
    </row>
    <row r="931" ht="18.75" customHeight="1">
      <c r="A931" s="173" t="n"/>
      <c r="B931" s="186" t="n"/>
      <c r="G931" s="187" t="n"/>
      <c r="H931" s="173" t="n"/>
      <c r="I931" s="173" t="n"/>
      <c r="J931" s="186" t="n"/>
      <c r="O931" s="187" t="n"/>
      <c r="P931" s="173" t="n"/>
    </row>
    <row r="932" ht="18.75" customHeight="1">
      <c r="A932" s="173" t="n"/>
      <c r="B932" s="188" t="n"/>
      <c r="C932" s="189" t="n"/>
      <c r="D932" s="189" t="n"/>
      <c r="E932" s="189" t="n"/>
      <c r="F932" s="189" t="n"/>
      <c r="G932" s="190" t="n"/>
      <c r="H932" s="173" t="n"/>
      <c r="I932" s="173" t="n"/>
      <c r="J932" s="188" t="n"/>
      <c r="K932" s="189" t="n"/>
      <c r="L932" s="189" t="n"/>
      <c r="M932" s="189" t="n"/>
      <c r="N932" s="189" t="n"/>
      <c r="O932" s="190" t="n"/>
      <c r="P932" s="173" t="n"/>
    </row>
    <row r="933" ht="18.75" customHeight="1">
      <c r="A933" s="173" t="n"/>
      <c r="B933" s="173" t="n"/>
      <c r="C933" s="173" t="n"/>
      <c r="D933" s="173" t="n"/>
      <c r="E933" s="173" t="n"/>
      <c r="F933" s="173" t="n"/>
      <c r="G933" s="173" t="n"/>
      <c r="H933" s="173" t="n"/>
      <c r="I933" s="173" t="n"/>
      <c r="J933" s="173" t="n"/>
      <c r="K933" s="173" t="n"/>
      <c r="L933" s="173" t="n"/>
      <c r="M933" s="173" t="n"/>
      <c r="N933" s="173" t="n"/>
      <c r="O933" s="173" t="n"/>
      <c r="P933" s="173" t="n"/>
    </row>
    <row r="934" ht="18.75" customHeight="1">
      <c r="A934" s="173" t="n"/>
      <c r="B934" s="175">
        <f>IF('DADOS_PROGRESSAO'!$G$20="","Usa os treinos e especializações existentes.","⚠ "&amp;'DADOS_PROGRESSAO'!$G$20)</f>
        <v/>
      </c>
      <c r="H934" s="173" t="n"/>
      <c r="I934" s="173" t="n"/>
      <c r="J934" s="175">
        <f>IF('DADOS_PROGRESSAO'!$G$21="","Usa os treinos e especializações existentes.","⚠ "&amp;'DADOS_PROGRESSAO'!$G$21)</f>
        <v/>
      </c>
      <c r="P934" s="173" t="n"/>
    </row>
    <row r="935" ht="18.75" customHeight="1">
      <c r="A935" s="173" t="n"/>
      <c r="H935" s="173" t="n"/>
      <c r="I935" s="173" t="n"/>
      <c r="P935" s="173" t="n"/>
    </row>
    <row r="936" ht="18.75" customHeight="1">
      <c r="A936" s="173" t="n"/>
      <c r="B936" s="173" t="n"/>
      <c r="C936" s="173" t="n"/>
      <c r="D936" s="173" t="n"/>
      <c r="E936" s="173" t="n"/>
      <c r="F936" s="173" t="n"/>
      <c r="G936" s="173" t="n"/>
      <c r="H936" s="173" t="n"/>
      <c r="I936" s="173" t="n"/>
      <c r="J936" s="173" t="n"/>
      <c r="K936" s="173" t="n"/>
      <c r="L936" s="173" t="n"/>
      <c r="M936" s="173" t="n"/>
      <c r="N936" s="173" t="n"/>
      <c r="O936" s="173" t="n"/>
      <c r="P936" s="173" t="n"/>
    </row>
    <row r="937" ht="18.75" customHeight="1">
      <c r="A937" s="173" t="n"/>
      <c r="B937" s="176" t="inlineStr">
        <is>
          <t>FAMÍLIAS CUSTOM</t>
        </is>
      </c>
      <c r="P937" s="173" t="n"/>
    </row>
    <row r="938" ht="18.75" customHeight="1">
      <c r="A938" s="173" t="n"/>
      <c r="B938" s="173" t="n"/>
      <c r="C938" s="173" t="n"/>
      <c r="D938" s="173" t="n"/>
      <c r="E938" s="173" t="n"/>
      <c r="F938" s="173" t="n"/>
      <c r="G938" s="173" t="n"/>
      <c r="H938" s="173" t="n"/>
      <c r="I938" s="173" t="n"/>
      <c r="J938" s="173" t="n"/>
      <c r="K938" s="173" t="n"/>
      <c r="L938" s="173" t="n"/>
      <c r="M938" s="173" t="n"/>
      <c r="N938" s="173" t="n"/>
      <c r="O938" s="173" t="n"/>
      <c r="P938" s="173" t="n"/>
    </row>
    <row r="939" ht="18.75" customHeight="1">
      <c r="A939" s="173" t="n"/>
      <c r="B939" s="176" t="inlineStr">
        <is>
          <t>FAMÍLIA · 1</t>
        </is>
      </c>
      <c r="H939" s="173" t="n"/>
      <c r="I939" s="173" t="n"/>
      <c r="J939" s="176" t="inlineStr">
        <is>
          <t>FAMÍLIA · 2</t>
        </is>
      </c>
      <c r="P939" s="173" t="n"/>
    </row>
    <row r="940" ht="18.75" customHeight="1">
      <c r="A940" s="173" t="n"/>
      <c r="B940" s="177" t="inlineStr">
        <is>
          <t>TIPO</t>
        </is>
      </c>
      <c r="C940" s="178" t="n"/>
      <c r="D940" s="178" t="n"/>
      <c r="E940" s="179" t="n"/>
      <c r="F940" s="177" t="inlineStr">
        <is>
          <t>MESTRE VIU</t>
        </is>
      </c>
      <c r="G940" s="179" t="n"/>
      <c r="H940" s="173" t="n"/>
      <c r="I940" s="173" t="n"/>
      <c r="J940" s="177" t="inlineStr">
        <is>
          <t>TIPO</t>
        </is>
      </c>
      <c r="K940" s="178" t="n"/>
      <c r="L940" s="178" t="n"/>
      <c r="M940" s="179" t="n"/>
      <c r="N940" s="177" t="inlineStr">
        <is>
          <t>MESTRE VIU</t>
        </is>
      </c>
      <c r="O940" s="179" t="n"/>
      <c r="P940" s="173" t="n"/>
    </row>
    <row r="941" ht="18.75" customHeight="1">
      <c r="A941" s="173" t="n"/>
      <c r="B941" s="181" t="inlineStr">
        <is>
          <t>Família</t>
        </is>
      </c>
      <c r="C941" s="178" t="n"/>
      <c r="D941" s="178" t="n"/>
      <c r="E941" s="179" t="n"/>
      <c r="F941" s="180" t="b">
        <v>0</v>
      </c>
      <c r="G941" s="179" t="n"/>
      <c r="H941" s="173" t="n"/>
      <c r="I941" s="173" t="n"/>
      <c r="J941" s="181" t="inlineStr">
        <is>
          <t>Família</t>
        </is>
      </c>
      <c r="K941" s="178" t="n"/>
      <c r="L941" s="178" t="n"/>
      <c r="M941" s="179" t="n"/>
      <c r="N941" s="180" t="b">
        <v>0</v>
      </c>
      <c r="O941" s="179" t="n"/>
      <c r="P941" s="173" t="n"/>
    </row>
    <row r="942" ht="18.75" customHeight="1">
      <c r="A942" s="173" t="n"/>
      <c r="B942" s="177" t="inlineStr">
        <is>
          <t>NOME</t>
        </is>
      </c>
      <c r="C942" s="178" t="n"/>
      <c r="D942" s="178" t="n"/>
      <c r="E942" s="178" t="n"/>
      <c r="F942" s="178" t="n"/>
      <c r="G942" s="179" t="n"/>
      <c r="H942" s="173" t="n"/>
      <c r="I942" s="173" t="n"/>
      <c r="J942" s="177" t="inlineStr">
        <is>
          <t>NOME</t>
        </is>
      </c>
      <c r="K942" s="178" t="n"/>
      <c r="L942" s="178" t="n"/>
      <c r="M942" s="178" t="n"/>
      <c r="N942" s="178" t="n"/>
      <c r="O942" s="179" t="n"/>
      <c r="P942" s="173" t="n"/>
    </row>
    <row r="943" ht="18.75" customHeight="1">
      <c r="A943" s="173" t="n"/>
      <c r="B943" s="181" t="n"/>
      <c r="C943" s="178" t="n"/>
      <c r="D943" s="178" t="n"/>
      <c r="E943" s="178" t="n"/>
      <c r="F943" s="178" t="n"/>
      <c r="G943" s="179" t="n"/>
      <c r="H943" s="173" t="n"/>
      <c r="I943" s="173" t="n"/>
      <c r="J943" s="181" t="n"/>
      <c r="K943" s="178" t="n"/>
      <c r="L943" s="178" t="n"/>
      <c r="M943" s="178" t="n"/>
      <c r="N943" s="178" t="n"/>
      <c r="O943" s="179" t="n"/>
      <c r="P943" s="173" t="n"/>
    </row>
    <row r="944" ht="18.75" customHeight="1">
      <c r="A944" s="173" t="n"/>
      <c r="B944" s="177" t="inlineStr">
        <is>
          <t>ESTADO</t>
        </is>
      </c>
      <c r="C944" s="178" t="n"/>
      <c r="D944" s="179" t="n"/>
      <c r="E944" s="181" t="inlineStr">
        <is>
          <t>Neutra</t>
        </is>
      </c>
      <c r="F944" s="178" t="n"/>
      <c r="G944" s="179" t="n"/>
      <c r="H944" s="173" t="n"/>
      <c r="I944" s="173" t="n"/>
      <c r="J944" s="177" t="inlineStr">
        <is>
          <t>ESTADO</t>
        </is>
      </c>
      <c r="K944" s="178" t="n"/>
      <c r="L944" s="179" t="n"/>
      <c r="M944" s="181" t="inlineStr">
        <is>
          <t>Neutra</t>
        </is>
      </c>
      <c r="N944" s="178" t="n"/>
      <c r="O944" s="179" t="n"/>
      <c r="P944" s="173" t="n"/>
    </row>
    <row r="945" ht="18.75" customHeight="1">
      <c r="A945" s="173" t="n"/>
      <c r="B945" s="177" t="inlineStr">
        <is>
          <t>DESCRIÇÃO</t>
        </is>
      </c>
      <c r="C945" s="178" t="n"/>
      <c r="D945" s="178" t="n"/>
      <c r="E945" s="178" t="n"/>
      <c r="F945" s="178" t="n"/>
      <c r="G945" s="179" t="n"/>
      <c r="H945" s="173" t="n"/>
      <c r="I945" s="173" t="n"/>
      <c r="J945" s="177" t="inlineStr">
        <is>
          <t>DESCRIÇÃO</t>
        </is>
      </c>
      <c r="K945" s="178" t="n"/>
      <c r="L945" s="178" t="n"/>
      <c r="M945" s="178" t="n"/>
      <c r="N945" s="178" t="n"/>
      <c r="O945" s="179" t="n"/>
      <c r="P945" s="173" t="n"/>
    </row>
    <row r="946" ht="18.75" customHeight="1">
      <c r="A946" s="173" t="n"/>
      <c r="B946" s="183" t="n"/>
      <c r="C946" s="184" t="n"/>
      <c r="D946" s="184" t="n"/>
      <c r="E946" s="184" t="n"/>
      <c r="F946" s="184" t="n"/>
      <c r="G946" s="185" t="n"/>
      <c r="H946" s="173" t="n"/>
      <c r="I946" s="173" t="n"/>
      <c r="J946" s="183" t="n"/>
      <c r="K946" s="184" t="n"/>
      <c r="L946" s="184" t="n"/>
      <c r="M946" s="184" t="n"/>
      <c r="N946" s="184" t="n"/>
      <c r="O946" s="185" t="n"/>
      <c r="P946" s="173" t="n"/>
    </row>
    <row r="947" ht="18.75" customHeight="1">
      <c r="A947" s="173" t="n"/>
      <c r="B947" s="186" t="n"/>
      <c r="G947" s="187" t="n"/>
      <c r="H947" s="173" t="n"/>
      <c r="I947" s="173" t="n"/>
      <c r="J947" s="186" t="n"/>
      <c r="O947" s="187" t="n"/>
      <c r="P947" s="173" t="n"/>
    </row>
    <row r="948" ht="18.75" customHeight="1">
      <c r="A948" s="173" t="n"/>
      <c r="B948" s="186" t="n"/>
      <c r="G948" s="187" t="n"/>
      <c r="H948" s="173" t="n"/>
      <c r="I948" s="173" t="n"/>
      <c r="J948" s="186" t="n"/>
      <c r="O948" s="187" t="n"/>
      <c r="P948" s="173" t="n"/>
    </row>
    <row r="949" ht="18.75" customHeight="1">
      <c r="A949" s="173" t="n"/>
      <c r="B949" s="188" t="n"/>
      <c r="C949" s="189" t="n"/>
      <c r="D949" s="189" t="n"/>
      <c r="E949" s="189" t="n"/>
      <c r="F949" s="189" t="n"/>
      <c r="G949" s="190" t="n"/>
      <c r="H949" s="173" t="n"/>
      <c r="I949" s="173" t="n"/>
      <c r="J949" s="188" t="n"/>
      <c r="K949" s="189" t="n"/>
      <c r="L949" s="189" t="n"/>
      <c r="M949" s="189" t="n"/>
      <c r="N949" s="189" t="n"/>
      <c r="O949" s="190" t="n"/>
      <c r="P949" s="173" t="n"/>
    </row>
    <row r="950" ht="18.75" customHeight="1">
      <c r="A950" s="173" t="n"/>
      <c r="B950" s="173" t="n"/>
      <c r="C950" s="173" t="n"/>
      <c r="D950" s="173" t="n"/>
      <c r="E950" s="173" t="n"/>
      <c r="F950" s="173" t="n"/>
      <c r="G950" s="173" t="n"/>
      <c r="H950" s="173" t="n"/>
      <c r="I950" s="173" t="n"/>
      <c r="J950" s="173" t="n"/>
      <c r="K950" s="173" t="n"/>
      <c r="L950" s="173" t="n"/>
      <c r="M950" s="173" t="n"/>
      <c r="N950" s="173" t="n"/>
      <c r="O950" s="173" t="n"/>
      <c r="P950" s="173" t="n"/>
    </row>
    <row r="951" ht="18.75" customHeight="1">
      <c r="A951" s="173" t="n"/>
      <c r="B951" s="175">
        <f>IF('DADOS_CRIACAO'!$F$2="","","⚠ "&amp;'DADOS_CRIACAO'!$F$2)</f>
        <v/>
      </c>
      <c r="H951" s="173" t="n"/>
      <c r="I951" s="173" t="n"/>
      <c r="J951" s="175">
        <f>IF('DADOS_CRIACAO'!$F$3="","","⚠ "&amp;'DADOS_CRIACAO'!$F$3)</f>
        <v/>
      </c>
      <c r="P951" s="173" t="n"/>
    </row>
    <row r="952" ht="18.75" customHeight="1">
      <c r="A952" s="173" t="n"/>
      <c r="B952" s="173" t="n"/>
      <c r="C952" s="173" t="n"/>
      <c r="D952" s="173" t="n"/>
      <c r="E952" s="173" t="n"/>
      <c r="F952" s="173" t="n"/>
      <c r="G952" s="173" t="n"/>
      <c r="H952" s="173" t="n"/>
      <c r="I952" s="173" t="n"/>
      <c r="J952" s="173" t="n"/>
      <c r="K952" s="173" t="n"/>
      <c r="L952" s="173" t="n"/>
      <c r="M952" s="173" t="n"/>
      <c r="N952" s="173" t="n"/>
      <c r="O952" s="173" t="n"/>
      <c r="P952" s="173" t="n"/>
    </row>
    <row r="953" ht="18.75" customHeight="1">
      <c r="A953" s="173" t="n"/>
      <c r="B953" s="176" t="inlineStr">
        <is>
          <t>FAMÍLIA · 3</t>
        </is>
      </c>
      <c r="H953" s="173" t="n"/>
      <c r="I953" s="173" t="n"/>
      <c r="J953" s="176" t="inlineStr">
        <is>
          <t>FAMÍLIA · 4</t>
        </is>
      </c>
      <c r="P953" s="173" t="n"/>
    </row>
    <row r="954" ht="18.75" customHeight="1">
      <c r="A954" s="173" t="n"/>
      <c r="B954" s="177" t="inlineStr">
        <is>
          <t>TIPO</t>
        </is>
      </c>
      <c r="C954" s="178" t="n"/>
      <c r="D954" s="178" t="n"/>
      <c r="E954" s="179" t="n"/>
      <c r="F954" s="177" t="inlineStr">
        <is>
          <t>MESTRE VIU</t>
        </is>
      </c>
      <c r="G954" s="179" t="n"/>
      <c r="H954" s="173" t="n"/>
      <c r="I954" s="173" t="n"/>
      <c r="J954" s="177" t="inlineStr">
        <is>
          <t>TIPO</t>
        </is>
      </c>
      <c r="K954" s="178" t="n"/>
      <c r="L954" s="178" t="n"/>
      <c r="M954" s="179" t="n"/>
      <c r="N954" s="177" t="inlineStr">
        <is>
          <t>MESTRE VIU</t>
        </is>
      </c>
      <c r="O954" s="179" t="n"/>
      <c r="P954" s="173" t="n"/>
    </row>
    <row r="955" ht="18.75" customHeight="1">
      <c r="A955" s="173" t="n"/>
      <c r="B955" s="181" t="inlineStr">
        <is>
          <t>Família</t>
        </is>
      </c>
      <c r="C955" s="178" t="n"/>
      <c r="D955" s="178" t="n"/>
      <c r="E955" s="179" t="n"/>
      <c r="F955" s="180" t="b">
        <v>0</v>
      </c>
      <c r="G955" s="179" t="n"/>
      <c r="H955" s="173" t="n"/>
      <c r="I955" s="173" t="n"/>
      <c r="J955" s="181" t="inlineStr">
        <is>
          <t>Família</t>
        </is>
      </c>
      <c r="K955" s="178" t="n"/>
      <c r="L955" s="178" t="n"/>
      <c r="M955" s="179" t="n"/>
      <c r="N955" s="180" t="b">
        <v>0</v>
      </c>
      <c r="O955" s="179" t="n"/>
      <c r="P955" s="173" t="n"/>
    </row>
    <row r="956" ht="18.75" customHeight="1">
      <c r="A956" s="173" t="n"/>
      <c r="B956" s="177" t="inlineStr">
        <is>
          <t>NOME</t>
        </is>
      </c>
      <c r="C956" s="178" t="n"/>
      <c r="D956" s="178" t="n"/>
      <c r="E956" s="178" t="n"/>
      <c r="F956" s="178" t="n"/>
      <c r="G956" s="179" t="n"/>
      <c r="H956" s="173" t="n"/>
      <c r="I956" s="173" t="n"/>
      <c r="J956" s="177" t="inlineStr">
        <is>
          <t>NOME</t>
        </is>
      </c>
      <c r="K956" s="178" t="n"/>
      <c r="L956" s="178" t="n"/>
      <c r="M956" s="178" t="n"/>
      <c r="N956" s="178" t="n"/>
      <c r="O956" s="179" t="n"/>
      <c r="P956" s="173" t="n"/>
    </row>
    <row r="957" ht="18.75" customHeight="1">
      <c r="A957" s="173" t="n"/>
      <c r="B957" s="181" t="n"/>
      <c r="C957" s="178" t="n"/>
      <c r="D957" s="178" t="n"/>
      <c r="E957" s="178" t="n"/>
      <c r="F957" s="178" t="n"/>
      <c r="G957" s="179" t="n"/>
      <c r="H957" s="173" t="n"/>
      <c r="I957" s="173" t="n"/>
      <c r="J957" s="181" t="n"/>
      <c r="K957" s="178" t="n"/>
      <c r="L957" s="178" t="n"/>
      <c r="M957" s="178" t="n"/>
      <c r="N957" s="178" t="n"/>
      <c r="O957" s="179" t="n"/>
      <c r="P957" s="173" t="n"/>
    </row>
    <row r="958" ht="18.75" customHeight="1">
      <c r="A958" s="173" t="n"/>
      <c r="B958" s="177" t="inlineStr">
        <is>
          <t>ESTADO</t>
        </is>
      </c>
      <c r="C958" s="178" t="n"/>
      <c r="D958" s="179" t="n"/>
      <c r="E958" s="181" t="inlineStr">
        <is>
          <t>Neutra</t>
        </is>
      </c>
      <c r="F958" s="178" t="n"/>
      <c r="G958" s="179" t="n"/>
      <c r="H958" s="173" t="n"/>
      <c r="I958" s="173" t="n"/>
      <c r="J958" s="177" t="inlineStr">
        <is>
          <t>ESTADO</t>
        </is>
      </c>
      <c r="K958" s="178" t="n"/>
      <c r="L958" s="179" t="n"/>
      <c r="M958" s="181" t="inlineStr">
        <is>
          <t>Neutra</t>
        </is>
      </c>
      <c r="N958" s="178" t="n"/>
      <c r="O958" s="179" t="n"/>
      <c r="P958" s="173" t="n"/>
    </row>
    <row r="959" ht="18.75" customHeight="1">
      <c r="A959" s="173" t="n"/>
      <c r="B959" s="177" t="inlineStr">
        <is>
          <t>DESCRIÇÃO</t>
        </is>
      </c>
      <c r="C959" s="178" t="n"/>
      <c r="D959" s="178" t="n"/>
      <c r="E959" s="178" t="n"/>
      <c r="F959" s="178" t="n"/>
      <c r="G959" s="179" t="n"/>
      <c r="H959" s="173" t="n"/>
      <c r="I959" s="173" t="n"/>
      <c r="J959" s="177" t="inlineStr">
        <is>
          <t>DESCRIÇÃO</t>
        </is>
      </c>
      <c r="K959" s="178" t="n"/>
      <c r="L959" s="178" t="n"/>
      <c r="M959" s="178" t="n"/>
      <c r="N959" s="178" t="n"/>
      <c r="O959" s="179" t="n"/>
      <c r="P959" s="173" t="n"/>
    </row>
    <row r="960" ht="18.75" customHeight="1">
      <c r="A960" s="173" t="n"/>
      <c r="B960" s="183" t="n"/>
      <c r="C960" s="184" t="n"/>
      <c r="D960" s="184" t="n"/>
      <c r="E960" s="184" t="n"/>
      <c r="F960" s="184" t="n"/>
      <c r="G960" s="185" t="n"/>
      <c r="H960" s="173" t="n"/>
      <c r="I960" s="173" t="n"/>
      <c r="J960" s="183" t="n"/>
      <c r="K960" s="184" t="n"/>
      <c r="L960" s="184" t="n"/>
      <c r="M960" s="184" t="n"/>
      <c r="N960" s="184" t="n"/>
      <c r="O960" s="185" t="n"/>
      <c r="P960" s="173" t="n"/>
    </row>
    <row r="961" ht="18.75" customHeight="1">
      <c r="A961" s="173" t="n"/>
      <c r="B961" s="186" t="n"/>
      <c r="G961" s="187" t="n"/>
      <c r="H961" s="173" t="n"/>
      <c r="I961" s="173" t="n"/>
      <c r="J961" s="186" t="n"/>
      <c r="O961" s="187" t="n"/>
      <c r="P961" s="173" t="n"/>
    </row>
    <row r="962" ht="18.75" customHeight="1">
      <c r="A962" s="173" t="n"/>
      <c r="B962" s="186" t="n"/>
      <c r="G962" s="187" t="n"/>
      <c r="H962" s="173" t="n"/>
      <c r="I962" s="173" t="n"/>
      <c r="J962" s="186" t="n"/>
      <c r="O962" s="187" t="n"/>
      <c r="P962" s="173" t="n"/>
    </row>
    <row r="963" ht="18.75" customHeight="1">
      <c r="A963" s="173" t="n"/>
      <c r="B963" s="188" t="n"/>
      <c r="C963" s="189" t="n"/>
      <c r="D963" s="189" t="n"/>
      <c r="E963" s="189" t="n"/>
      <c r="F963" s="189" t="n"/>
      <c r="G963" s="190" t="n"/>
      <c r="H963" s="173" t="n"/>
      <c r="I963" s="173" t="n"/>
      <c r="J963" s="188" t="n"/>
      <c r="K963" s="189" t="n"/>
      <c r="L963" s="189" t="n"/>
      <c r="M963" s="189" t="n"/>
      <c r="N963" s="189" t="n"/>
      <c r="O963" s="190" t="n"/>
      <c r="P963" s="173" t="n"/>
    </row>
    <row r="964" ht="18.75" customHeight="1">
      <c r="A964" s="173" t="n"/>
      <c r="B964" s="173" t="n"/>
      <c r="C964" s="173" t="n"/>
      <c r="D964" s="173" t="n"/>
      <c r="E964" s="173" t="n"/>
      <c r="F964" s="173" t="n"/>
      <c r="G964" s="173" t="n"/>
      <c r="H964" s="173" t="n"/>
      <c r="I964" s="173" t="n"/>
      <c r="J964" s="173" t="n"/>
      <c r="K964" s="173" t="n"/>
      <c r="L964" s="173" t="n"/>
      <c r="M964" s="173" t="n"/>
      <c r="N964" s="173" t="n"/>
      <c r="O964" s="173" t="n"/>
      <c r="P964" s="173" t="n"/>
    </row>
    <row r="965" ht="18.75" customHeight="1">
      <c r="A965" s="173" t="n"/>
      <c r="B965" s="175">
        <f>IF('DADOS_CRIACAO'!$F$4="","","⚠ "&amp;'DADOS_CRIACAO'!$F$4)</f>
        <v/>
      </c>
      <c r="H965" s="173" t="n"/>
      <c r="I965" s="173" t="n"/>
      <c r="J965" s="175">
        <f>IF('DADOS_CRIACAO'!$F$5="","","⚠ "&amp;'DADOS_CRIACAO'!$F$5)</f>
        <v/>
      </c>
      <c r="P965" s="173" t="n"/>
    </row>
    <row r="966" ht="18.75" customHeight="1">
      <c r="A966" s="173" t="n"/>
      <c r="B966" s="173" t="n"/>
      <c r="C966" s="173" t="n"/>
      <c r="D966" s="173" t="n"/>
      <c r="E966" s="173" t="n"/>
      <c r="F966" s="173" t="n"/>
      <c r="G966" s="173" t="n"/>
      <c r="H966" s="173" t="n"/>
      <c r="I966" s="173" t="n"/>
      <c r="J966" s="173" t="n"/>
      <c r="K966" s="173" t="n"/>
      <c r="L966" s="173" t="n"/>
      <c r="M966" s="173" t="n"/>
      <c r="N966" s="173" t="n"/>
      <c r="O966" s="173" t="n"/>
      <c r="P966" s="173" t="n"/>
    </row>
    <row r="967" ht="18.75" customHeight="1">
      <c r="A967" s="173" t="n"/>
      <c r="B967" s="176" t="inlineStr">
        <is>
          <t>FAMÍLIA · 5</t>
        </is>
      </c>
      <c r="H967" s="173" t="n"/>
      <c r="I967" s="173" t="n"/>
      <c r="J967" s="176" t="inlineStr">
        <is>
          <t>FAMÍLIA · 6</t>
        </is>
      </c>
      <c r="P967" s="173" t="n"/>
    </row>
    <row r="968" ht="18.75" customHeight="1">
      <c r="A968" s="173" t="n"/>
      <c r="B968" s="177" t="inlineStr">
        <is>
          <t>TIPO</t>
        </is>
      </c>
      <c r="C968" s="178" t="n"/>
      <c r="D968" s="178" t="n"/>
      <c r="E968" s="179" t="n"/>
      <c r="F968" s="177" t="inlineStr">
        <is>
          <t>MESTRE VIU</t>
        </is>
      </c>
      <c r="G968" s="179" t="n"/>
      <c r="H968" s="173" t="n"/>
      <c r="I968" s="173" t="n"/>
      <c r="J968" s="177" t="inlineStr">
        <is>
          <t>TIPO</t>
        </is>
      </c>
      <c r="K968" s="178" t="n"/>
      <c r="L968" s="178" t="n"/>
      <c r="M968" s="179" t="n"/>
      <c r="N968" s="177" t="inlineStr">
        <is>
          <t>MESTRE VIU</t>
        </is>
      </c>
      <c r="O968" s="179" t="n"/>
      <c r="P968" s="173" t="n"/>
    </row>
    <row r="969" ht="18.75" customHeight="1">
      <c r="A969" s="173" t="n"/>
      <c r="B969" s="181" t="inlineStr">
        <is>
          <t>Família</t>
        </is>
      </c>
      <c r="C969" s="178" t="n"/>
      <c r="D969" s="178" t="n"/>
      <c r="E969" s="179" t="n"/>
      <c r="F969" s="180" t="b">
        <v>0</v>
      </c>
      <c r="G969" s="179" t="n"/>
      <c r="H969" s="173" t="n"/>
      <c r="I969" s="173" t="n"/>
      <c r="J969" s="181" t="inlineStr">
        <is>
          <t>Família</t>
        </is>
      </c>
      <c r="K969" s="178" t="n"/>
      <c r="L969" s="178" t="n"/>
      <c r="M969" s="179" t="n"/>
      <c r="N969" s="180" t="b">
        <v>0</v>
      </c>
      <c r="O969" s="179" t="n"/>
      <c r="P969" s="173" t="n"/>
    </row>
    <row r="970" ht="18.75" customHeight="1">
      <c r="A970" s="173" t="n"/>
      <c r="B970" s="177" t="inlineStr">
        <is>
          <t>NOME</t>
        </is>
      </c>
      <c r="C970" s="178" t="n"/>
      <c r="D970" s="178" t="n"/>
      <c r="E970" s="178" t="n"/>
      <c r="F970" s="178" t="n"/>
      <c r="G970" s="179" t="n"/>
      <c r="H970" s="173" t="n"/>
      <c r="I970" s="173" t="n"/>
      <c r="J970" s="177" t="inlineStr">
        <is>
          <t>NOME</t>
        </is>
      </c>
      <c r="K970" s="178" t="n"/>
      <c r="L970" s="178" t="n"/>
      <c r="M970" s="178" t="n"/>
      <c r="N970" s="178" t="n"/>
      <c r="O970" s="179" t="n"/>
      <c r="P970" s="173" t="n"/>
    </row>
    <row r="971" ht="18.75" customHeight="1">
      <c r="A971" s="173" t="n"/>
      <c r="B971" s="181" t="n"/>
      <c r="C971" s="178" t="n"/>
      <c r="D971" s="178" t="n"/>
      <c r="E971" s="178" t="n"/>
      <c r="F971" s="178" t="n"/>
      <c r="G971" s="179" t="n"/>
      <c r="H971" s="173" t="n"/>
      <c r="I971" s="173" t="n"/>
      <c r="J971" s="181" t="n"/>
      <c r="K971" s="178" t="n"/>
      <c r="L971" s="178" t="n"/>
      <c r="M971" s="178" t="n"/>
      <c r="N971" s="178" t="n"/>
      <c r="O971" s="179" t="n"/>
      <c r="P971" s="173" t="n"/>
    </row>
    <row r="972" ht="18.75" customHeight="1">
      <c r="A972" s="173" t="n"/>
      <c r="B972" s="177" t="inlineStr">
        <is>
          <t>ESTADO</t>
        </is>
      </c>
      <c r="C972" s="178" t="n"/>
      <c r="D972" s="179" t="n"/>
      <c r="E972" s="181" t="inlineStr">
        <is>
          <t>Neutra</t>
        </is>
      </c>
      <c r="F972" s="178" t="n"/>
      <c r="G972" s="179" t="n"/>
      <c r="H972" s="173" t="n"/>
      <c r="I972" s="173" t="n"/>
      <c r="J972" s="177" t="inlineStr">
        <is>
          <t>ESTADO</t>
        </is>
      </c>
      <c r="K972" s="178" t="n"/>
      <c r="L972" s="179" t="n"/>
      <c r="M972" s="181" t="inlineStr">
        <is>
          <t>Neutra</t>
        </is>
      </c>
      <c r="N972" s="178" t="n"/>
      <c r="O972" s="179" t="n"/>
      <c r="P972" s="173" t="n"/>
    </row>
    <row r="973" ht="18.75" customHeight="1">
      <c r="A973" s="173" t="n"/>
      <c r="B973" s="177" t="inlineStr">
        <is>
          <t>DESCRIÇÃO</t>
        </is>
      </c>
      <c r="C973" s="178" t="n"/>
      <c r="D973" s="178" t="n"/>
      <c r="E973" s="178" t="n"/>
      <c r="F973" s="178" t="n"/>
      <c r="G973" s="179" t="n"/>
      <c r="H973" s="173" t="n"/>
      <c r="I973" s="173" t="n"/>
      <c r="J973" s="177" t="inlineStr">
        <is>
          <t>DESCRIÇÃO</t>
        </is>
      </c>
      <c r="K973" s="178" t="n"/>
      <c r="L973" s="178" t="n"/>
      <c r="M973" s="178" t="n"/>
      <c r="N973" s="178" t="n"/>
      <c r="O973" s="179" t="n"/>
      <c r="P973" s="173" t="n"/>
    </row>
    <row r="974" ht="18.75" customHeight="1">
      <c r="A974" s="173" t="n"/>
      <c r="B974" s="183" t="n"/>
      <c r="C974" s="184" t="n"/>
      <c r="D974" s="184" t="n"/>
      <c r="E974" s="184" t="n"/>
      <c r="F974" s="184" t="n"/>
      <c r="G974" s="185" t="n"/>
      <c r="H974" s="173" t="n"/>
      <c r="I974" s="173" t="n"/>
      <c r="J974" s="183" t="n"/>
      <c r="K974" s="184" t="n"/>
      <c r="L974" s="184" t="n"/>
      <c r="M974" s="184" t="n"/>
      <c r="N974" s="184" t="n"/>
      <c r="O974" s="185" t="n"/>
      <c r="P974" s="173" t="n"/>
    </row>
    <row r="975" ht="18.75" customHeight="1">
      <c r="A975" s="173" t="n"/>
      <c r="B975" s="186" t="n"/>
      <c r="G975" s="187" t="n"/>
      <c r="H975" s="173" t="n"/>
      <c r="I975" s="173" t="n"/>
      <c r="J975" s="186" t="n"/>
      <c r="O975" s="187" t="n"/>
      <c r="P975" s="173" t="n"/>
    </row>
    <row r="976" ht="18.75" customHeight="1">
      <c r="A976" s="173" t="n"/>
      <c r="B976" s="186" t="n"/>
      <c r="G976" s="187" t="n"/>
      <c r="H976" s="173" t="n"/>
      <c r="I976" s="173" t="n"/>
      <c r="J976" s="186" t="n"/>
      <c r="O976" s="187" t="n"/>
      <c r="P976" s="173" t="n"/>
    </row>
    <row r="977" ht="18.75" customHeight="1">
      <c r="A977" s="173" t="n"/>
      <c r="B977" s="188" t="n"/>
      <c r="C977" s="189" t="n"/>
      <c r="D977" s="189" t="n"/>
      <c r="E977" s="189" t="n"/>
      <c r="F977" s="189" t="n"/>
      <c r="G977" s="190" t="n"/>
      <c r="H977" s="173" t="n"/>
      <c r="I977" s="173" t="n"/>
      <c r="J977" s="188" t="n"/>
      <c r="K977" s="189" t="n"/>
      <c r="L977" s="189" t="n"/>
      <c r="M977" s="189" t="n"/>
      <c r="N977" s="189" t="n"/>
      <c r="O977" s="190" t="n"/>
      <c r="P977" s="173" t="n"/>
    </row>
    <row r="978" ht="18.75" customHeight="1">
      <c r="A978" s="173" t="n"/>
      <c r="B978" s="173" t="n"/>
      <c r="C978" s="173" t="n"/>
      <c r="D978" s="173" t="n"/>
      <c r="E978" s="173" t="n"/>
      <c r="F978" s="173" t="n"/>
      <c r="G978" s="173" t="n"/>
      <c r="H978" s="173" t="n"/>
      <c r="I978" s="173" t="n"/>
      <c r="J978" s="173" t="n"/>
      <c r="K978" s="173" t="n"/>
      <c r="L978" s="173" t="n"/>
      <c r="M978" s="173" t="n"/>
      <c r="N978" s="173" t="n"/>
      <c r="O978" s="173" t="n"/>
      <c r="P978" s="173" t="n"/>
    </row>
    <row r="979" ht="18.75" customHeight="1">
      <c r="A979" s="173" t="n"/>
      <c r="B979" s="175">
        <f>IF('DADOS_CRIACAO'!$F$6="","","⚠ "&amp;'DADOS_CRIACAO'!$F$6)</f>
        <v/>
      </c>
      <c r="H979" s="173" t="n"/>
      <c r="I979" s="173" t="n"/>
      <c r="J979" s="175">
        <f>IF('DADOS_CRIACAO'!$F$7="","","⚠ "&amp;'DADOS_CRIACAO'!$F$7)</f>
        <v/>
      </c>
      <c r="P979" s="173" t="n"/>
    </row>
    <row r="980" ht="18.75" customHeight="1">
      <c r="A980" s="173" t="n"/>
      <c r="B980" s="173" t="n"/>
      <c r="C980" s="173" t="n"/>
      <c r="D980" s="173" t="n"/>
      <c r="E980" s="173" t="n"/>
      <c r="F980" s="173" t="n"/>
      <c r="G980" s="173" t="n"/>
      <c r="H980" s="173" t="n"/>
      <c r="I980" s="173" t="n"/>
      <c r="J980" s="173" t="n"/>
      <c r="K980" s="173" t="n"/>
      <c r="L980" s="173" t="n"/>
      <c r="M980" s="173" t="n"/>
      <c r="N980" s="173" t="n"/>
      <c r="O980" s="173" t="n"/>
      <c r="P980" s="173" t="n"/>
    </row>
    <row r="981" ht="18.75" customHeight="1">
      <c r="A981" s="173" t="n"/>
      <c r="B981" s="176" t="inlineStr">
        <is>
          <t>FAMÍLIA · 7</t>
        </is>
      </c>
      <c r="H981" s="173" t="n"/>
      <c r="I981" s="173" t="n"/>
      <c r="J981" s="176" t="inlineStr">
        <is>
          <t>FAMÍLIA · 8</t>
        </is>
      </c>
      <c r="P981" s="173" t="n"/>
    </row>
    <row r="982" ht="18.75" customHeight="1">
      <c r="A982" s="173" t="n"/>
      <c r="B982" s="177" t="inlineStr">
        <is>
          <t>TIPO</t>
        </is>
      </c>
      <c r="C982" s="178" t="n"/>
      <c r="D982" s="178" t="n"/>
      <c r="E982" s="179" t="n"/>
      <c r="F982" s="177" t="inlineStr">
        <is>
          <t>MESTRE VIU</t>
        </is>
      </c>
      <c r="G982" s="179" t="n"/>
      <c r="H982" s="173" t="n"/>
      <c r="I982" s="173" t="n"/>
      <c r="J982" s="177" t="inlineStr">
        <is>
          <t>TIPO</t>
        </is>
      </c>
      <c r="K982" s="178" t="n"/>
      <c r="L982" s="178" t="n"/>
      <c r="M982" s="179" t="n"/>
      <c r="N982" s="177" t="inlineStr">
        <is>
          <t>MESTRE VIU</t>
        </is>
      </c>
      <c r="O982" s="179" t="n"/>
      <c r="P982" s="173" t="n"/>
    </row>
    <row r="983" ht="18.75" customHeight="1">
      <c r="A983" s="173" t="n"/>
      <c r="B983" s="181" t="inlineStr">
        <is>
          <t>Família</t>
        </is>
      </c>
      <c r="C983" s="178" t="n"/>
      <c r="D983" s="178" t="n"/>
      <c r="E983" s="179" t="n"/>
      <c r="F983" s="180" t="b">
        <v>0</v>
      </c>
      <c r="G983" s="179" t="n"/>
      <c r="H983" s="173" t="n"/>
      <c r="I983" s="173" t="n"/>
      <c r="J983" s="181" t="inlineStr">
        <is>
          <t>Família</t>
        </is>
      </c>
      <c r="K983" s="178" t="n"/>
      <c r="L983" s="178" t="n"/>
      <c r="M983" s="179" t="n"/>
      <c r="N983" s="180" t="b">
        <v>0</v>
      </c>
      <c r="O983" s="179" t="n"/>
      <c r="P983" s="173" t="n"/>
    </row>
    <row r="984" ht="18.75" customHeight="1">
      <c r="A984" s="173" t="n"/>
      <c r="B984" s="177" t="inlineStr">
        <is>
          <t>NOME</t>
        </is>
      </c>
      <c r="C984" s="178" t="n"/>
      <c r="D984" s="178" t="n"/>
      <c r="E984" s="178" t="n"/>
      <c r="F984" s="178" t="n"/>
      <c r="G984" s="179" t="n"/>
      <c r="H984" s="173" t="n"/>
      <c r="I984" s="173" t="n"/>
      <c r="J984" s="177" t="inlineStr">
        <is>
          <t>NOME</t>
        </is>
      </c>
      <c r="K984" s="178" t="n"/>
      <c r="L984" s="178" t="n"/>
      <c r="M984" s="178" t="n"/>
      <c r="N984" s="178" t="n"/>
      <c r="O984" s="179" t="n"/>
      <c r="P984" s="173" t="n"/>
    </row>
    <row r="985" ht="18.75" customHeight="1">
      <c r="A985" s="173" t="n"/>
      <c r="B985" s="181" t="n"/>
      <c r="C985" s="178" t="n"/>
      <c r="D985" s="178" t="n"/>
      <c r="E985" s="178" t="n"/>
      <c r="F985" s="178" t="n"/>
      <c r="G985" s="179" t="n"/>
      <c r="H985" s="173" t="n"/>
      <c r="I985" s="173" t="n"/>
      <c r="J985" s="181" t="n"/>
      <c r="K985" s="178" t="n"/>
      <c r="L985" s="178" t="n"/>
      <c r="M985" s="178" t="n"/>
      <c r="N985" s="178" t="n"/>
      <c r="O985" s="179" t="n"/>
      <c r="P985" s="173" t="n"/>
    </row>
    <row r="986" ht="18.75" customHeight="1">
      <c r="A986" s="173" t="n"/>
      <c r="B986" s="177" t="inlineStr">
        <is>
          <t>ESTADO</t>
        </is>
      </c>
      <c r="C986" s="178" t="n"/>
      <c r="D986" s="179" t="n"/>
      <c r="E986" s="181" t="inlineStr">
        <is>
          <t>Neutra</t>
        </is>
      </c>
      <c r="F986" s="178" t="n"/>
      <c r="G986" s="179" t="n"/>
      <c r="H986" s="173" t="n"/>
      <c r="I986" s="173" t="n"/>
      <c r="J986" s="177" t="inlineStr">
        <is>
          <t>ESTADO</t>
        </is>
      </c>
      <c r="K986" s="178" t="n"/>
      <c r="L986" s="179" t="n"/>
      <c r="M986" s="181" t="inlineStr">
        <is>
          <t>Neutra</t>
        </is>
      </c>
      <c r="N986" s="178" t="n"/>
      <c r="O986" s="179" t="n"/>
      <c r="P986" s="173" t="n"/>
    </row>
    <row r="987" ht="18.75" customHeight="1">
      <c r="A987" s="173" t="n"/>
      <c r="B987" s="177" t="inlineStr">
        <is>
          <t>DESCRIÇÃO</t>
        </is>
      </c>
      <c r="C987" s="178" t="n"/>
      <c r="D987" s="178" t="n"/>
      <c r="E987" s="178" t="n"/>
      <c r="F987" s="178" t="n"/>
      <c r="G987" s="179" t="n"/>
      <c r="H987" s="173" t="n"/>
      <c r="I987" s="173" t="n"/>
      <c r="J987" s="177" t="inlineStr">
        <is>
          <t>DESCRIÇÃO</t>
        </is>
      </c>
      <c r="K987" s="178" t="n"/>
      <c r="L987" s="178" t="n"/>
      <c r="M987" s="178" t="n"/>
      <c r="N987" s="178" t="n"/>
      <c r="O987" s="179" t="n"/>
      <c r="P987" s="173" t="n"/>
    </row>
    <row r="988" ht="18.75" customHeight="1">
      <c r="A988" s="173" t="n"/>
      <c r="B988" s="183" t="n"/>
      <c r="C988" s="184" t="n"/>
      <c r="D988" s="184" t="n"/>
      <c r="E988" s="184" t="n"/>
      <c r="F988" s="184" t="n"/>
      <c r="G988" s="185" t="n"/>
      <c r="H988" s="173" t="n"/>
      <c r="I988" s="173" t="n"/>
      <c r="J988" s="183" t="n"/>
      <c r="K988" s="184" t="n"/>
      <c r="L988" s="184" t="n"/>
      <c r="M988" s="184" t="n"/>
      <c r="N988" s="184" t="n"/>
      <c r="O988" s="185" t="n"/>
      <c r="P988" s="173" t="n"/>
    </row>
    <row r="989" ht="18.75" customHeight="1">
      <c r="A989" s="173" t="n"/>
      <c r="B989" s="186" t="n"/>
      <c r="G989" s="187" t="n"/>
      <c r="H989" s="173" t="n"/>
      <c r="I989" s="173" t="n"/>
      <c r="J989" s="186" t="n"/>
      <c r="O989" s="187" t="n"/>
      <c r="P989" s="173" t="n"/>
    </row>
    <row r="990" ht="18.75" customHeight="1">
      <c r="A990" s="173" t="n"/>
      <c r="B990" s="186" t="n"/>
      <c r="G990" s="187" t="n"/>
      <c r="H990" s="173" t="n"/>
      <c r="I990" s="173" t="n"/>
      <c r="J990" s="186" t="n"/>
      <c r="O990" s="187" t="n"/>
      <c r="P990" s="173" t="n"/>
    </row>
    <row r="991" ht="18.75" customHeight="1">
      <c r="A991" s="173" t="n"/>
      <c r="B991" s="188" t="n"/>
      <c r="C991" s="189" t="n"/>
      <c r="D991" s="189" t="n"/>
      <c r="E991" s="189" t="n"/>
      <c r="F991" s="189" t="n"/>
      <c r="G991" s="190" t="n"/>
      <c r="H991" s="173" t="n"/>
      <c r="I991" s="173" t="n"/>
      <c r="J991" s="188" t="n"/>
      <c r="K991" s="189" t="n"/>
      <c r="L991" s="189" t="n"/>
      <c r="M991" s="189" t="n"/>
      <c r="N991" s="189" t="n"/>
      <c r="O991" s="190" t="n"/>
      <c r="P991" s="173" t="n"/>
    </row>
    <row r="992" ht="18.75" customHeight="1">
      <c r="A992" s="173" t="n"/>
      <c r="B992" s="173" t="n"/>
      <c r="C992" s="173" t="n"/>
      <c r="D992" s="173" t="n"/>
      <c r="E992" s="173" t="n"/>
      <c r="F992" s="173" t="n"/>
      <c r="G992" s="173" t="n"/>
      <c r="H992" s="173" t="n"/>
      <c r="I992" s="173" t="n"/>
      <c r="J992" s="173" t="n"/>
      <c r="K992" s="173" t="n"/>
      <c r="L992" s="173" t="n"/>
      <c r="M992" s="173" t="n"/>
      <c r="N992" s="173" t="n"/>
      <c r="O992" s="173" t="n"/>
      <c r="P992" s="173" t="n"/>
    </row>
    <row r="993" ht="18.75" customHeight="1">
      <c r="A993" s="173" t="n"/>
      <c r="B993" s="175">
        <f>IF('DADOS_CRIACAO'!$F$8="","","⚠ "&amp;'DADOS_CRIACAO'!$F$8)</f>
        <v/>
      </c>
      <c r="H993" s="173" t="n"/>
      <c r="I993" s="173" t="n"/>
      <c r="J993" s="175">
        <f>IF('DADOS_CRIACAO'!$F$9="","","⚠ "&amp;'DADOS_CRIACAO'!$F$9)</f>
        <v/>
      </c>
      <c r="P993" s="173" t="n"/>
    </row>
    <row r="994" ht="18.75" customHeight="1">
      <c r="A994" s="173" t="n"/>
      <c r="B994" s="173" t="n"/>
      <c r="C994" s="173" t="n"/>
      <c r="D994" s="173" t="n"/>
      <c r="E994" s="173" t="n"/>
      <c r="F994" s="173" t="n"/>
      <c r="G994" s="173" t="n"/>
      <c r="H994" s="173" t="n"/>
      <c r="I994" s="173" t="n"/>
      <c r="J994" s="173" t="n"/>
      <c r="K994" s="173" t="n"/>
      <c r="L994" s="173" t="n"/>
      <c r="M994" s="173" t="n"/>
      <c r="N994" s="173" t="n"/>
      <c r="O994" s="173" t="n"/>
      <c r="P994" s="173" t="n"/>
    </row>
    <row r="995" ht="18.75" customHeight="1">
      <c r="A995" s="173" t="n"/>
      <c r="B995" s="176" t="inlineStr">
        <is>
          <t>FAMÍLIA · 9</t>
        </is>
      </c>
      <c r="H995" s="173" t="n"/>
      <c r="I995" s="173" t="n"/>
      <c r="J995" s="176" t="inlineStr">
        <is>
          <t>FAMÍLIA · 10</t>
        </is>
      </c>
      <c r="P995" s="173" t="n"/>
    </row>
    <row r="996" ht="18.75" customHeight="1">
      <c r="A996" s="173" t="n"/>
      <c r="B996" s="177" t="inlineStr">
        <is>
          <t>TIPO</t>
        </is>
      </c>
      <c r="C996" s="178" t="n"/>
      <c r="D996" s="178" t="n"/>
      <c r="E996" s="179" t="n"/>
      <c r="F996" s="177" t="inlineStr">
        <is>
          <t>MESTRE VIU</t>
        </is>
      </c>
      <c r="G996" s="179" t="n"/>
      <c r="H996" s="173" t="n"/>
      <c r="I996" s="173" t="n"/>
      <c r="J996" s="177" t="inlineStr">
        <is>
          <t>TIPO</t>
        </is>
      </c>
      <c r="K996" s="178" t="n"/>
      <c r="L996" s="178" t="n"/>
      <c r="M996" s="179" t="n"/>
      <c r="N996" s="177" t="inlineStr">
        <is>
          <t>MESTRE VIU</t>
        </is>
      </c>
      <c r="O996" s="179" t="n"/>
      <c r="P996" s="173" t="n"/>
    </row>
    <row r="997" ht="18.75" customHeight="1">
      <c r="A997" s="173" t="n"/>
      <c r="B997" s="181" t="inlineStr">
        <is>
          <t>Família</t>
        </is>
      </c>
      <c r="C997" s="178" t="n"/>
      <c r="D997" s="178" t="n"/>
      <c r="E997" s="179" t="n"/>
      <c r="F997" s="180" t="b">
        <v>0</v>
      </c>
      <c r="G997" s="179" t="n"/>
      <c r="H997" s="173" t="n"/>
      <c r="I997" s="173" t="n"/>
      <c r="J997" s="181" t="inlineStr">
        <is>
          <t>Família</t>
        </is>
      </c>
      <c r="K997" s="178" t="n"/>
      <c r="L997" s="178" t="n"/>
      <c r="M997" s="179" t="n"/>
      <c r="N997" s="180" t="b">
        <v>0</v>
      </c>
      <c r="O997" s="179" t="n"/>
      <c r="P997" s="173" t="n"/>
    </row>
    <row r="998" ht="18.75" customHeight="1">
      <c r="A998" s="173" t="n"/>
      <c r="B998" s="177" t="inlineStr">
        <is>
          <t>NOME</t>
        </is>
      </c>
      <c r="C998" s="178" t="n"/>
      <c r="D998" s="178" t="n"/>
      <c r="E998" s="178" t="n"/>
      <c r="F998" s="178" t="n"/>
      <c r="G998" s="179" t="n"/>
      <c r="H998" s="173" t="n"/>
      <c r="I998" s="173" t="n"/>
      <c r="J998" s="177" t="inlineStr">
        <is>
          <t>NOME</t>
        </is>
      </c>
      <c r="K998" s="178" t="n"/>
      <c r="L998" s="178" t="n"/>
      <c r="M998" s="178" t="n"/>
      <c r="N998" s="178" t="n"/>
      <c r="O998" s="179" t="n"/>
      <c r="P998" s="173" t="n"/>
    </row>
    <row r="999" ht="18.75" customHeight="1">
      <c r="A999" s="173" t="n"/>
      <c r="B999" s="181" t="n"/>
      <c r="C999" s="178" t="n"/>
      <c r="D999" s="178" t="n"/>
      <c r="E999" s="178" t="n"/>
      <c r="F999" s="178" t="n"/>
      <c r="G999" s="179" t="n"/>
      <c r="H999" s="173" t="n"/>
      <c r="I999" s="173" t="n"/>
      <c r="J999" s="181" t="n"/>
      <c r="K999" s="178" t="n"/>
      <c r="L999" s="178" t="n"/>
      <c r="M999" s="178" t="n"/>
      <c r="N999" s="178" t="n"/>
      <c r="O999" s="179" t="n"/>
      <c r="P999" s="173" t="n"/>
    </row>
    <row r="1000" ht="18.75" customHeight="1">
      <c r="A1000" s="173" t="n"/>
      <c r="B1000" s="177" t="inlineStr">
        <is>
          <t>ESTADO</t>
        </is>
      </c>
      <c r="C1000" s="178" t="n"/>
      <c r="D1000" s="179" t="n"/>
      <c r="E1000" s="181" t="inlineStr">
        <is>
          <t>Neutra</t>
        </is>
      </c>
      <c r="F1000" s="178" t="n"/>
      <c r="G1000" s="179" t="n"/>
      <c r="H1000" s="173" t="n"/>
      <c r="I1000" s="173" t="n"/>
      <c r="J1000" s="177" t="inlineStr">
        <is>
          <t>ESTADO</t>
        </is>
      </c>
      <c r="K1000" s="178" t="n"/>
      <c r="L1000" s="179" t="n"/>
      <c r="M1000" s="181" t="inlineStr">
        <is>
          <t>Neutra</t>
        </is>
      </c>
      <c r="N1000" s="178" t="n"/>
      <c r="O1000" s="179" t="n"/>
      <c r="P1000" s="173" t="n"/>
    </row>
    <row r="1001" ht="18.75" customHeight="1">
      <c r="A1001" s="173" t="n"/>
      <c r="B1001" s="177" t="inlineStr">
        <is>
          <t>DESCRIÇÃO</t>
        </is>
      </c>
      <c r="C1001" s="178" t="n"/>
      <c r="D1001" s="178" t="n"/>
      <c r="E1001" s="178" t="n"/>
      <c r="F1001" s="178" t="n"/>
      <c r="G1001" s="179" t="n"/>
      <c r="H1001" s="173" t="n"/>
      <c r="I1001" s="173" t="n"/>
      <c r="J1001" s="177" t="inlineStr">
        <is>
          <t>DESCRIÇÃO</t>
        </is>
      </c>
      <c r="K1001" s="178" t="n"/>
      <c r="L1001" s="178" t="n"/>
      <c r="M1001" s="178" t="n"/>
      <c r="N1001" s="178" t="n"/>
      <c r="O1001" s="179" t="n"/>
      <c r="P1001" s="173" t="n"/>
    </row>
    <row r="1002" ht="18.75" customHeight="1">
      <c r="A1002" s="173" t="n"/>
      <c r="B1002" s="183" t="n"/>
      <c r="C1002" s="184" t="n"/>
      <c r="D1002" s="184" t="n"/>
      <c r="E1002" s="184" t="n"/>
      <c r="F1002" s="184" t="n"/>
      <c r="G1002" s="185" t="n"/>
      <c r="H1002" s="173" t="n"/>
      <c r="I1002" s="173" t="n"/>
      <c r="J1002" s="183" t="n"/>
      <c r="K1002" s="184" t="n"/>
      <c r="L1002" s="184" t="n"/>
      <c r="M1002" s="184" t="n"/>
      <c r="N1002" s="184" t="n"/>
      <c r="O1002" s="185" t="n"/>
      <c r="P1002" s="173" t="n"/>
    </row>
    <row r="1003" ht="18.75" customHeight="1">
      <c r="A1003" s="173" t="n"/>
      <c r="B1003" s="186" t="n"/>
      <c r="G1003" s="187" t="n"/>
      <c r="H1003" s="173" t="n"/>
      <c r="I1003" s="173" t="n"/>
      <c r="J1003" s="186" t="n"/>
      <c r="O1003" s="187" t="n"/>
      <c r="P1003" s="173" t="n"/>
    </row>
    <row r="1004" ht="18.75" customHeight="1">
      <c r="A1004" s="173" t="n"/>
      <c r="B1004" s="186" t="n"/>
      <c r="G1004" s="187" t="n"/>
      <c r="H1004" s="173" t="n"/>
      <c r="I1004" s="173" t="n"/>
      <c r="J1004" s="186" t="n"/>
      <c r="O1004" s="187" t="n"/>
      <c r="P1004" s="173" t="n"/>
    </row>
    <row r="1005" ht="18.75" customHeight="1">
      <c r="A1005" s="173" t="n"/>
      <c r="B1005" s="188" t="n"/>
      <c r="C1005" s="189" t="n"/>
      <c r="D1005" s="189" t="n"/>
      <c r="E1005" s="189" t="n"/>
      <c r="F1005" s="189" t="n"/>
      <c r="G1005" s="190" t="n"/>
      <c r="H1005" s="173" t="n"/>
      <c r="I1005" s="173" t="n"/>
      <c r="J1005" s="188" t="n"/>
      <c r="K1005" s="189" t="n"/>
      <c r="L1005" s="189" t="n"/>
      <c r="M1005" s="189" t="n"/>
      <c r="N1005" s="189" t="n"/>
      <c r="O1005" s="190" t="n"/>
      <c r="P1005" s="173" t="n"/>
    </row>
    <row r="1006" ht="18.75" customHeight="1">
      <c r="A1006" s="173" t="n"/>
      <c r="B1006" s="173" t="n"/>
      <c r="C1006" s="173" t="n"/>
      <c r="D1006" s="173" t="n"/>
      <c r="E1006" s="173" t="n"/>
      <c r="F1006" s="173" t="n"/>
      <c r="G1006" s="173" t="n"/>
      <c r="H1006" s="173" t="n"/>
      <c r="I1006" s="173" t="n"/>
      <c r="J1006" s="173" t="n"/>
      <c r="K1006" s="173" t="n"/>
      <c r="L1006" s="173" t="n"/>
      <c r="M1006" s="173" t="n"/>
      <c r="N1006" s="173" t="n"/>
      <c r="O1006" s="173" t="n"/>
      <c r="P1006" s="173" t="n"/>
    </row>
    <row r="1007" ht="18.75" customHeight="1">
      <c r="A1007" s="173" t="n"/>
      <c r="B1007" s="175">
        <f>IF('DADOS_CRIACAO'!$F$10="","","⚠ "&amp;'DADOS_CRIACAO'!$F$10)</f>
        <v/>
      </c>
      <c r="H1007" s="173" t="n"/>
      <c r="I1007" s="173" t="n"/>
      <c r="J1007" s="175">
        <f>IF('DADOS_CRIACAO'!$F$11="","","⚠ "&amp;'DADOS_CRIACAO'!$F$11)</f>
        <v/>
      </c>
      <c r="P1007" s="173" t="n"/>
    </row>
    <row r="1009" ht="18.75" customHeight="1">
      <c r="B1009" s="176" t="inlineStr">
        <is>
          <t>MELHORIAS CUSTOM</t>
        </is>
      </c>
    </row>
    <row r="1010" ht="18.75" customHeight="1"/>
    <row r="1011" ht="18.75" customHeight="1">
      <c r="B1011" s="176" t="inlineStr">
        <is>
          <t>MELHORIA · 1</t>
        </is>
      </c>
      <c r="J1011" s="176" t="inlineStr">
        <is>
          <t>MELHORIA · 2</t>
        </is>
      </c>
    </row>
    <row r="1012" ht="18.75" customHeight="1">
      <c r="B1012" s="177" t="inlineStr">
        <is>
          <t>TIPO</t>
        </is>
      </c>
      <c r="C1012" s="178" t="n"/>
      <c r="D1012" s="178" t="n"/>
      <c r="E1012" s="179" t="n"/>
      <c r="F1012" s="177" t="inlineStr">
        <is>
          <t>MESTRE VIU</t>
        </is>
      </c>
      <c r="G1012" s="179" t="n"/>
      <c r="J1012" s="177" t="inlineStr">
        <is>
          <t>TIPO</t>
        </is>
      </c>
      <c r="K1012" s="178" t="n"/>
      <c r="L1012" s="178" t="n"/>
      <c r="M1012" s="179" t="n"/>
      <c r="N1012" s="177" t="inlineStr">
        <is>
          <t>MESTRE VIU</t>
        </is>
      </c>
      <c r="O1012" s="179" t="n"/>
    </row>
    <row r="1013" ht="18.75" customHeight="1">
      <c r="B1013" s="181" t="inlineStr">
        <is>
          <t>Melhoria</t>
        </is>
      </c>
      <c r="C1013" s="178" t="n"/>
      <c r="D1013" s="178" t="n"/>
      <c r="E1013" s="179" t="n"/>
      <c r="F1013" s="180" t="b">
        <v>0</v>
      </c>
      <c r="G1013" s="179" t="n"/>
      <c r="J1013" s="181" t="inlineStr">
        <is>
          <t>Melhoria</t>
        </is>
      </c>
      <c r="K1013" s="178" t="n"/>
      <c r="L1013" s="178" t="n"/>
      <c r="M1013" s="179" t="n"/>
      <c r="N1013" s="180" t="b">
        <v>0</v>
      </c>
      <c r="O1013" s="179" t="n"/>
    </row>
    <row r="1014" ht="18.75" customHeight="1">
      <c r="B1014" s="177" t="inlineStr">
        <is>
          <t>NOME</t>
        </is>
      </c>
      <c r="C1014" s="178" t="n"/>
      <c r="D1014" s="178" t="n"/>
      <c r="E1014" s="178" t="n"/>
      <c r="F1014" s="178" t="n"/>
      <c r="G1014" s="179" t="n"/>
      <c r="J1014" s="177" t="inlineStr">
        <is>
          <t>NOME</t>
        </is>
      </c>
      <c r="K1014" s="178" t="n"/>
      <c r="L1014" s="178" t="n"/>
      <c r="M1014" s="178" t="n"/>
      <c r="N1014" s="178" t="n"/>
      <c r="O1014" s="179" t="n"/>
    </row>
    <row r="1015" ht="18.75" customHeight="1">
      <c r="B1015" s="181" t="n"/>
      <c r="C1015" s="178" t="n"/>
      <c r="D1015" s="178" t="n"/>
      <c r="E1015" s="178" t="n"/>
      <c r="F1015" s="178" t="n"/>
      <c r="G1015" s="179" t="n"/>
      <c r="J1015" s="181" t="n"/>
      <c r="K1015" s="178" t="n"/>
      <c r="L1015" s="178" t="n"/>
      <c r="M1015" s="178" t="n"/>
      <c r="N1015" s="178" t="n"/>
      <c r="O1015" s="179" t="n"/>
    </row>
    <row r="1016" ht="18.75" customHeight="1">
      <c r="B1016" s="177" t="inlineStr">
        <is>
          <t>BASE DO LIVRO</t>
        </is>
      </c>
      <c r="C1016" s="178" t="n"/>
      <c r="D1016" s="179" t="n"/>
      <c r="E1016" s="181" t="inlineStr">
        <is>
          <t>Nenhuma</t>
        </is>
      </c>
      <c r="F1016" s="178" t="n"/>
      <c r="G1016" s="179" t="n"/>
      <c r="J1016" s="177" t="inlineStr">
        <is>
          <t>BASE DO LIVRO</t>
        </is>
      </c>
      <c r="K1016" s="178" t="n"/>
      <c r="L1016" s="179" t="n"/>
      <c r="M1016" s="181" t="inlineStr">
        <is>
          <t>Nenhuma</t>
        </is>
      </c>
      <c r="N1016" s="178" t="n"/>
      <c r="O1016" s="179" t="n"/>
    </row>
    <row r="1017" ht="18.75" customHeight="1">
      <c r="B1017" s="177" t="inlineStr">
        <is>
          <t>FAMÍLIA</t>
        </is>
      </c>
      <c r="C1017" s="178" t="n"/>
      <c r="D1017" s="179" t="n"/>
      <c r="E1017" s="181" t="n"/>
      <c r="F1017" s="178" t="n"/>
      <c r="G1017" s="179" t="n"/>
      <c r="J1017" s="177" t="inlineStr">
        <is>
          <t>FAMÍLIA</t>
        </is>
      </c>
      <c r="K1017" s="178" t="n"/>
      <c r="L1017" s="179" t="n"/>
      <c r="M1017" s="181" t="n"/>
      <c r="N1017" s="178" t="n"/>
      <c r="O1017" s="179" t="n"/>
    </row>
    <row r="1018" ht="18.75" customHeight="1">
      <c r="B1018" s="177" t="inlineStr">
        <is>
          <t>PESO</t>
        </is>
      </c>
      <c r="C1018" s="178" t="n"/>
      <c r="D1018" s="179" t="n"/>
      <c r="E1018" s="181" t="n"/>
      <c r="F1018" s="178" t="n"/>
      <c r="G1018" s="179" t="n"/>
      <c r="J1018" s="177" t="inlineStr">
        <is>
          <t>PESO</t>
        </is>
      </c>
      <c r="K1018" s="178" t="n"/>
      <c r="L1018" s="179" t="n"/>
      <c r="M1018" s="181" t="n"/>
      <c r="N1018" s="178" t="n"/>
      <c r="O1018" s="179" t="n"/>
    </row>
    <row r="1019" ht="18.75" customHeight="1">
      <c r="B1019" s="177" t="inlineStr">
        <is>
          <t>EXIGE TR</t>
        </is>
      </c>
      <c r="C1019" s="178" t="n"/>
      <c r="D1019" s="179" t="n"/>
      <c r="E1019" s="181" t="n"/>
      <c r="F1019" s="178" t="n"/>
      <c r="G1019" s="179" t="n"/>
      <c r="J1019" s="177" t="inlineStr">
        <is>
          <t>EXIGE TR</t>
        </is>
      </c>
      <c r="K1019" s="178" t="n"/>
      <c r="L1019" s="179" t="n"/>
      <c r="M1019" s="181" t="n"/>
      <c r="N1019" s="178" t="n"/>
      <c r="O1019" s="179" t="n"/>
    </row>
    <row r="1020" ht="18.75" customHeight="1"/>
    <row r="1021" ht="18.75" customHeight="1">
      <c r="B1021" s="177" t="inlineStr">
        <is>
          <t>REQUISITOS E REPETIÇÃO</t>
        </is>
      </c>
      <c r="C1021" s="178" t="n"/>
      <c r="D1021" s="178" t="n"/>
      <c r="E1021" s="178" t="n"/>
      <c r="F1021" s="178" t="n"/>
      <c r="G1021" s="179" t="n"/>
      <c r="J1021" s="177" t="inlineStr">
        <is>
          <t>REQUISITOS E REPETIÇÃO</t>
        </is>
      </c>
      <c r="K1021" s="178" t="n"/>
      <c r="L1021" s="178" t="n"/>
      <c r="M1021" s="178" t="n"/>
      <c r="N1021" s="178" t="n"/>
      <c r="O1021" s="179" t="n"/>
    </row>
    <row r="1022" ht="18.75" customHeight="1">
      <c r="B1022" s="183" t="n"/>
      <c r="C1022" s="184" t="n"/>
      <c r="D1022" s="184" t="n"/>
      <c r="E1022" s="184" t="n"/>
      <c r="F1022" s="184" t="n"/>
      <c r="G1022" s="185" t="n"/>
      <c r="J1022" s="183" t="n"/>
      <c r="K1022" s="184" t="n"/>
      <c r="L1022" s="184" t="n"/>
      <c r="M1022" s="184" t="n"/>
      <c r="N1022" s="184" t="n"/>
      <c r="O1022" s="185" t="n"/>
    </row>
    <row r="1023" ht="18.75" customHeight="1">
      <c r="B1023" s="186" t="n"/>
      <c r="G1023" s="187" t="n"/>
      <c r="J1023" s="186" t="n"/>
      <c r="O1023" s="187" t="n"/>
    </row>
    <row r="1024" ht="18.75" customHeight="1">
      <c r="B1024" s="186" t="n"/>
      <c r="G1024" s="187" t="n"/>
      <c r="J1024" s="186" t="n"/>
      <c r="O1024" s="187" t="n"/>
    </row>
    <row r="1025" ht="18.75" customHeight="1">
      <c r="B1025" s="188" t="n"/>
      <c r="C1025" s="189" t="n"/>
      <c r="D1025" s="189" t="n"/>
      <c r="E1025" s="189" t="n"/>
      <c r="F1025" s="189" t="n"/>
      <c r="G1025" s="190" t="n"/>
      <c r="J1025" s="188" t="n"/>
      <c r="K1025" s="189" t="n"/>
      <c r="L1025" s="189" t="n"/>
      <c r="M1025" s="189" t="n"/>
      <c r="N1025" s="189" t="n"/>
      <c r="O1025" s="190" t="n"/>
    </row>
    <row r="1026" ht="18.75" customHeight="1"/>
    <row r="1027" ht="18.75" customHeight="1">
      <c r="B1027" s="177" t="inlineStr">
        <is>
          <t>EFEITO</t>
        </is>
      </c>
      <c r="C1027" s="178" t="n"/>
      <c r="D1027" s="178" t="n"/>
      <c r="E1027" s="178" t="n"/>
      <c r="F1027" s="178" t="n"/>
      <c r="G1027" s="179" t="n"/>
      <c r="J1027" s="177" t="inlineStr">
        <is>
          <t>EFEITO</t>
        </is>
      </c>
      <c r="K1027" s="178" t="n"/>
      <c r="L1027" s="178" t="n"/>
      <c r="M1027" s="178" t="n"/>
      <c r="N1027" s="178" t="n"/>
      <c r="O1027" s="179" t="n"/>
    </row>
    <row r="1028" ht="18.75" customHeight="1">
      <c r="B1028" s="183" t="n"/>
      <c r="C1028" s="184" t="n"/>
      <c r="D1028" s="184" t="n"/>
      <c r="E1028" s="184" t="n"/>
      <c r="F1028" s="184" t="n"/>
      <c r="G1028" s="185" t="n"/>
      <c r="J1028" s="183" t="n"/>
      <c r="K1028" s="184" t="n"/>
      <c r="L1028" s="184" t="n"/>
      <c r="M1028" s="184" t="n"/>
      <c r="N1028" s="184" t="n"/>
      <c r="O1028" s="185" t="n"/>
    </row>
    <row r="1029" ht="18.75" customHeight="1">
      <c r="B1029" s="186" t="n"/>
      <c r="G1029" s="187" t="n"/>
      <c r="J1029" s="186" t="n"/>
      <c r="O1029" s="187" t="n"/>
    </row>
    <row r="1030" ht="18.75" customHeight="1">
      <c r="B1030" s="186" t="n"/>
      <c r="G1030" s="187" t="n"/>
      <c r="J1030" s="186" t="n"/>
      <c r="O1030" s="187" t="n"/>
    </row>
    <row r="1031" ht="18.75" customHeight="1">
      <c r="B1031" s="186" t="n"/>
      <c r="G1031" s="187" t="n"/>
      <c r="J1031" s="186" t="n"/>
      <c r="O1031" s="187" t="n"/>
    </row>
    <row r="1032" ht="18.75" customHeight="1">
      <c r="B1032" s="188" t="n"/>
      <c r="C1032" s="189" t="n"/>
      <c r="D1032" s="189" t="n"/>
      <c r="E1032" s="189" t="n"/>
      <c r="F1032" s="189" t="n"/>
      <c r="G1032" s="190" t="n"/>
      <c r="J1032" s="188" t="n"/>
      <c r="K1032" s="189" t="n"/>
      <c r="L1032" s="189" t="n"/>
      <c r="M1032" s="189" t="n"/>
      <c r="N1032" s="189" t="n"/>
      <c r="O1032" s="190" t="n"/>
    </row>
    <row r="1033" ht="18.75" customHeight="1"/>
    <row r="1034" ht="18.75" customHeight="1">
      <c r="B1034" s="175">
        <f>IF('DADOS_MELHORIAS'!$M$2="","","⚠ "&amp;'DADOS_MELHORIAS'!$M$2)</f>
        <v/>
      </c>
      <c r="J1034" s="175">
        <f>IF('DADOS_MELHORIAS'!$M$3="","","⚠ "&amp;'DADOS_MELHORIAS'!$M$3)</f>
        <v/>
      </c>
    </row>
    <row r="1035" ht="18.75" customHeight="1"/>
    <row r="1036" ht="18.75" customHeight="1"/>
    <row r="1037" ht="18.75" customHeight="1">
      <c r="B1037" s="176" t="inlineStr">
        <is>
          <t>MELHORIA · 3</t>
        </is>
      </c>
      <c r="J1037" s="176" t="inlineStr">
        <is>
          <t>MELHORIA · 4</t>
        </is>
      </c>
    </row>
    <row r="1038" ht="18.75" customHeight="1">
      <c r="B1038" s="177" t="inlineStr">
        <is>
          <t>TIPO</t>
        </is>
      </c>
      <c r="C1038" s="178" t="n"/>
      <c r="D1038" s="178" t="n"/>
      <c r="E1038" s="179" t="n"/>
      <c r="F1038" s="177" t="inlineStr">
        <is>
          <t>MESTRE VIU</t>
        </is>
      </c>
      <c r="G1038" s="179" t="n"/>
      <c r="J1038" s="177" t="inlineStr">
        <is>
          <t>TIPO</t>
        </is>
      </c>
      <c r="K1038" s="178" t="n"/>
      <c r="L1038" s="178" t="n"/>
      <c r="M1038" s="179" t="n"/>
      <c r="N1038" s="177" t="inlineStr">
        <is>
          <t>MESTRE VIU</t>
        </is>
      </c>
      <c r="O1038" s="179" t="n"/>
    </row>
    <row r="1039" ht="18.75" customHeight="1">
      <c r="B1039" s="181" t="inlineStr">
        <is>
          <t>Melhoria</t>
        </is>
      </c>
      <c r="C1039" s="178" t="n"/>
      <c r="D1039" s="178" t="n"/>
      <c r="E1039" s="179" t="n"/>
      <c r="F1039" s="180" t="b">
        <v>0</v>
      </c>
      <c r="G1039" s="179" t="n"/>
      <c r="J1039" s="181" t="inlineStr">
        <is>
          <t>Melhoria</t>
        </is>
      </c>
      <c r="K1039" s="178" t="n"/>
      <c r="L1039" s="178" t="n"/>
      <c r="M1039" s="179" t="n"/>
      <c r="N1039" s="180" t="b">
        <v>0</v>
      </c>
      <c r="O1039" s="179" t="n"/>
    </row>
    <row r="1040" ht="18.75" customHeight="1">
      <c r="B1040" s="177" t="inlineStr">
        <is>
          <t>NOME</t>
        </is>
      </c>
      <c r="C1040" s="178" t="n"/>
      <c r="D1040" s="178" t="n"/>
      <c r="E1040" s="178" t="n"/>
      <c r="F1040" s="178" t="n"/>
      <c r="G1040" s="179" t="n"/>
      <c r="J1040" s="177" t="inlineStr">
        <is>
          <t>NOME</t>
        </is>
      </c>
      <c r="K1040" s="178" t="n"/>
      <c r="L1040" s="178" t="n"/>
      <c r="M1040" s="178" t="n"/>
      <c r="N1040" s="178" t="n"/>
      <c r="O1040" s="179" t="n"/>
    </row>
    <row r="1041" ht="18.75" customHeight="1">
      <c r="B1041" s="181" t="n"/>
      <c r="C1041" s="178" t="n"/>
      <c r="D1041" s="178" t="n"/>
      <c r="E1041" s="178" t="n"/>
      <c r="F1041" s="178" t="n"/>
      <c r="G1041" s="179" t="n"/>
      <c r="J1041" s="181" t="n"/>
      <c r="K1041" s="178" t="n"/>
      <c r="L1041" s="178" t="n"/>
      <c r="M1041" s="178" t="n"/>
      <c r="N1041" s="178" t="n"/>
      <c r="O1041" s="179" t="n"/>
    </row>
    <row r="1042" ht="18.75" customHeight="1">
      <c r="B1042" s="177" t="inlineStr">
        <is>
          <t>BASE DO LIVRO</t>
        </is>
      </c>
      <c r="C1042" s="178" t="n"/>
      <c r="D1042" s="179" t="n"/>
      <c r="E1042" s="181" t="inlineStr">
        <is>
          <t>Nenhuma</t>
        </is>
      </c>
      <c r="F1042" s="178" t="n"/>
      <c r="G1042" s="179" t="n"/>
      <c r="J1042" s="177" t="inlineStr">
        <is>
          <t>BASE DO LIVRO</t>
        </is>
      </c>
      <c r="K1042" s="178" t="n"/>
      <c r="L1042" s="179" t="n"/>
      <c r="M1042" s="181" t="inlineStr">
        <is>
          <t>Nenhuma</t>
        </is>
      </c>
      <c r="N1042" s="178" t="n"/>
      <c r="O1042" s="179" t="n"/>
    </row>
    <row r="1043" ht="18.75" customHeight="1">
      <c r="B1043" s="177" t="inlineStr">
        <is>
          <t>FAMÍLIA</t>
        </is>
      </c>
      <c r="C1043" s="178" t="n"/>
      <c r="D1043" s="179" t="n"/>
      <c r="E1043" s="181" t="n"/>
      <c r="F1043" s="178" t="n"/>
      <c r="G1043" s="179" t="n"/>
      <c r="J1043" s="177" t="inlineStr">
        <is>
          <t>FAMÍLIA</t>
        </is>
      </c>
      <c r="K1043" s="178" t="n"/>
      <c r="L1043" s="179" t="n"/>
      <c r="M1043" s="181" t="n"/>
      <c r="N1043" s="178" t="n"/>
      <c r="O1043" s="179" t="n"/>
    </row>
    <row r="1044" ht="18.75" customHeight="1">
      <c r="B1044" s="177" t="inlineStr">
        <is>
          <t>PESO</t>
        </is>
      </c>
      <c r="C1044" s="178" t="n"/>
      <c r="D1044" s="179" t="n"/>
      <c r="E1044" s="181" t="n"/>
      <c r="F1044" s="178" t="n"/>
      <c r="G1044" s="179" t="n"/>
      <c r="J1044" s="177" t="inlineStr">
        <is>
          <t>PESO</t>
        </is>
      </c>
      <c r="K1044" s="178" t="n"/>
      <c r="L1044" s="179" t="n"/>
      <c r="M1044" s="181" t="n"/>
      <c r="N1044" s="178" t="n"/>
      <c r="O1044" s="179" t="n"/>
    </row>
    <row r="1045" ht="18.75" customHeight="1">
      <c r="B1045" s="177" t="inlineStr">
        <is>
          <t>EXIGE TR</t>
        </is>
      </c>
      <c r="C1045" s="178" t="n"/>
      <c r="D1045" s="179" t="n"/>
      <c r="E1045" s="181" t="n"/>
      <c r="F1045" s="178" t="n"/>
      <c r="G1045" s="179" t="n"/>
      <c r="J1045" s="177" t="inlineStr">
        <is>
          <t>EXIGE TR</t>
        </is>
      </c>
      <c r="K1045" s="178" t="n"/>
      <c r="L1045" s="179" t="n"/>
      <c r="M1045" s="181" t="n"/>
      <c r="N1045" s="178" t="n"/>
      <c r="O1045" s="179" t="n"/>
    </row>
    <row r="1046" ht="18.75" customHeight="1"/>
    <row r="1047" ht="18.75" customHeight="1">
      <c r="B1047" s="177" t="inlineStr">
        <is>
          <t>REQUISITOS E REPETIÇÃO</t>
        </is>
      </c>
      <c r="C1047" s="178" t="n"/>
      <c r="D1047" s="178" t="n"/>
      <c r="E1047" s="178" t="n"/>
      <c r="F1047" s="178" t="n"/>
      <c r="G1047" s="179" t="n"/>
      <c r="J1047" s="177" t="inlineStr">
        <is>
          <t>REQUISITOS E REPETIÇÃO</t>
        </is>
      </c>
      <c r="K1047" s="178" t="n"/>
      <c r="L1047" s="178" t="n"/>
      <c r="M1047" s="178" t="n"/>
      <c r="N1047" s="178" t="n"/>
      <c r="O1047" s="179" t="n"/>
    </row>
    <row r="1048" ht="18.75" customHeight="1">
      <c r="B1048" s="183" t="n"/>
      <c r="C1048" s="184" t="n"/>
      <c r="D1048" s="184" t="n"/>
      <c r="E1048" s="184" t="n"/>
      <c r="F1048" s="184" t="n"/>
      <c r="G1048" s="185" t="n"/>
      <c r="J1048" s="183" t="n"/>
      <c r="K1048" s="184" t="n"/>
      <c r="L1048" s="184" t="n"/>
      <c r="M1048" s="184" t="n"/>
      <c r="N1048" s="184" t="n"/>
      <c r="O1048" s="185" t="n"/>
    </row>
    <row r="1049" ht="18.75" customHeight="1">
      <c r="B1049" s="186" t="n"/>
      <c r="G1049" s="187" t="n"/>
      <c r="J1049" s="186" t="n"/>
      <c r="O1049" s="187" t="n"/>
    </row>
    <row r="1050" ht="18.75" customHeight="1">
      <c r="B1050" s="186" t="n"/>
      <c r="G1050" s="187" t="n"/>
      <c r="J1050" s="186" t="n"/>
      <c r="O1050" s="187" t="n"/>
    </row>
    <row r="1051" ht="18.75" customHeight="1">
      <c r="B1051" s="188" t="n"/>
      <c r="C1051" s="189" t="n"/>
      <c r="D1051" s="189" t="n"/>
      <c r="E1051" s="189" t="n"/>
      <c r="F1051" s="189" t="n"/>
      <c r="G1051" s="190" t="n"/>
      <c r="J1051" s="188" t="n"/>
      <c r="K1051" s="189" t="n"/>
      <c r="L1051" s="189" t="n"/>
      <c r="M1051" s="189" t="n"/>
      <c r="N1051" s="189" t="n"/>
      <c r="O1051" s="190" t="n"/>
    </row>
    <row r="1052" ht="18.75" customHeight="1"/>
    <row r="1053" ht="18.75" customHeight="1">
      <c r="B1053" s="177" t="inlineStr">
        <is>
          <t>EFEITO</t>
        </is>
      </c>
      <c r="C1053" s="178" t="n"/>
      <c r="D1053" s="178" t="n"/>
      <c r="E1053" s="178" t="n"/>
      <c r="F1053" s="178" t="n"/>
      <c r="G1053" s="179" t="n"/>
      <c r="J1053" s="177" t="inlineStr">
        <is>
          <t>EFEITO</t>
        </is>
      </c>
      <c r="K1053" s="178" t="n"/>
      <c r="L1053" s="178" t="n"/>
      <c r="M1053" s="178" t="n"/>
      <c r="N1053" s="178" t="n"/>
      <c r="O1053" s="179" t="n"/>
    </row>
    <row r="1054" ht="18.75" customHeight="1">
      <c r="B1054" s="183" t="n"/>
      <c r="C1054" s="184" t="n"/>
      <c r="D1054" s="184" t="n"/>
      <c r="E1054" s="184" t="n"/>
      <c r="F1054" s="184" t="n"/>
      <c r="G1054" s="185" t="n"/>
      <c r="J1054" s="183" t="n"/>
      <c r="K1054" s="184" t="n"/>
      <c r="L1054" s="184" t="n"/>
      <c r="M1054" s="184" t="n"/>
      <c r="N1054" s="184" t="n"/>
      <c r="O1054" s="185" t="n"/>
    </row>
    <row r="1055" ht="18.75" customHeight="1">
      <c r="B1055" s="186" t="n"/>
      <c r="G1055" s="187" t="n"/>
      <c r="J1055" s="186" t="n"/>
      <c r="O1055" s="187" t="n"/>
    </row>
    <row r="1056" ht="18.75" customHeight="1">
      <c r="B1056" s="186" t="n"/>
      <c r="G1056" s="187" t="n"/>
      <c r="J1056" s="186" t="n"/>
      <c r="O1056" s="187" t="n"/>
    </row>
    <row r="1057" ht="18.75" customHeight="1">
      <c r="B1057" s="186" t="n"/>
      <c r="G1057" s="187" t="n"/>
      <c r="J1057" s="186" t="n"/>
      <c r="O1057" s="187" t="n"/>
    </row>
    <row r="1058" ht="18.75" customHeight="1">
      <c r="B1058" s="188" t="n"/>
      <c r="C1058" s="189" t="n"/>
      <c r="D1058" s="189" t="n"/>
      <c r="E1058" s="189" t="n"/>
      <c r="F1058" s="189" t="n"/>
      <c r="G1058" s="190" t="n"/>
      <c r="J1058" s="188" t="n"/>
      <c r="K1058" s="189" t="n"/>
      <c r="L1058" s="189" t="n"/>
      <c r="M1058" s="189" t="n"/>
      <c r="N1058" s="189" t="n"/>
      <c r="O1058" s="190" t="n"/>
    </row>
    <row r="1059" ht="18.75" customHeight="1"/>
    <row r="1060" ht="18.75" customHeight="1">
      <c r="B1060" s="175">
        <f>IF('DADOS_MELHORIAS'!$M$4="","","⚠ "&amp;'DADOS_MELHORIAS'!$M$4)</f>
        <v/>
      </c>
      <c r="J1060" s="175">
        <f>IF('DADOS_MELHORIAS'!$M$5="","","⚠ "&amp;'DADOS_MELHORIAS'!$M$5)</f>
        <v/>
      </c>
    </row>
    <row r="1061" ht="18.75" customHeight="1"/>
    <row r="1062" ht="18.75" customHeight="1"/>
    <row r="1063" ht="18.75" customHeight="1">
      <c r="B1063" s="176" t="inlineStr">
        <is>
          <t>MELHORIA · 5</t>
        </is>
      </c>
      <c r="J1063" s="176" t="inlineStr">
        <is>
          <t>MELHORIA · 6</t>
        </is>
      </c>
    </row>
    <row r="1064" ht="18.75" customHeight="1">
      <c r="B1064" s="177" t="inlineStr">
        <is>
          <t>TIPO</t>
        </is>
      </c>
      <c r="C1064" s="178" t="n"/>
      <c r="D1064" s="178" t="n"/>
      <c r="E1064" s="179" t="n"/>
      <c r="F1064" s="177" t="inlineStr">
        <is>
          <t>MESTRE VIU</t>
        </is>
      </c>
      <c r="G1064" s="179" t="n"/>
      <c r="J1064" s="177" t="inlineStr">
        <is>
          <t>TIPO</t>
        </is>
      </c>
      <c r="K1064" s="178" t="n"/>
      <c r="L1064" s="178" t="n"/>
      <c r="M1064" s="179" t="n"/>
      <c r="N1064" s="177" t="inlineStr">
        <is>
          <t>MESTRE VIU</t>
        </is>
      </c>
      <c r="O1064" s="179" t="n"/>
    </row>
    <row r="1065" ht="18.75" customHeight="1">
      <c r="B1065" s="181" t="inlineStr">
        <is>
          <t>Melhoria</t>
        </is>
      </c>
      <c r="C1065" s="178" t="n"/>
      <c r="D1065" s="178" t="n"/>
      <c r="E1065" s="179" t="n"/>
      <c r="F1065" s="180" t="b">
        <v>0</v>
      </c>
      <c r="G1065" s="179" t="n"/>
      <c r="J1065" s="181" t="inlineStr">
        <is>
          <t>Melhoria</t>
        </is>
      </c>
      <c r="K1065" s="178" t="n"/>
      <c r="L1065" s="178" t="n"/>
      <c r="M1065" s="179" t="n"/>
      <c r="N1065" s="180" t="b">
        <v>0</v>
      </c>
      <c r="O1065" s="179" t="n"/>
    </row>
    <row r="1066" ht="18.75" customHeight="1">
      <c r="B1066" s="177" t="inlineStr">
        <is>
          <t>NOME</t>
        </is>
      </c>
      <c r="C1066" s="178" t="n"/>
      <c r="D1066" s="178" t="n"/>
      <c r="E1066" s="178" t="n"/>
      <c r="F1066" s="178" t="n"/>
      <c r="G1066" s="179" t="n"/>
      <c r="J1066" s="177" t="inlineStr">
        <is>
          <t>NOME</t>
        </is>
      </c>
      <c r="K1066" s="178" t="n"/>
      <c r="L1066" s="178" t="n"/>
      <c r="M1066" s="178" t="n"/>
      <c r="N1066" s="178" t="n"/>
      <c r="O1066" s="179" t="n"/>
    </row>
    <row r="1067" ht="18.75" customHeight="1">
      <c r="B1067" s="181" t="n"/>
      <c r="C1067" s="178" t="n"/>
      <c r="D1067" s="178" t="n"/>
      <c r="E1067" s="178" t="n"/>
      <c r="F1067" s="178" t="n"/>
      <c r="G1067" s="179" t="n"/>
      <c r="J1067" s="181" t="n"/>
      <c r="K1067" s="178" t="n"/>
      <c r="L1067" s="178" t="n"/>
      <c r="M1067" s="178" t="n"/>
      <c r="N1067" s="178" t="n"/>
      <c r="O1067" s="179" t="n"/>
    </row>
    <row r="1068" ht="18.75" customHeight="1">
      <c r="B1068" s="177" t="inlineStr">
        <is>
          <t>BASE DO LIVRO</t>
        </is>
      </c>
      <c r="C1068" s="178" t="n"/>
      <c r="D1068" s="179" t="n"/>
      <c r="E1068" s="181" t="inlineStr">
        <is>
          <t>Nenhuma</t>
        </is>
      </c>
      <c r="F1068" s="178" t="n"/>
      <c r="G1068" s="179" t="n"/>
      <c r="J1068" s="177" t="inlineStr">
        <is>
          <t>BASE DO LIVRO</t>
        </is>
      </c>
      <c r="K1068" s="178" t="n"/>
      <c r="L1068" s="179" t="n"/>
      <c r="M1068" s="181" t="inlineStr">
        <is>
          <t>Nenhuma</t>
        </is>
      </c>
      <c r="N1068" s="178" t="n"/>
      <c r="O1068" s="179" t="n"/>
    </row>
    <row r="1069" ht="18.75" customHeight="1">
      <c r="B1069" s="177" t="inlineStr">
        <is>
          <t>FAMÍLIA</t>
        </is>
      </c>
      <c r="C1069" s="178" t="n"/>
      <c r="D1069" s="179" t="n"/>
      <c r="E1069" s="181" t="n"/>
      <c r="F1069" s="178" t="n"/>
      <c r="G1069" s="179" t="n"/>
      <c r="J1069" s="177" t="inlineStr">
        <is>
          <t>FAMÍLIA</t>
        </is>
      </c>
      <c r="K1069" s="178" t="n"/>
      <c r="L1069" s="179" t="n"/>
      <c r="M1069" s="181" t="n"/>
      <c r="N1069" s="178" t="n"/>
      <c r="O1069" s="179" t="n"/>
    </row>
    <row r="1070" ht="18.75" customHeight="1">
      <c r="B1070" s="177" t="inlineStr">
        <is>
          <t>PESO</t>
        </is>
      </c>
      <c r="C1070" s="178" t="n"/>
      <c r="D1070" s="179" t="n"/>
      <c r="E1070" s="181" t="n"/>
      <c r="F1070" s="178" t="n"/>
      <c r="G1070" s="179" t="n"/>
      <c r="J1070" s="177" t="inlineStr">
        <is>
          <t>PESO</t>
        </is>
      </c>
      <c r="K1070" s="178" t="n"/>
      <c r="L1070" s="179" t="n"/>
      <c r="M1070" s="181" t="n"/>
      <c r="N1070" s="178" t="n"/>
      <c r="O1070" s="179" t="n"/>
    </row>
    <row r="1071" ht="18.75" customHeight="1">
      <c r="B1071" s="177" t="inlineStr">
        <is>
          <t>EXIGE TR</t>
        </is>
      </c>
      <c r="C1071" s="178" t="n"/>
      <c r="D1071" s="179" t="n"/>
      <c r="E1071" s="181" t="n"/>
      <c r="F1071" s="178" t="n"/>
      <c r="G1071" s="179" t="n"/>
      <c r="J1071" s="177" t="inlineStr">
        <is>
          <t>EXIGE TR</t>
        </is>
      </c>
      <c r="K1071" s="178" t="n"/>
      <c r="L1071" s="179" t="n"/>
      <c r="M1071" s="181" t="n"/>
      <c r="N1071" s="178" t="n"/>
      <c r="O1071" s="179" t="n"/>
    </row>
    <row r="1072" ht="18.75" customHeight="1"/>
    <row r="1073" ht="18.75" customHeight="1">
      <c r="B1073" s="177" t="inlineStr">
        <is>
          <t>REQUISITOS E REPETIÇÃO</t>
        </is>
      </c>
      <c r="C1073" s="178" t="n"/>
      <c r="D1073" s="178" t="n"/>
      <c r="E1073" s="178" t="n"/>
      <c r="F1073" s="178" t="n"/>
      <c r="G1073" s="179" t="n"/>
      <c r="J1073" s="177" t="inlineStr">
        <is>
          <t>REQUISITOS E REPETIÇÃO</t>
        </is>
      </c>
      <c r="K1073" s="178" t="n"/>
      <c r="L1073" s="178" t="n"/>
      <c r="M1073" s="178" t="n"/>
      <c r="N1073" s="178" t="n"/>
      <c r="O1073" s="179" t="n"/>
    </row>
    <row r="1074" ht="18.75" customHeight="1">
      <c r="B1074" s="183" t="n"/>
      <c r="C1074" s="184" t="n"/>
      <c r="D1074" s="184" t="n"/>
      <c r="E1074" s="184" t="n"/>
      <c r="F1074" s="184" t="n"/>
      <c r="G1074" s="185" t="n"/>
      <c r="J1074" s="183" t="n"/>
      <c r="K1074" s="184" t="n"/>
      <c r="L1074" s="184" t="n"/>
      <c r="M1074" s="184" t="n"/>
      <c r="N1074" s="184" t="n"/>
      <c r="O1074" s="185" t="n"/>
    </row>
    <row r="1075" ht="18.75" customHeight="1">
      <c r="B1075" s="186" t="n"/>
      <c r="G1075" s="187" t="n"/>
      <c r="J1075" s="186" t="n"/>
      <c r="O1075" s="187" t="n"/>
    </row>
    <row r="1076" ht="18.75" customHeight="1">
      <c r="B1076" s="186" t="n"/>
      <c r="G1076" s="187" t="n"/>
      <c r="J1076" s="186" t="n"/>
      <c r="O1076" s="187" t="n"/>
    </row>
    <row r="1077" ht="18.75" customHeight="1">
      <c r="B1077" s="188" t="n"/>
      <c r="C1077" s="189" t="n"/>
      <c r="D1077" s="189" t="n"/>
      <c r="E1077" s="189" t="n"/>
      <c r="F1077" s="189" t="n"/>
      <c r="G1077" s="190" t="n"/>
      <c r="J1077" s="188" t="n"/>
      <c r="K1077" s="189" t="n"/>
      <c r="L1077" s="189" t="n"/>
      <c r="M1077" s="189" t="n"/>
      <c r="N1077" s="189" t="n"/>
      <c r="O1077" s="190" t="n"/>
    </row>
    <row r="1078" ht="18.75" customHeight="1"/>
    <row r="1079" ht="18.75" customHeight="1">
      <c r="B1079" s="177" t="inlineStr">
        <is>
          <t>EFEITO</t>
        </is>
      </c>
      <c r="C1079" s="178" t="n"/>
      <c r="D1079" s="178" t="n"/>
      <c r="E1079" s="178" t="n"/>
      <c r="F1079" s="178" t="n"/>
      <c r="G1079" s="179" t="n"/>
      <c r="J1079" s="177" t="inlineStr">
        <is>
          <t>EFEITO</t>
        </is>
      </c>
      <c r="K1079" s="178" t="n"/>
      <c r="L1079" s="178" t="n"/>
      <c r="M1079" s="178" t="n"/>
      <c r="N1079" s="178" t="n"/>
      <c r="O1079" s="179" t="n"/>
    </row>
    <row r="1080" ht="18.75" customHeight="1">
      <c r="B1080" s="183" t="n"/>
      <c r="C1080" s="184" t="n"/>
      <c r="D1080" s="184" t="n"/>
      <c r="E1080" s="184" t="n"/>
      <c r="F1080" s="184" t="n"/>
      <c r="G1080" s="185" t="n"/>
      <c r="J1080" s="183" t="n"/>
      <c r="K1080" s="184" t="n"/>
      <c r="L1080" s="184" t="n"/>
      <c r="M1080" s="184" t="n"/>
      <c r="N1080" s="184" t="n"/>
      <c r="O1080" s="185" t="n"/>
    </row>
    <row r="1081" ht="18.75" customHeight="1">
      <c r="B1081" s="186" t="n"/>
      <c r="G1081" s="187" t="n"/>
      <c r="J1081" s="186" t="n"/>
      <c r="O1081" s="187" t="n"/>
    </row>
    <row r="1082" ht="18.75" customHeight="1">
      <c r="B1082" s="186" t="n"/>
      <c r="G1082" s="187" t="n"/>
      <c r="J1082" s="186" t="n"/>
      <c r="O1082" s="187" t="n"/>
    </row>
    <row r="1083" ht="18.75" customHeight="1">
      <c r="B1083" s="186" t="n"/>
      <c r="G1083" s="187" t="n"/>
      <c r="J1083" s="186" t="n"/>
      <c r="O1083" s="187" t="n"/>
    </row>
    <row r="1084" ht="18.75" customHeight="1">
      <c r="B1084" s="188" t="n"/>
      <c r="C1084" s="189" t="n"/>
      <c r="D1084" s="189" t="n"/>
      <c r="E1084" s="189" t="n"/>
      <c r="F1084" s="189" t="n"/>
      <c r="G1084" s="190" t="n"/>
      <c r="J1084" s="188" t="n"/>
      <c r="K1084" s="189" t="n"/>
      <c r="L1084" s="189" t="n"/>
      <c r="M1084" s="189" t="n"/>
      <c r="N1084" s="189" t="n"/>
      <c r="O1084" s="190" t="n"/>
    </row>
    <row r="1085" ht="18.75" customHeight="1"/>
    <row r="1086" ht="18.75" customHeight="1">
      <c r="B1086" s="175">
        <f>IF('DADOS_MELHORIAS'!$M$6="","","⚠ "&amp;'DADOS_MELHORIAS'!$M$6)</f>
        <v/>
      </c>
      <c r="J1086" s="175">
        <f>IF('DADOS_MELHORIAS'!$M$7="","","⚠ "&amp;'DADOS_MELHORIAS'!$M$7)</f>
        <v/>
      </c>
    </row>
    <row r="1087" ht="18.75" customHeight="1"/>
    <row r="1088" ht="18.75" customHeight="1"/>
    <row r="1089" ht="18.75" customHeight="1">
      <c r="B1089" s="176" t="inlineStr">
        <is>
          <t>MELHORIA · 7</t>
        </is>
      </c>
      <c r="J1089" s="176" t="inlineStr">
        <is>
          <t>MELHORIA · 8</t>
        </is>
      </c>
    </row>
    <row r="1090" ht="18.75" customHeight="1">
      <c r="B1090" s="177" t="inlineStr">
        <is>
          <t>TIPO</t>
        </is>
      </c>
      <c r="C1090" s="178" t="n"/>
      <c r="D1090" s="178" t="n"/>
      <c r="E1090" s="179" t="n"/>
      <c r="F1090" s="177" t="inlineStr">
        <is>
          <t>MESTRE VIU</t>
        </is>
      </c>
      <c r="G1090" s="179" t="n"/>
      <c r="J1090" s="177" t="inlineStr">
        <is>
          <t>TIPO</t>
        </is>
      </c>
      <c r="K1090" s="178" t="n"/>
      <c r="L1090" s="178" t="n"/>
      <c r="M1090" s="179" t="n"/>
      <c r="N1090" s="177" t="inlineStr">
        <is>
          <t>MESTRE VIU</t>
        </is>
      </c>
      <c r="O1090" s="179" t="n"/>
    </row>
    <row r="1091" ht="18.75" customHeight="1">
      <c r="B1091" s="181" t="inlineStr">
        <is>
          <t>Melhoria</t>
        </is>
      </c>
      <c r="C1091" s="178" t="n"/>
      <c r="D1091" s="178" t="n"/>
      <c r="E1091" s="179" t="n"/>
      <c r="F1091" s="180" t="b">
        <v>0</v>
      </c>
      <c r="G1091" s="179" t="n"/>
      <c r="J1091" s="181" t="inlineStr">
        <is>
          <t>Melhoria</t>
        </is>
      </c>
      <c r="K1091" s="178" t="n"/>
      <c r="L1091" s="178" t="n"/>
      <c r="M1091" s="179" t="n"/>
      <c r="N1091" s="180" t="b">
        <v>0</v>
      </c>
      <c r="O1091" s="179" t="n"/>
    </row>
    <row r="1092" ht="18.75" customHeight="1">
      <c r="B1092" s="177" t="inlineStr">
        <is>
          <t>NOME</t>
        </is>
      </c>
      <c r="C1092" s="178" t="n"/>
      <c r="D1092" s="178" t="n"/>
      <c r="E1092" s="178" t="n"/>
      <c r="F1092" s="178" t="n"/>
      <c r="G1092" s="179" t="n"/>
      <c r="J1092" s="177" t="inlineStr">
        <is>
          <t>NOME</t>
        </is>
      </c>
      <c r="K1092" s="178" t="n"/>
      <c r="L1092" s="178" t="n"/>
      <c r="M1092" s="178" t="n"/>
      <c r="N1092" s="178" t="n"/>
      <c r="O1092" s="179" t="n"/>
    </row>
    <row r="1093" ht="18.75" customHeight="1">
      <c r="B1093" s="181" t="n"/>
      <c r="C1093" s="178" t="n"/>
      <c r="D1093" s="178" t="n"/>
      <c r="E1093" s="178" t="n"/>
      <c r="F1093" s="178" t="n"/>
      <c r="G1093" s="179" t="n"/>
      <c r="J1093" s="181" t="n"/>
      <c r="K1093" s="178" t="n"/>
      <c r="L1093" s="178" t="n"/>
      <c r="M1093" s="178" t="n"/>
      <c r="N1093" s="178" t="n"/>
      <c r="O1093" s="179" t="n"/>
    </row>
    <row r="1094" ht="18.75" customHeight="1">
      <c r="B1094" s="177" t="inlineStr">
        <is>
          <t>BASE DO LIVRO</t>
        </is>
      </c>
      <c r="C1094" s="178" t="n"/>
      <c r="D1094" s="179" t="n"/>
      <c r="E1094" s="181" t="inlineStr">
        <is>
          <t>Nenhuma</t>
        </is>
      </c>
      <c r="F1094" s="178" t="n"/>
      <c r="G1094" s="179" t="n"/>
      <c r="J1094" s="177" t="inlineStr">
        <is>
          <t>BASE DO LIVRO</t>
        </is>
      </c>
      <c r="K1094" s="178" t="n"/>
      <c r="L1094" s="179" t="n"/>
      <c r="M1094" s="181" t="inlineStr">
        <is>
          <t>Nenhuma</t>
        </is>
      </c>
      <c r="N1094" s="178" t="n"/>
      <c r="O1094" s="179" t="n"/>
    </row>
    <row r="1095" ht="18.75" customHeight="1">
      <c r="B1095" s="177" t="inlineStr">
        <is>
          <t>FAMÍLIA</t>
        </is>
      </c>
      <c r="C1095" s="178" t="n"/>
      <c r="D1095" s="179" t="n"/>
      <c r="E1095" s="181" t="n"/>
      <c r="F1095" s="178" t="n"/>
      <c r="G1095" s="179" t="n"/>
      <c r="J1095" s="177" t="inlineStr">
        <is>
          <t>FAMÍLIA</t>
        </is>
      </c>
      <c r="K1095" s="178" t="n"/>
      <c r="L1095" s="179" t="n"/>
      <c r="M1095" s="181" t="n"/>
      <c r="N1095" s="178" t="n"/>
      <c r="O1095" s="179" t="n"/>
    </row>
    <row r="1096" ht="18.75" customHeight="1">
      <c r="B1096" s="177" t="inlineStr">
        <is>
          <t>PESO</t>
        </is>
      </c>
      <c r="C1096" s="178" t="n"/>
      <c r="D1096" s="179" t="n"/>
      <c r="E1096" s="181" t="n"/>
      <c r="F1096" s="178" t="n"/>
      <c r="G1096" s="179" t="n"/>
      <c r="J1096" s="177" t="inlineStr">
        <is>
          <t>PESO</t>
        </is>
      </c>
      <c r="K1096" s="178" t="n"/>
      <c r="L1096" s="179" t="n"/>
      <c r="M1096" s="181" t="n"/>
      <c r="N1096" s="178" t="n"/>
      <c r="O1096" s="179" t="n"/>
    </row>
    <row r="1097" ht="18.75" customHeight="1">
      <c r="B1097" s="177" t="inlineStr">
        <is>
          <t>EXIGE TR</t>
        </is>
      </c>
      <c r="C1097" s="178" t="n"/>
      <c r="D1097" s="179" t="n"/>
      <c r="E1097" s="181" t="n"/>
      <c r="F1097" s="178" t="n"/>
      <c r="G1097" s="179" t="n"/>
      <c r="J1097" s="177" t="inlineStr">
        <is>
          <t>EXIGE TR</t>
        </is>
      </c>
      <c r="K1097" s="178" t="n"/>
      <c r="L1097" s="179" t="n"/>
      <c r="M1097" s="181" t="n"/>
      <c r="N1097" s="178" t="n"/>
      <c r="O1097" s="179" t="n"/>
    </row>
    <row r="1098" ht="18.75" customHeight="1"/>
    <row r="1099" ht="18.75" customHeight="1">
      <c r="B1099" s="177" t="inlineStr">
        <is>
          <t>REQUISITOS E REPETIÇÃO</t>
        </is>
      </c>
      <c r="C1099" s="178" t="n"/>
      <c r="D1099" s="178" t="n"/>
      <c r="E1099" s="178" t="n"/>
      <c r="F1099" s="178" t="n"/>
      <c r="G1099" s="179" t="n"/>
      <c r="J1099" s="177" t="inlineStr">
        <is>
          <t>REQUISITOS E REPETIÇÃO</t>
        </is>
      </c>
      <c r="K1099" s="178" t="n"/>
      <c r="L1099" s="178" t="n"/>
      <c r="M1099" s="178" t="n"/>
      <c r="N1099" s="178" t="n"/>
      <c r="O1099" s="179" t="n"/>
    </row>
    <row r="1100" ht="18.75" customHeight="1">
      <c r="B1100" s="183" t="n"/>
      <c r="C1100" s="184" t="n"/>
      <c r="D1100" s="184" t="n"/>
      <c r="E1100" s="184" t="n"/>
      <c r="F1100" s="184" t="n"/>
      <c r="G1100" s="185" t="n"/>
      <c r="J1100" s="183" t="n"/>
      <c r="K1100" s="184" t="n"/>
      <c r="L1100" s="184" t="n"/>
      <c r="M1100" s="184" t="n"/>
      <c r="N1100" s="184" t="n"/>
      <c r="O1100" s="185" t="n"/>
    </row>
    <row r="1101" ht="18.75" customHeight="1">
      <c r="B1101" s="186" t="n"/>
      <c r="G1101" s="187" t="n"/>
      <c r="J1101" s="186" t="n"/>
      <c r="O1101" s="187" t="n"/>
    </row>
    <row r="1102" ht="18.75" customHeight="1">
      <c r="B1102" s="186" t="n"/>
      <c r="G1102" s="187" t="n"/>
      <c r="J1102" s="186" t="n"/>
      <c r="O1102" s="187" t="n"/>
    </row>
    <row r="1103" ht="18.75" customHeight="1">
      <c r="B1103" s="188" t="n"/>
      <c r="C1103" s="189" t="n"/>
      <c r="D1103" s="189" t="n"/>
      <c r="E1103" s="189" t="n"/>
      <c r="F1103" s="189" t="n"/>
      <c r="G1103" s="190" t="n"/>
      <c r="J1103" s="188" t="n"/>
      <c r="K1103" s="189" t="n"/>
      <c r="L1103" s="189" t="n"/>
      <c r="M1103" s="189" t="n"/>
      <c r="N1103" s="189" t="n"/>
      <c r="O1103" s="190" t="n"/>
    </row>
    <row r="1104" ht="18.75" customHeight="1"/>
    <row r="1105" ht="18.75" customHeight="1">
      <c r="B1105" s="177" t="inlineStr">
        <is>
          <t>EFEITO</t>
        </is>
      </c>
      <c r="C1105" s="178" t="n"/>
      <c r="D1105" s="178" t="n"/>
      <c r="E1105" s="178" t="n"/>
      <c r="F1105" s="178" t="n"/>
      <c r="G1105" s="179" t="n"/>
      <c r="J1105" s="177" t="inlineStr">
        <is>
          <t>EFEITO</t>
        </is>
      </c>
      <c r="K1105" s="178" t="n"/>
      <c r="L1105" s="178" t="n"/>
      <c r="M1105" s="178" t="n"/>
      <c r="N1105" s="178" t="n"/>
      <c r="O1105" s="179" t="n"/>
    </row>
    <row r="1106" ht="18.75" customHeight="1">
      <c r="B1106" s="183" t="n"/>
      <c r="C1106" s="184" t="n"/>
      <c r="D1106" s="184" t="n"/>
      <c r="E1106" s="184" t="n"/>
      <c r="F1106" s="184" t="n"/>
      <c r="G1106" s="185" t="n"/>
      <c r="J1106" s="183" t="n"/>
      <c r="K1106" s="184" t="n"/>
      <c r="L1106" s="184" t="n"/>
      <c r="M1106" s="184" t="n"/>
      <c r="N1106" s="184" t="n"/>
      <c r="O1106" s="185" t="n"/>
    </row>
    <row r="1107" ht="18.75" customHeight="1">
      <c r="B1107" s="186" t="n"/>
      <c r="G1107" s="187" t="n"/>
      <c r="J1107" s="186" t="n"/>
      <c r="O1107" s="187" t="n"/>
    </row>
    <row r="1108" ht="18.75" customHeight="1">
      <c r="B1108" s="186" t="n"/>
      <c r="G1108" s="187" t="n"/>
      <c r="J1108" s="186" t="n"/>
      <c r="O1108" s="187" t="n"/>
    </row>
    <row r="1109" ht="18.75" customHeight="1">
      <c r="B1109" s="186" t="n"/>
      <c r="G1109" s="187" t="n"/>
      <c r="J1109" s="186" t="n"/>
      <c r="O1109" s="187" t="n"/>
    </row>
    <row r="1110" ht="18.75" customHeight="1">
      <c r="B1110" s="188" t="n"/>
      <c r="C1110" s="189" t="n"/>
      <c r="D1110" s="189" t="n"/>
      <c r="E1110" s="189" t="n"/>
      <c r="F1110" s="189" t="n"/>
      <c r="G1110" s="190" t="n"/>
      <c r="J1110" s="188" t="n"/>
      <c r="K1110" s="189" t="n"/>
      <c r="L1110" s="189" t="n"/>
      <c r="M1110" s="189" t="n"/>
      <c r="N1110" s="189" t="n"/>
      <c r="O1110" s="190" t="n"/>
    </row>
    <row r="1111" ht="18.75" customHeight="1"/>
    <row r="1112" ht="18.75" customHeight="1">
      <c r="B1112" s="175">
        <f>IF('DADOS_MELHORIAS'!$M$8="","","⚠ "&amp;'DADOS_MELHORIAS'!$M$8)</f>
        <v/>
      </c>
      <c r="J1112" s="175">
        <f>IF('DADOS_MELHORIAS'!$M$9="","","⚠ "&amp;'DADOS_MELHORIAS'!$M$9)</f>
        <v/>
      </c>
    </row>
    <row r="1113" ht="18.75" customHeight="1"/>
    <row r="1114" ht="18.75" customHeight="1"/>
    <row r="1115" ht="18.75" customHeight="1">
      <c r="B1115" s="176" t="inlineStr">
        <is>
          <t>MELHORIA · 9</t>
        </is>
      </c>
      <c r="J1115" s="176" t="inlineStr">
        <is>
          <t>MELHORIA · 10</t>
        </is>
      </c>
    </row>
    <row r="1116" ht="18.75" customHeight="1">
      <c r="B1116" s="177" t="inlineStr">
        <is>
          <t>TIPO</t>
        </is>
      </c>
      <c r="C1116" s="178" t="n"/>
      <c r="D1116" s="178" t="n"/>
      <c r="E1116" s="179" t="n"/>
      <c r="F1116" s="177" t="inlineStr">
        <is>
          <t>MESTRE VIU</t>
        </is>
      </c>
      <c r="G1116" s="179" t="n"/>
      <c r="J1116" s="177" t="inlineStr">
        <is>
          <t>TIPO</t>
        </is>
      </c>
      <c r="K1116" s="178" t="n"/>
      <c r="L1116" s="178" t="n"/>
      <c r="M1116" s="179" t="n"/>
      <c r="N1116" s="177" t="inlineStr">
        <is>
          <t>MESTRE VIU</t>
        </is>
      </c>
      <c r="O1116" s="179" t="n"/>
    </row>
    <row r="1117" ht="18.75" customHeight="1">
      <c r="B1117" s="181" t="inlineStr">
        <is>
          <t>Melhoria</t>
        </is>
      </c>
      <c r="C1117" s="178" t="n"/>
      <c r="D1117" s="178" t="n"/>
      <c r="E1117" s="179" t="n"/>
      <c r="F1117" s="180" t="b">
        <v>0</v>
      </c>
      <c r="G1117" s="179" t="n"/>
      <c r="J1117" s="181" t="inlineStr">
        <is>
          <t>Melhoria</t>
        </is>
      </c>
      <c r="K1117" s="178" t="n"/>
      <c r="L1117" s="178" t="n"/>
      <c r="M1117" s="179" t="n"/>
      <c r="N1117" s="180" t="b">
        <v>0</v>
      </c>
      <c r="O1117" s="179" t="n"/>
    </row>
    <row r="1118" ht="18.75" customHeight="1">
      <c r="B1118" s="177" t="inlineStr">
        <is>
          <t>NOME</t>
        </is>
      </c>
      <c r="C1118" s="178" t="n"/>
      <c r="D1118" s="178" t="n"/>
      <c r="E1118" s="178" t="n"/>
      <c r="F1118" s="178" t="n"/>
      <c r="G1118" s="179" t="n"/>
      <c r="J1118" s="177" t="inlineStr">
        <is>
          <t>NOME</t>
        </is>
      </c>
      <c r="K1118" s="178" t="n"/>
      <c r="L1118" s="178" t="n"/>
      <c r="M1118" s="178" t="n"/>
      <c r="N1118" s="178" t="n"/>
      <c r="O1118" s="179" t="n"/>
    </row>
    <row r="1119" ht="18.75" customHeight="1">
      <c r="B1119" s="181" t="n"/>
      <c r="C1119" s="178" t="n"/>
      <c r="D1119" s="178" t="n"/>
      <c r="E1119" s="178" t="n"/>
      <c r="F1119" s="178" t="n"/>
      <c r="G1119" s="179" t="n"/>
      <c r="J1119" s="181" t="n"/>
      <c r="K1119" s="178" t="n"/>
      <c r="L1119" s="178" t="n"/>
      <c r="M1119" s="178" t="n"/>
      <c r="N1119" s="178" t="n"/>
      <c r="O1119" s="179" t="n"/>
    </row>
    <row r="1120" ht="18.75" customHeight="1">
      <c r="B1120" s="177" t="inlineStr">
        <is>
          <t>BASE DO LIVRO</t>
        </is>
      </c>
      <c r="C1120" s="178" t="n"/>
      <c r="D1120" s="179" t="n"/>
      <c r="E1120" s="181" t="inlineStr">
        <is>
          <t>Nenhuma</t>
        </is>
      </c>
      <c r="F1120" s="178" t="n"/>
      <c r="G1120" s="179" t="n"/>
      <c r="J1120" s="177" t="inlineStr">
        <is>
          <t>BASE DO LIVRO</t>
        </is>
      </c>
      <c r="K1120" s="178" t="n"/>
      <c r="L1120" s="179" t="n"/>
      <c r="M1120" s="181" t="inlineStr">
        <is>
          <t>Nenhuma</t>
        </is>
      </c>
      <c r="N1120" s="178" t="n"/>
      <c r="O1120" s="179" t="n"/>
    </row>
    <row r="1121" ht="18.75" customHeight="1">
      <c r="B1121" s="177" t="inlineStr">
        <is>
          <t>FAMÍLIA</t>
        </is>
      </c>
      <c r="C1121" s="178" t="n"/>
      <c r="D1121" s="179" t="n"/>
      <c r="E1121" s="181" t="n"/>
      <c r="F1121" s="178" t="n"/>
      <c r="G1121" s="179" t="n"/>
      <c r="J1121" s="177" t="inlineStr">
        <is>
          <t>FAMÍLIA</t>
        </is>
      </c>
      <c r="K1121" s="178" t="n"/>
      <c r="L1121" s="179" t="n"/>
      <c r="M1121" s="181" t="n"/>
      <c r="N1121" s="178" t="n"/>
      <c r="O1121" s="179" t="n"/>
    </row>
    <row r="1122" ht="18.75" customHeight="1">
      <c r="B1122" s="177" t="inlineStr">
        <is>
          <t>PESO</t>
        </is>
      </c>
      <c r="C1122" s="178" t="n"/>
      <c r="D1122" s="179" t="n"/>
      <c r="E1122" s="181" t="n"/>
      <c r="F1122" s="178" t="n"/>
      <c r="G1122" s="179" t="n"/>
      <c r="J1122" s="177" t="inlineStr">
        <is>
          <t>PESO</t>
        </is>
      </c>
      <c r="K1122" s="178" t="n"/>
      <c r="L1122" s="179" t="n"/>
      <c r="M1122" s="181" t="n"/>
      <c r="N1122" s="178" t="n"/>
      <c r="O1122" s="179" t="n"/>
    </row>
    <row r="1123" ht="18.75" customHeight="1">
      <c r="B1123" s="177" t="inlineStr">
        <is>
          <t>EXIGE TR</t>
        </is>
      </c>
      <c r="C1123" s="178" t="n"/>
      <c r="D1123" s="179" t="n"/>
      <c r="E1123" s="181" t="n"/>
      <c r="F1123" s="178" t="n"/>
      <c r="G1123" s="179" t="n"/>
      <c r="J1123" s="177" t="inlineStr">
        <is>
          <t>EXIGE TR</t>
        </is>
      </c>
      <c r="K1123" s="178" t="n"/>
      <c r="L1123" s="179" t="n"/>
      <c r="M1123" s="181" t="n"/>
      <c r="N1123" s="178" t="n"/>
      <c r="O1123" s="179" t="n"/>
    </row>
    <row r="1124" ht="18.75" customHeight="1"/>
    <row r="1125" ht="18.75" customHeight="1">
      <c r="B1125" s="177" t="inlineStr">
        <is>
          <t>REQUISITOS E REPETIÇÃO</t>
        </is>
      </c>
      <c r="C1125" s="178" t="n"/>
      <c r="D1125" s="178" t="n"/>
      <c r="E1125" s="178" t="n"/>
      <c r="F1125" s="178" t="n"/>
      <c r="G1125" s="179" t="n"/>
      <c r="J1125" s="177" t="inlineStr">
        <is>
          <t>REQUISITOS E REPETIÇÃO</t>
        </is>
      </c>
      <c r="K1125" s="178" t="n"/>
      <c r="L1125" s="178" t="n"/>
      <c r="M1125" s="178" t="n"/>
      <c r="N1125" s="178" t="n"/>
      <c r="O1125" s="179" t="n"/>
    </row>
    <row r="1126" ht="18.75" customHeight="1">
      <c r="B1126" s="183" t="n"/>
      <c r="C1126" s="184" t="n"/>
      <c r="D1126" s="184" t="n"/>
      <c r="E1126" s="184" t="n"/>
      <c r="F1126" s="184" t="n"/>
      <c r="G1126" s="185" t="n"/>
      <c r="J1126" s="183" t="n"/>
      <c r="K1126" s="184" t="n"/>
      <c r="L1126" s="184" t="n"/>
      <c r="M1126" s="184" t="n"/>
      <c r="N1126" s="184" t="n"/>
      <c r="O1126" s="185" t="n"/>
    </row>
    <row r="1127" ht="18.75" customHeight="1">
      <c r="B1127" s="186" t="n"/>
      <c r="G1127" s="187" t="n"/>
      <c r="J1127" s="186" t="n"/>
      <c r="O1127" s="187" t="n"/>
    </row>
    <row r="1128" ht="18.75" customHeight="1">
      <c r="B1128" s="186" t="n"/>
      <c r="G1128" s="187" t="n"/>
      <c r="J1128" s="186" t="n"/>
      <c r="O1128" s="187" t="n"/>
    </row>
    <row r="1129" ht="18.75" customHeight="1">
      <c r="B1129" s="188" t="n"/>
      <c r="C1129" s="189" t="n"/>
      <c r="D1129" s="189" t="n"/>
      <c r="E1129" s="189" t="n"/>
      <c r="F1129" s="189" t="n"/>
      <c r="G1129" s="190" t="n"/>
      <c r="J1129" s="188" t="n"/>
      <c r="K1129" s="189" t="n"/>
      <c r="L1129" s="189" t="n"/>
      <c r="M1129" s="189" t="n"/>
      <c r="N1129" s="189" t="n"/>
      <c r="O1129" s="190" t="n"/>
    </row>
    <row r="1130" ht="18.75" customHeight="1"/>
    <row r="1131" ht="18.75" customHeight="1">
      <c r="B1131" s="177" t="inlineStr">
        <is>
          <t>EFEITO</t>
        </is>
      </c>
      <c r="C1131" s="178" t="n"/>
      <c r="D1131" s="178" t="n"/>
      <c r="E1131" s="178" t="n"/>
      <c r="F1131" s="178" t="n"/>
      <c r="G1131" s="179" t="n"/>
      <c r="J1131" s="177" t="inlineStr">
        <is>
          <t>EFEITO</t>
        </is>
      </c>
      <c r="K1131" s="178" t="n"/>
      <c r="L1131" s="178" t="n"/>
      <c r="M1131" s="178" t="n"/>
      <c r="N1131" s="178" t="n"/>
      <c r="O1131" s="179" t="n"/>
    </row>
    <row r="1132" ht="18.75" customHeight="1">
      <c r="B1132" s="183" t="n"/>
      <c r="C1132" s="184" t="n"/>
      <c r="D1132" s="184" t="n"/>
      <c r="E1132" s="184" t="n"/>
      <c r="F1132" s="184" t="n"/>
      <c r="G1132" s="185" t="n"/>
      <c r="J1132" s="183" t="n"/>
      <c r="K1132" s="184" t="n"/>
      <c r="L1132" s="184" t="n"/>
      <c r="M1132" s="184" t="n"/>
      <c r="N1132" s="184" t="n"/>
      <c r="O1132" s="185" t="n"/>
    </row>
    <row r="1133" ht="18.75" customHeight="1">
      <c r="B1133" s="186" t="n"/>
      <c r="G1133" s="187" t="n"/>
      <c r="J1133" s="186" t="n"/>
      <c r="O1133" s="187" t="n"/>
    </row>
    <row r="1134" ht="18.75" customHeight="1">
      <c r="B1134" s="186" t="n"/>
      <c r="G1134" s="187" t="n"/>
      <c r="J1134" s="186" t="n"/>
      <c r="O1134" s="187" t="n"/>
    </row>
    <row r="1135" ht="18.75" customHeight="1">
      <c r="B1135" s="186" t="n"/>
      <c r="G1135" s="187" t="n"/>
      <c r="J1135" s="186" t="n"/>
      <c r="O1135" s="187" t="n"/>
    </row>
    <row r="1136" ht="18.75" customHeight="1">
      <c r="B1136" s="188" t="n"/>
      <c r="C1136" s="189" t="n"/>
      <c r="D1136" s="189" t="n"/>
      <c r="E1136" s="189" t="n"/>
      <c r="F1136" s="189" t="n"/>
      <c r="G1136" s="190" t="n"/>
      <c r="J1136" s="188" t="n"/>
      <c r="K1136" s="189" t="n"/>
      <c r="L1136" s="189" t="n"/>
      <c r="M1136" s="189" t="n"/>
      <c r="N1136" s="189" t="n"/>
      <c r="O1136" s="190" t="n"/>
    </row>
    <row r="1137" ht="18.75" customHeight="1"/>
    <row r="1138" ht="18.75" customHeight="1">
      <c r="B1138" s="175">
        <f>IF('DADOS_MELHORIAS'!$M$10="","","⚠ "&amp;'DADOS_MELHORIAS'!$M$10)</f>
        <v/>
      </c>
      <c r="J1138" s="175">
        <f>IF('DADOS_MELHORIAS'!$M$11="","","⚠ "&amp;'DADOS_MELHORIAS'!$M$11)</f>
        <v/>
      </c>
    </row>
    <row r="1139" ht="18.75" customHeight="1"/>
    <row r="1140" ht="18.75" customHeight="1"/>
    <row r="1141" ht="18.75" customHeight="1">
      <c r="B1141" s="176" t="inlineStr">
        <is>
          <t>MELHORIA · 11</t>
        </is>
      </c>
      <c r="J1141" s="176" t="inlineStr">
        <is>
          <t>MELHORIA · 12</t>
        </is>
      </c>
    </row>
    <row r="1142" ht="18.75" customHeight="1">
      <c r="B1142" s="177" t="inlineStr">
        <is>
          <t>TIPO</t>
        </is>
      </c>
      <c r="C1142" s="178" t="n"/>
      <c r="D1142" s="178" t="n"/>
      <c r="E1142" s="179" t="n"/>
      <c r="F1142" s="177" t="inlineStr">
        <is>
          <t>MESTRE VIU</t>
        </is>
      </c>
      <c r="G1142" s="179" t="n"/>
      <c r="J1142" s="177" t="inlineStr">
        <is>
          <t>TIPO</t>
        </is>
      </c>
      <c r="K1142" s="178" t="n"/>
      <c r="L1142" s="178" t="n"/>
      <c r="M1142" s="179" t="n"/>
      <c r="N1142" s="177" t="inlineStr">
        <is>
          <t>MESTRE VIU</t>
        </is>
      </c>
      <c r="O1142" s="179" t="n"/>
    </row>
    <row r="1143" ht="18.75" customHeight="1">
      <c r="B1143" s="181" t="inlineStr">
        <is>
          <t>Melhoria</t>
        </is>
      </c>
      <c r="C1143" s="178" t="n"/>
      <c r="D1143" s="178" t="n"/>
      <c r="E1143" s="179" t="n"/>
      <c r="F1143" s="180" t="b">
        <v>0</v>
      </c>
      <c r="G1143" s="179" t="n"/>
      <c r="J1143" s="181" t="inlineStr">
        <is>
          <t>Melhoria</t>
        </is>
      </c>
      <c r="K1143" s="178" t="n"/>
      <c r="L1143" s="178" t="n"/>
      <c r="M1143" s="179" t="n"/>
      <c r="N1143" s="180" t="b">
        <v>0</v>
      </c>
      <c r="O1143" s="179" t="n"/>
    </row>
    <row r="1144" ht="18.75" customHeight="1">
      <c r="B1144" s="177" t="inlineStr">
        <is>
          <t>NOME</t>
        </is>
      </c>
      <c r="C1144" s="178" t="n"/>
      <c r="D1144" s="178" t="n"/>
      <c r="E1144" s="178" t="n"/>
      <c r="F1144" s="178" t="n"/>
      <c r="G1144" s="179" t="n"/>
      <c r="J1144" s="177" t="inlineStr">
        <is>
          <t>NOME</t>
        </is>
      </c>
      <c r="K1144" s="178" t="n"/>
      <c r="L1144" s="178" t="n"/>
      <c r="M1144" s="178" t="n"/>
      <c r="N1144" s="178" t="n"/>
      <c r="O1144" s="179" t="n"/>
    </row>
    <row r="1145" ht="18.75" customHeight="1">
      <c r="B1145" s="181" t="n"/>
      <c r="C1145" s="178" t="n"/>
      <c r="D1145" s="178" t="n"/>
      <c r="E1145" s="178" t="n"/>
      <c r="F1145" s="178" t="n"/>
      <c r="G1145" s="179" t="n"/>
      <c r="J1145" s="181" t="n"/>
      <c r="K1145" s="178" t="n"/>
      <c r="L1145" s="178" t="n"/>
      <c r="M1145" s="178" t="n"/>
      <c r="N1145" s="178" t="n"/>
      <c r="O1145" s="179" t="n"/>
    </row>
    <row r="1146" ht="18.75" customHeight="1">
      <c r="B1146" s="177" t="inlineStr">
        <is>
          <t>BASE DO LIVRO</t>
        </is>
      </c>
      <c r="C1146" s="178" t="n"/>
      <c r="D1146" s="179" t="n"/>
      <c r="E1146" s="181" t="inlineStr">
        <is>
          <t>Nenhuma</t>
        </is>
      </c>
      <c r="F1146" s="178" t="n"/>
      <c r="G1146" s="179" t="n"/>
      <c r="J1146" s="177" t="inlineStr">
        <is>
          <t>BASE DO LIVRO</t>
        </is>
      </c>
      <c r="K1146" s="178" t="n"/>
      <c r="L1146" s="179" t="n"/>
      <c r="M1146" s="181" t="inlineStr">
        <is>
          <t>Nenhuma</t>
        </is>
      </c>
      <c r="N1146" s="178" t="n"/>
      <c r="O1146" s="179" t="n"/>
    </row>
    <row r="1147" ht="18.75" customHeight="1">
      <c r="B1147" s="177" t="inlineStr">
        <is>
          <t>FAMÍLIA</t>
        </is>
      </c>
      <c r="C1147" s="178" t="n"/>
      <c r="D1147" s="179" t="n"/>
      <c r="E1147" s="181" t="n"/>
      <c r="F1147" s="178" t="n"/>
      <c r="G1147" s="179" t="n"/>
      <c r="J1147" s="177" t="inlineStr">
        <is>
          <t>FAMÍLIA</t>
        </is>
      </c>
      <c r="K1147" s="178" t="n"/>
      <c r="L1147" s="179" t="n"/>
      <c r="M1147" s="181" t="n"/>
      <c r="N1147" s="178" t="n"/>
      <c r="O1147" s="179" t="n"/>
    </row>
    <row r="1148" ht="18.75" customHeight="1">
      <c r="B1148" s="177" t="inlineStr">
        <is>
          <t>PESO</t>
        </is>
      </c>
      <c r="C1148" s="178" t="n"/>
      <c r="D1148" s="179" t="n"/>
      <c r="E1148" s="181" t="n"/>
      <c r="F1148" s="178" t="n"/>
      <c r="G1148" s="179" t="n"/>
      <c r="J1148" s="177" t="inlineStr">
        <is>
          <t>PESO</t>
        </is>
      </c>
      <c r="K1148" s="178" t="n"/>
      <c r="L1148" s="179" t="n"/>
      <c r="M1148" s="181" t="n"/>
      <c r="N1148" s="178" t="n"/>
      <c r="O1148" s="179" t="n"/>
    </row>
    <row r="1149" ht="18.75" customHeight="1">
      <c r="B1149" s="177" t="inlineStr">
        <is>
          <t>EXIGE TR</t>
        </is>
      </c>
      <c r="C1149" s="178" t="n"/>
      <c r="D1149" s="179" t="n"/>
      <c r="E1149" s="181" t="n"/>
      <c r="F1149" s="178" t="n"/>
      <c r="G1149" s="179" t="n"/>
      <c r="J1149" s="177" t="inlineStr">
        <is>
          <t>EXIGE TR</t>
        </is>
      </c>
      <c r="K1149" s="178" t="n"/>
      <c r="L1149" s="179" t="n"/>
      <c r="M1149" s="181" t="n"/>
      <c r="N1149" s="178" t="n"/>
      <c r="O1149" s="179" t="n"/>
    </row>
    <row r="1150" ht="18.75" customHeight="1"/>
    <row r="1151" ht="18.75" customHeight="1">
      <c r="B1151" s="177" t="inlineStr">
        <is>
          <t>REQUISITOS E REPETIÇÃO</t>
        </is>
      </c>
      <c r="C1151" s="178" t="n"/>
      <c r="D1151" s="178" t="n"/>
      <c r="E1151" s="178" t="n"/>
      <c r="F1151" s="178" t="n"/>
      <c r="G1151" s="179" t="n"/>
      <c r="J1151" s="177" t="inlineStr">
        <is>
          <t>REQUISITOS E REPETIÇÃO</t>
        </is>
      </c>
      <c r="K1151" s="178" t="n"/>
      <c r="L1151" s="178" t="n"/>
      <c r="M1151" s="178" t="n"/>
      <c r="N1151" s="178" t="n"/>
      <c r="O1151" s="179" t="n"/>
    </row>
    <row r="1152" ht="18.75" customHeight="1">
      <c r="B1152" s="183" t="n"/>
      <c r="C1152" s="184" t="n"/>
      <c r="D1152" s="184" t="n"/>
      <c r="E1152" s="184" t="n"/>
      <c r="F1152" s="184" t="n"/>
      <c r="G1152" s="185" t="n"/>
      <c r="J1152" s="183" t="n"/>
      <c r="K1152" s="184" t="n"/>
      <c r="L1152" s="184" t="n"/>
      <c r="M1152" s="184" t="n"/>
      <c r="N1152" s="184" t="n"/>
      <c r="O1152" s="185" t="n"/>
    </row>
    <row r="1153" ht="18.75" customHeight="1">
      <c r="B1153" s="186" t="n"/>
      <c r="G1153" s="187" t="n"/>
      <c r="J1153" s="186" t="n"/>
      <c r="O1153" s="187" t="n"/>
    </row>
    <row r="1154" ht="18.75" customHeight="1">
      <c r="B1154" s="186" t="n"/>
      <c r="G1154" s="187" t="n"/>
      <c r="J1154" s="186" t="n"/>
      <c r="O1154" s="187" t="n"/>
    </row>
    <row r="1155" ht="18.75" customHeight="1">
      <c r="B1155" s="188" t="n"/>
      <c r="C1155" s="189" t="n"/>
      <c r="D1155" s="189" t="n"/>
      <c r="E1155" s="189" t="n"/>
      <c r="F1155" s="189" t="n"/>
      <c r="G1155" s="190" t="n"/>
      <c r="J1155" s="188" t="n"/>
      <c r="K1155" s="189" t="n"/>
      <c r="L1155" s="189" t="n"/>
      <c r="M1155" s="189" t="n"/>
      <c r="N1155" s="189" t="n"/>
      <c r="O1155" s="190" t="n"/>
    </row>
    <row r="1156" ht="18.75" customHeight="1"/>
    <row r="1157" ht="18.75" customHeight="1">
      <c r="B1157" s="177" t="inlineStr">
        <is>
          <t>EFEITO</t>
        </is>
      </c>
      <c r="C1157" s="178" t="n"/>
      <c r="D1157" s="178" t="n"/>
      <c r="E1157" s="178" t="n"/>
      <c r="F1157" s="178" t="n"/>
      <c r="G1157" s="179" t="n"/>
      <c r="J1157" s="177" t="inlineStr">
        <is>
          <t>EFEITO</t>
        </is>
      </c>
      <c r="K1157" s="178" t="n"/>
      <c r="L1157" s="178" t="n"/>
      <c r="M1157" s="178" t="n"/>
      <c r="N1157" s="178" t="n"/>
      <c r="O1157" s="179" t="n"/>
    </row>
    <row r="1158" ht="18.75" customHeight="1">
      <c r="B1158" s="183" t="n"/>
      <c r="C1158" s="184" t="n"/>
      <c r="D1158" s="184" t="n"/>
      <c r="E1158" s="184" t="n"/>
      <c r="F1158" s="184" t="n"/>
      <c r="G1158" s="185" t="n"/>
      <c r="J1158" s="183" t="n"/>
      <c r="K1158" s="184" t="n"/>
      <c r="L1158" s="184" t="n"/>
      <c r="M1158" s="184" t="n"/>
      <c r="N1158" s="184" t="n"/>
      <c r="O1158" s="185" t="n"/>
    </row>
    <row r="1159" ht="18.75" customHeight="1">
      <c r="B1159" s="186" t="n"/>
      <c r="G1159" s="187" t="n"/>
      <c r="J1159" s="186" t="n"/>
      <c r="O1159" s="187" t="n"/>
    </row>
    <row r="1160" ht="18.75" customHeight="1">
      <c r="B1160" s="186" t="n"/>
      <c r="G1160" s="187" t="n"/>
      <c r="J1160" s="186" t="n"/>
      <c r="O1160" s="187" t="n"/>
    </row>
    <row r="1161" ht="18.75" customHeight="1">
      <c r="B1161" s="186" t="n"/>
      <c r="G1161" s="187" t="n"/>
      <c r="J1161" s="186" t="n"/>
      <c r="O1161" s="187" t="n"/>
    </row>
    <row r="1162" ht="18.75" customHeight="1">
      <c r="B1162" s="188" t="n"/>
      <c r="C1162" s="189" t="n"/>
      <c r="D1162" s="189" t="n"/>
      <c r="E1162" s="189" t="n"/>
      <c r="F1162" s="189" t="n"/>
      <c r="G1162" s="190" t="n"/>
      <c r="J1162" s="188" t="n"/>
      <c r="K1162" s="189" t="n"/>
      <c r="L1162" s="189" t="n"/>
      <c r="M1162" s="189" t="n"/>
      <c r="N1162" s="189" t="n"/>
      <c r="O1162" s="190" t="n"/>
    </row>
    <row r="1163" ht="18.75" customHeight="1"/>
    <row r="1164" ht="18.75" customHeight="1">
      <c r="B1164" s="175">
        <f>IF('DADOS_MELHORIAS'!$M$12="","","⚠ "&amp;'DADOS_MELHORIAS'!$M$12)</f>
        <v/>
      </c>
      <c r="J1164" s="175">
        <f>IF('DADOS_MELHORIAS'!$M$13="","","⚠ "&amp;'DADOS_MELHORIAS'!$M$13)</f>
        <v/>
      </c>
    </row>
    <row r="1165" ht="18.75" customHeight="1"/>
    <row r="1166" ht="18.75" customHeight="1"/>
    <row r="1167" ht="18.75" customHeight="1">
      <c r="B1167" s="176" t="inlineStr">
        <is>
          <t>MELHORIA · 13</t>
        </is>
      </c>
      <c r="J1167" s="176" t="inlineStr">
        <is>
          <t>MELHORIA · 14</t>
        </is>
      </c>
    </row>
    <row r="1168" ht="18.75" customHeight="1">
      <c r="B1168" s="177" t="inlineStr">
        <is>
          <t>TIPO</t>
        </is>
      </c>
      <c r="C1168" s="178" t="n"/>
      <c r="D1168" s="178" t="n"/>
      <c r="E1168" s="179" t="n"/>
      <c r="F1168" s="177" t="inlineStr">
        <is>
          <t>MESTRE VIU</t>
        </is>
      </c>
      <c r="G1168" s="179" t="n"/>
      <c r="J1168" s="177" t="inlineStr">
        <is>
          <t>TIPO</t>
        </is>
      </c>
      <c r="K1168" s="178" t="n"/>
      <c r="L1168" s="178" t="n"/>
      <c r="M1168" s="179" t="n"/>
      <c r="N1168" s="177" t="inlineStr">
        <is>
          <t>MESTRE VIU</t>
        </is>
      </c>
      <c r="O1168" s="179" t="n"/>
    </row>
    <row r="1169" ht="18.75" customHeight="1">
      <c r="B1169" s="181" t="inlineStr">
        <is>
          <t>Melhoria</t>
        </is>
      </c>
      <c r="C1169" s="178" t="n"/>
      <c r="D1169" s="178" t="n"/>
      <c r="E1169" s="179" t="n"/>
      <c r="F1169" s="180" t="b">
        <v>0</v>
      </c>
      <c r="G1169" s="179" t="n"/>
      <c r="J1169" s="181" t="inlineStr">
        <is>
          <t>Melhoria</t>
        </is>
      </c>
      <c r="K1169" s="178" t="n"/>
      <c r="L1169" s="178" t="n"/>
      <c r="M1169" s="179" t="n"/>
      <c r="N1169" s="180" t="b">
        <v>0</v>
      </c>
      <c r="O1169" s="179" t="n"/>
    </row>
    <row r="1170" ht="18.75" customHeight="1">
      <c r="B1170" s="177" t="inlineStr">
        <is>
          <t>NOME</t>
        </is>
      </c>
      <c r="C1170" s="178" t="n"/>
      <c r="D1170" s="178" t="n"/>
      <c r="E1170" s="178" t="n"/>
      <c r="F1170" s="178" t="n"/>
      <c r="G1170" s="179" t="n"/>
      <c r="J1170" s="177" t="inlineStr">
        <is>
          <t>NOME</t>
        </is>
      </c>
      <c r="K1170" s="178" t="n"/>
      <c r="L1170" s="178" t="n"/>
      <c r="M1170" s="178" t="n"/>
      <c r="N1170" s="178" t="n"/>
      <c r="O1170" s="179" t="n"/>
    </row>
    <row r="1171" ht="18.75" customHeight="1">
      <c r="B1171" s="181" t="n"/>
      <c r="C1171" s="178" t="n"/>
      <c r="D1171" s="178" t="n"/>
      <c r="E1171" s="178" t="n"/>
      <c r="F1171" s="178" t="n"/>
      <c r="G1171" s="179" t="n"/>
      <c r="J1171" s="181" t="n"/>
      <c r="K1171" s="178" t="n"/>
      <c r="L1171" s="178" t="n"/>
      <c r="M1171" s="178" t="n"/>
      <c r="N1171" s="178" t="n"/>
      <c r="O1171" s="179" t="n"/>
    </row>
    <row r="1172" ht="18.75" customHeight="1">
      <c r="B1172" s="177" t="inlineStr">
        <is>
          <t>BASE DO LIVRO</t>
        </is>
      </c>
      <c r="C1172" s="178" t="n"/>
      <c r="D1172" s="179" t="n"/>
      <c r="E1172" s="181" t="inlineStr">
        <is>
          <t>Nenhuma</t>
        </is>
      </c>
      <c r="F1172" s="178" t="n"/>
      <c r="G1172" s="179" t="n"/>
      <c r="J1172" s="177" t="inlineStr">
        <is>
          <t>BASE DO LIVRO</t>
        </is>
      </c>
      <c r="K1172" s="178" t="n"/>
      <c r="L1172" s="179" t="n"/>
      <c r="M1172" s="181" t="inlineStr">
        <is>
          <t>Nenhuma</t>
        </is>
      </c>
      <c r="N1172" s="178" t="n"/>
      <c r="O1172" s="179" t="n"/>
    </row>
    <row r="1173" ht="18.75" customHeight="1">
      <c r="B1173" s="177" t="inlineStr">
        <is>
          <t>FAMÍLIA</t>
        </is>
      </c>
      <c r="C1173" s="178" t="n"/>
      <c r="D1173" s="179" t="n"/>
      <c r="E1173" s="181" t="n"/>
      <c r="F1173" s="178" t="n"/>
      <c r="G1173" s="179" t="n"/>
      <c r="J1173" s="177" t="inlineStr">
        <is>
          <t>FAMÍLIA</t>
        </is>
      </c>
      <c r="K1173" s="178" t="n"/>
      <c r="L1173" s="179" t="n"/>
      <c r="M1173" s="181" t="n"/>
      <c r="N1173" s="178" t="n"/>
      <c r="O1173" s="179" t="n"/>
    </row>
    <row r="1174" ht="18.75" customHeight="1">
      <c r="B1174" s="177" t="inlineStr">
        <is>
          <t>PESO</t>
        </is>
      </c>
      <c r="C1174" s="178" t="n"/>
      <c r="D1174" s="179" t="n"/>
      <c r="E1174" s="181" t="n"/>
      <c r="F1174" s="178" t="n"/>
      <c r="G1174" s="179" t="n"/>
      <c r="J1174" s="177" t="inlineStr">
        <is>
          <t>PESO</t>
        </is>
      </c>
      <c r="K1174" s="178" t="n"/>
      <c r="L1174" s="179" t="n"/>
      <c r="M1174" s="181" t="n"/>
      <c r="N1174" s="178" t="n"/>
      <c r="O1174" s="179" t="n"/>
    </row>
    <row r="1175" ht="18.75" customHeight="1">
      <c r="B1175" s="177" t="inlineStr">
        <is>
          <t>EXIGE TR</t>
        </is>
      </c>
      <c r="C1175" s="178" t="n"/>
      <c r="D1175" s="179" t="n"/>
      <c r="E1175" s="181" t="n"/>
      <c r="F1175" s="178" t="n"/>
      <c r="G1175" s="179" t="n"/>
      <c r="J1175" s="177" t="inlineStr">
        <is>
          <t>EXIGE TR</t>
        </is>
      </c>
      <c r="K1175" s="178" t="n"/>
      <c r="L1175" s="179" t="n"/>
      <c r="M1175" s="181" t="n"/>
      <c r="N1175" s="178" t="n"/>
      <c r="O1175" s="179" t="n"/>
    </row>
    <row r="1176" ht="18.75" customHeight="1"/>
    <row r="1177" ht="18.75" customHeight="1">
      <c r="B1177" s="177" t="inlineStr">
        <is>
          <t>REQUISITOS E REPETIÇÃO</t>
        </is>
      </c>
      <c r="C1177" s="178" t="n"/>
      <c r="D1177" s="178" t="n"/>
      <c r="E1177" s="178" t="n"/>
      <c r="F1177" s="178" t="n"/>
      <c r="G1177" s="179" t="n"/>
      <c r="J1177" s="177" t="inlineStr">
        <is>
          <t>REQUISITOS E REPETIÇÃO</t>
        </is>
      </c>
      <c r="K1177" s="178" t="n"/>
      <c r="L1177" s="178" t="n"/>
      <c r="M1177" s="178" t="n"/>
      <c r="N1177" s="178" t="n"/>
      <c r="O1177" s="179" t="n"/>
    </row>
    <row r="1178" ht="18.75" customHeight="1">
      <c r="B1178" s="183" t="n"/>
      <c r="C1178" s="184" t="n"/>
      <c r="D1178" s="184" t="n"/>
      <c r="E1178" s="184" t="n"/>
      <c r="F1178" s="184" t="n"/>
      <c r="G1178" s="185" t="n"/>
      <c r="J1178" s="183" t="n"/>
      <c r="K1178" s="184" t="n"/>
      <c r="L1178" s="184" t="n"/>
      <c r="M1178" s="184" t="n"/>
      <c r="N1178" s="184" t="n"/>
      <c r="O1178" s="185" t="n"/>
    </row>
    <row r="1179" ht="18.75" customHeight="1">
      <c r="B1179" s="186" t="n"/>
      <c r="G1179" s="187" t="n"/>
      <c r="J1179" s="186" t="n"/>
      <c r="O1179" s="187" t="n"/>
    </row>
    <row r="1180" ht="18.75" customHeight="1">
      <c r="B1180" s="186" t="n"/>
      <c r="G1180" s="187" t="n"/>
      <c r="J1180" s="186" t="n"/>
      <c r="O1180" s="187" t="n"/>
    </row>
    <row r="1181" ht="18.75" customHeight="1">
      <c r="B1181" s="188" t="n"/>
      <c r="C1181" s="189" t="n"/>
      <c r="D1181" s="189" t="n"/>
      <c r="E1181" s="189" t="n"/>
      <c r="F1181" s="189" t="n"/>
      <c r="G1181" s="190" t="n"/>
      <c r="J1181" s="188" t="n"/>
      <c r="K1181" s="189" t="n"/>
      <c r="L1181" s="189" t="n"/>
      <c r="M1181" s="189" t="n"/>
      <c r="N1181" s="189" t="n"/>
      <c r="O1181" s="190" t="n"/>
    </row>
    <row r="1182" ht="18.75" customHeight="1"/>
    <row r="1183" ht="18.75" customHeight="1">
      <c r="B1183" s="177" t="inlineStr">
        <is>
          <t>EFEITO</t>
        </is>
      </c>
      <c r="C1183" s="178" t="n"/>
      <c r="D1183" s="178" t="n"/>
      <c r="E1183" s="178" t="n"/>
      <c r="F1183" s="178" t="n"/>
      <c r="G1183" s="179" t="n"/>
      <c r="J1183" s="177" t="inlineStr">
        <is>
          <t>EFEITO</t>
        </is>
      </c>
      <c r="K1183" s="178" t="n"/>
      <c r="L1183" s="178" t="n"/>
      <c r="M1183" s="178" t="n"/>
      <c r="N1183" s="178" t="n"/>
      <c r="O1183" s="179" t="n"/>
    </row>
    <row r="1184" ht="18.75" customHeight="1">
      <c r="B1184" s="183" t="n"/>
      <c r="C1184" s="184" t="n"/>
      <c r="D1184" s="184" t="n"/>
      <c r="E1184" s="184" t="n"/>
      <c r="F1184" s="184" t="n"/>
      <c r="G1184" s="185" t="n"/>
      <c r="J1184" s="183" t="n"/>
      <c r="K1184" s="184" t="n"/>
      <c r="L1184" s="184" t="n"/>
      <c r="M1184" s="184" t="n"/>
      <c r="N1184" s="184" t="n"/>
      <c r="O1184" s="185" t="n"/>
    </row>
    <row r="1185" ht="18.75" customHeight="1">
      <c r="B1185" s="186" t="n"/>
      <c r="G1185" s="187" t="n"/>
      <c r="J1185" s="186" t="n"/>
      <c r="O1185" s="187" t="n"/>
    </row>
    <row r="1186" ht="18.75" customHeight="1">
      <c r="B1186" s="186" t="n"/>
      <c r="G1186" s="187" t="n"/>
      <c r="J1186" s="186" t="n"/>
      <c r="O1186" s="187" t="n"/>
    </row>
    <row r="1187" ht="18.75" customHeight="1">
      <c r="B1187" s="186" t="n"/>
      <c r="G1187" s="187" t="n"/>
      <c r="J1187" s="186" t="n"/>
      <c r="O1187" s="187" t="n"/>
    </row>
    <row r="1188" ht="18.75" customHeight="1">
      <c r="B1188" s="188" t="n"/>
      <c r="C1188" s="189" t="n"/>
      <c r="D1188" s="189" t="n"/>
      <c r="E1188" s="189" t="n"/>
      <c r="F1188" s="189" t="n"/>
      <c r="G1188" s="190" t="n"/>
      <c r="J1188" s="188" t="n"/>
      <c r="K1188" s="189" t="n"/>
      <c r="L1188" s="189" t="n"/>
      <c r="M1188" s="189" t="n"/>
      <c r="N1188" s="189" t="n"/>
      <c r="O1188" s="190" t="n"/>
    </row>
    <row r="1189" ht="18.75" customHeight="1"/>
    <row r="1190" ht="18.75" customHeight="1">
      <c r="B1190" s="175">
        <f>IF('DADOS_MELHORIAS'!$M$14="","","⚠ "&amp;'DADOS_MELHORIAS'!$M$14)</f>
        <v/>
      </c>
      <c r="J1190" s="175">
        <f>IF('DADOS_MELHORIAS'!$M$15="","","⚠ "&amp;'DADOS_MELHORIAS'!$M$15)</f>
        <v/>
      </c>
    </row>
    <row r="1191" ht="18.75" customHeight="1"/>
    <row r="1192" ht="18.75" customHeight="1"/>
    <row r="1193" ht="18.75" customHeight="1">
      <c r="B1193" s="176" t="inlineStr">
        <is>
          <t>MELHORIA · 15</t>
        </is>
      </c>
      <c r="J1193" s="176" t="inlineStr">
        <is>
          <t>MELHORIA · 16</t>
        </is>
      </c>
    </row>
    <row r="1194" ht="18.75" customHeight="1">
      <c r="B1194" s="177" t="inlineStr">
        <is>
          <t>TIPO</t>
        </is>
      </c>
      <c r="C1194" s="178" t="n"/>
      <c r="D1194" s="178" t="n"/>
      <c r="E1194" s="179" t="n"/>
      <c r="F1194" s="177" t="inlineStr">
        <is>
          <t>MESTRE VIU</t>
        </is>
      </c>
      <c r="G1194" s="179" t="n"/>
      <c r="J1194" s="177" t="inlineStr">
        <is>
          <t>TIPO</t>
        </is>
      </c>
      <c r="K1194" s="178" t="n"/>
      <c r="L1194" s="178" t="n"/>
      <c r="M1194" s="179" t="n"/>
      <c r="N1194" s="177" t="inlineStr">
        <is>
          <t>MESTRE VIU</t>
        </is>
      </c>
      <c r="O1194" s="179" t="n"/>
    </row>
    <row r="1195" ht="18.75" customHeight="1">
      <c r="B1195" s="181" t="inlineStr">
        <is>
          <t>Melhoria</t>
        </is>
      </c>
      <c r="C1195" s="178" t="n"/>
      <c r="D1195" s="178" t="n"/>
      <c r="E1195" s="179" t="n"/>
      <c r="F1195" s="180" t="b">
        <v>0</v>
      </c>
      <c r="G1195" s="179" t="n"/>
      <c r="J1195" s="181" t="inlineStr">
        <is>
          <t>Melhoria</t>
        </is>
      </c>
      <c r="K1195" s="178" t="n"/>
      <c r="L1195" s="178" t="n"/>
      <c r="M1195" s="179" t="n"/>
      <c r="N1195" s="180" t="b">
        <v>0</v>
      </c>
      <c r="O1195" s="179" t="n"/>
    </row>
    <row r="1196" ht="18.75" customHeight="1">
      <c r="B1196" s="177" t="inlineStr">
        <is>
          <t>NOME</t>
        </is>
      </c>
      <c r="C1196" s="178" t="n"/>
      <c r="D1196" s="178" t="n"/>
      <c r="E1196" s="178" t="n"/>
      <c r="F1196" s="178" t="n"/>
      <c r="G1196" s="179" t="n"/>
      <c r="J1196" s="177" t="inlineStr">
        <is>
          <t>NOME</t>
        </is>
      </c>
      <c r="K1196" s="178" t="n"/>
      <c r="L1196" s="178" t="n"/>
      <c r="M1196" s="178" t="n"/>
      <c r="N1196" s="178" t="n"/>
      <c r="O1196" s="179" t="n"/>
    </row>
    <row r="1197" ht="18.75" customHeight="1">
      <c r="B1197" s="181" t="n"/>
      <c r="C1197" s="178" t="n"/>
      <c r="D1197" s="178" t="n"/>
      <c r="E1197" s="178" t="n"/>
      <c r="F1197" s="178" t="n"/>
      <c r="G1197" s="179" t="n"/>
      <c r="J1197" s="181" t="n"/>
      <c r="K1197" s="178" t="n"/>
      <c r="L1197" s="178" t="n"/>
      <c r="M1197" s="178" t="n"/>
      <c r="N1197" s="178" t="n"/>
      <c r="O1197" s="179" t="n"/>
    </row>
    <row r="1198" ht="18.75" customHeight="1">
      <c r="B1198" s="177" t="inlineStr">
        <is>
          <t>BASE DO LIVRO</t>
        </is>
      </c>
      <c r="C1198" s="178" t="n"/>
      <c r="D1198" s="179" t="n"/>
      <c r="E1198" s="181" t="inlineStr">
        <is>
          <t>Nenhuma</t>
        </is>
      </c>
      <c r="F1198" s="178" t="n"/>
      <c r="G1198" s="179" t="n"/>
      <c r="J1198" s="177" t="inlineStr">
        <is>
          <t>BASE DO LIVRO</t>
        </is>
      </c>
      <c r="K1198" s="178" t="n"/>
      <c r="L1198" s="179" t="n"/>
      <c r="M1198" s="181" t="inlineStr">
        <is>
          <t>Nenhuma</t>
        </is>
      </c>
      <c r="N1198" s="178" t="n"/>
      <c r="O1198" s="179" t="n"/>
    </row>
    <row r="1199" ht="18.75" customHeight="1">
      <c r="B1199" s="177" t="inlineStr">
        <is>
          <t>FAMÍLIA</t>
        </is>
      </c>
      <c r="C1199" s="178" t="n"/>
      <c r="D1199" s="179" t="n"/>
      <c r="E1199" s="181" t="n"/>
      <c r="F1199" s="178" t="n"/>
      <c r="G1199" s="179" t="n"/>
      <c r="J1199" s="177" t="inlineStr">
        <is>
          <t>FAMÍLIA</t>
        </is>
      </c>
      <c r="K1199" s="178" t="n"/>
      <c r="L1199" s="179" t="n"/>
      <c r="M1199" s="181" t="n"/>
      <c r="N1199" s="178" t="n"/>
      <c r="O1199" s="179" t="n"/>
    </row>
    <row r="1200" ht="18.75" customHeight="1">
      <c r="B1200" s="177" t="inlineStr">
        <is>
          <t>PESO</t>
        </is>
      </c>
      <c r="C1200" s="178" t="n"/>
      <c r="D1200" s="179" t="n"/>
      <c r="E1200" s="181" t="n"/>
      <c r="F1200" s="178" t="n"/>
      <c r="G1200" s="179" t="n"/>
      <c r="J1200" s="177" t="inlineStr">
        <is>
          <t>PESO</t>
        </is>
      </c>
      <c r="K1200" s="178" t="n"/>
      <c r="L1200" s="179" t="n"/>
      <c r="M1200" s="181" t="n"/>
      <c r="N1200" s="178" t="n"/>
      <c r="O1200" s="179" t="n"/>
    </row>
    <row r="1201" ht="18.75" customHeight="1">
      <c r="B1201" s="177" t="inlineStr">
        <is>
          <t>EXIGE TR</t>
        </is>
      </c>
      <c r="C1201" s="178" t="n"/>
      <c r="D1201" s="179" t="n"/>
      <c r="E1201" s="181" t="n"/>
      <c r="F1201" s="178" t="n"/>
      <c r="G1201" s="179" t="n"/>
      <c r="J1201" s="177" t="inlineStr">
        <is>
          <t>EXIGE TR</t>
        </is>
      </c>
      <c r="K1201" s="178" t="n"/>
      <c r="L1201" s="179" t="n"/>
      <c r="M1201" s="181" t="n"/>
      <c r="N1201" s="178" t="n"/>
      <c r="O1201" s="179" t="n"/>
    </row>
    <row r="1202" ht="18.75" customHeight="1"/>
    <row r="1203" ht="18.75" customHeight="1">
      <c r="B1203" s="177" t="inlineStr">
        <is>
          <t>REQUISITOS E REPETIÇÃO</t>
        </is>
      </c>
      <c r="C1203" s="178" t="n"/>
      <c r="D1203" s="178" t="n"/>
      <c r="E1203" s="178" t="n"/>
      <c r="F1203" s="178" t="n"/>
      <c r="G1203" s="179" t="n"/>
      <c r="J1203" s="177" t="inlineStr">
        <is>
          <t>REQUISITOS E REPETIÇÃO</t>
        </is>
      </c>
      <c r="K1203" s="178" t="n"/>
      <c r="L1203" s="178" t="n"/>
      <c r="M1203" s="178" t="n"/>
      <c r="N1203" s="178" t="n"/>
      <c r="O1203" s="179" t="n"/>
    </row>
    <row r="1204" ht="18.75" customHeight="1">
      <c r="B1204" s="183" t="n"/>
      <c r="C1204" s="184" t="n"/>
      <c r="D1204" s="184" t="n"/>
      <c r="E1204" s="184" t="n"/>
      <c r="F1204" s="184" t="n"/>
      <c r="G1204" s="185" t="n"/>
      <c r="J1204" s="183" t="n"/>
      <c r="K1204" s="184" t="n"/>
      <c r="L1204" s="184" t="n"/>
      <c r="M1204" s="184" t="n"/>
      <c r="N1204" s="184" t="n"/>
      <c r="O1204" s="185" t="n"/>
    </row>
    <row r="1205" ht="18.75" customHeight="1">
      <c r="B1205" s="186" t="n"/>
      <c r="G1205" s="187" t="n"/>
      <c r="J1205" s="186" t="n"/>
      <c r="O1205" s="187" t="n"/>
    </row>
    <row r="1206" ht="18.75" customHeight="1">
      <c r="B1206" s="186" t="n"/>
      <c r="G1206" s="187" t="n"/>
      <c r="J1206" s="186" t="n"/>
      <c r="O1206" s="187" t="n"/>
    </row>
    <row r="1207" ht="18.75" customHeight="1">
      <c r="B1207" s="188" t="n"/>
      <c r="C1207" s="189" t="n"/>
      <c r="D1207" s="189" t="n"/>
      <c r="E1207" s="189" t="n"/>
      <c r="F1207" s="189" t="n"/>
      <c r="G1207" s="190" t="n"/>
      <c r="J1207" s="188" t="n"/>
      <c r="K1207" s="189" t="n"/>
      <c r="L1207" s="189" t="n"/>
      <c r="M1207" s="189" t="n"/>
      <c r="N1207" s="189" t="n"/>
      <c r="O1207" s="190" t="n"/>
    </row>
    <row r="1208" ht="18.75" customHeight="1"/>
    <row r="1209" ht="18.75" customHeight="1">
      <c r="B1209" s="177" t="inlineStr">
        <is>
          <t>EFEITO</t>
        </is>
      </c>
      <c r="C1209" s="178" t="n"/>
      <c r="D1209" s="178" t="n"/>
      <c r="E1209" s="178" t="n"/>
      <c r="F1209" s="178" t="n"/>
      <c r="G1209" s="179" t="n"/>
      <c r="J1209" s="177" t="inlineStr">
        <is>
          <t>EFEITO</t>
        </is>
      </c>
      <c r="K1209" s="178" t="n"/>
      <c r="L1209" s="178" t="n"/>
      <c r="M1209" s="178" t="n"/>
      <c r="N1209" s="178" t="n"/>
      <c r="O1209" s="179" t="n"/>
    </row>
    <row r="1210" ht="18.75" customHeight="1">
      <c r="B1210" s="183" t="n"/>
      <c r="C1210" s="184" t="n"/>
      <c r="D1210" s="184" t="n"/>
      <c r="E1210" s="184" t="n"/>
      <c r="F1210" s="184" t="n"/>
      <c r="G1210" s="185" t="n"/>
      <c r="J1210" s="183" t="n"/>
      <c r="K1210" s="184" t="n"/>
      <c r="L1210" s="184" t="n"/>
      <c r="M1210" s="184" t="n"/>
      <c r="N1210" s="184" t="n"/>
      <c r="O1210" s="185" t="n"/>
    </row>
    <row r="1211" ht="18.75" customHeight="1">
      <c r="B1211" s="186" t="n"/>
      <c r="G1211" s="187" t="n"/>
      <c r="J1211" s="186" t="n"/>
      <c r="O1211" s="187" t="n"/>
    </row>
    <row r="1212" ht="18.75" customHeight="1">
      <c r="B1212" s="186" t="n"/>
      <c r="G1212" s="187" t="n"/>
      <c r="J1212" s="186" t="n"/>
      <c r="O1212" s="187" t="n"/>
    </row>
    <row r="1213" ht="18.75" customHeight="1">
      <c r="B1213" s="186" t="n"/>
      <c r="G1213" s="187" t="n"/>
      <c r="J1213" s="186" t="n"/>
      <c r="O1213" s="187" t="n"/>
    </row>
    <row r="1214" ht="18.75" customHeight="1">
      <c r="B1214" s="188" t="n"/>
      <c r="C1214" s="189" t="n"/>
      <c r="D1214" s="189" t="n"/>
      <c r="E1214" s="189" t="n"/>
      <c r="F1214" s="189" t="n"/>
      <c r="G1214" s="190" t="n"/>
      <c r="J1214" s="188" t="n"/>
      <c r="K1214" s="189" t="n"/>
      <c r="L1214" s="189" t="n"/>
      <c r="M1214" s="189" t="n"/>
      <c r="N1214" s="189" t="n"/>
      <c r="O1214" s="190" t="n"/>
    </row>
    <row r="1215" ht="18.75" customHeight="1"/>
    <row r="1216" ht="18.75" customHeight="1">
      <c r="B1216" s="175">
        <f>IF('DADOS_MELHORIAS'!$M$16="","","⚠ "&amp;'DADOS_MELHORIAS'!$M$16)</f>
        <v/>
      </c>
      <c r="J1216" s="175">
        <f>IF('DADOS_MELHORIAS'!$M$17="","","⚠ "&amp;'DADOS_MELHORIAS'!$M$17)</f>
        <v/>
      </c>
    </row>
    <row r="1217" ht="18.75" customHeight="1"/>
    <row r="1218" ht="18.75" customHeight="1"/>
    <row r="1219" ht="18.75" customHeight="1">
      <c r="B1219" s="176" t="inlineStr">
        <is>
          <t>MELHORIA · 17</t>
        </is>
      </c>
      <c r="J1219" s="176" t="inlineStr">
        <is>
          <t>MELHORIA · 18</t>
        </is>
      </c>
    </row>
    <row r="1220" ht="18.75" customHeight="1">
      <c r="B1220" s="177" t="inlineStr">
        <is>
          <t>TIPO</t>
        </is>
      </c>
      <c r="C1220" s="178" t="n"/>
      <c r="D1220" s="178" t="n"/>
      <c r="E1220" s="179" t="n"/>
      <c r="F1220" s="177" t="inlineStr">
        <is>
          <t>MESTRE VIU</t>
        </is>
      </c>
      <c r="G1220" s="179" t="n"/>
      <c r="J1220" s="177" t="inlineStr">
        <is>
          <t>TIPO</t>
        </is>
      </c>
      <c r="K1220" s="178" t="n"/>
      <c r="L1220" s="178" t="n"/>
      <c r="M1220" s="179" t="n"/>
      <c r="N1220" s="177" t="inlineStr">
        <is>
          <t>MESTRE VIU</t>
        </is>
      </c>
      <c r="O1220" s="179" t="n"/>
    </row>
    <row r="1221" ht="18.75" customHeight="1">
      <c r="B1221" s="181" t="inlineStr">
        <is>
          <t>Melhoria</t>
        </is>
      </c>
      <c r="C1221" s="178" t="n"/>
      <c r="D1221" s="178" t="n"/>
      <c r="E1221" s="179" t="n"/>
      <c r="F1221" s="180" t="b">
        <v>0</v>
      </c>
      <c r="G1221" s="179" t="n"/>
      <c r="J1221" s="181" t="inlineStr">
        <is>
          <t>Melhoria</t>
        </is>
      </c>
      <c r="K1221" s="178" t="n"/>
      <c r="L1221" s="178" t="n"/>
      <c r="M1221" s="179" t="n"/>
      <c r="N1221" s="180" t="b">
        <v>0</v>
      </c>
      <c r="O1221" s="179" t="n"/>
    </row>
    <row r="1222" ht="18.75" customHeight="1">
      <c r="B1222" s="177" t="inlineStr">
        <is>
          <t>NOME</t>
        </is>
      </c>
      <c r="C1222" s="178" t="n"/>
      <c r="D1222" s="178" t="n"/>
      <c r="E1222" s="178" t="n"/>
      <c r="F1222" s="178" t="n"/>
      <c r="G1222" s="179" t="n"/>
      <c r="J1222" s="177" t="inlineStr">
        <is>
          <t>NOME</t>
        </is>
      </c>
      <c r="K1222" s="178" t="n"/>
      <c r="L1222" s="178" t="n"/>
      <c r="M1222" s="178" t="n"/>
      <c r="N1222" s="178" t="n"/>
      <c r="O1222" s="179" t="n"/>
    </row>
    <row r="1223" ht="18.75" customHeight="1">
      <c r="B1223" s="181" t="n"/>
      <c r="C1223" s="178" t="n"/>
      <c r="D1223" s="178" t="n"/>
      <c r="E1223" s="178" t="n"/>
      <c r="F1223" s="178" t="n"/>
      <c r="G1223" s="179" t="n"/>
      <c r="J1223" s="181" t="n"/>
      <c r="K1223" s="178" t="n"/>
      <c r="L1223" s="178" t="n"/>
      <c r="M1223" s="178" t="n"/>
      <c r="N1223" s="178" t="n"/>
      <c r="O1223" s="179" t="n"/>
    </row>
    <row r="1224" ht="18.75" customHeight="1">
      <c r="B1224" s="177" t="inlineStr">
        <is>
          <t>BASE DO LIVRO</t>
        </is>
      </c>
      <c r="C1224" s="178" t="n"/>
      <c r="D1224" s="179" t="n"/>
      <c r="E1224" s="181" t="inlineStr">
        <is>
          <t>Nenhuma</t>
        </is>
      </c>
      <c r="F1224" s="178" t="n"/>
      <c r="G1224" s="179" t="n"/>
      <c r="J1224" s="177" t="inlineStr">
        <is>
          <t>BASE DO LIVRO</t>
        </is>
      </c>
      <c r="K1224" s="178" t="n"/>
      <c r="L1224" s="179" t="n"/>
      <c r="M1224" s="181" t="inlineStr">
        <is>
          <t>Nenhuma</t>
        </is>
      </c>
      <c r="N1224" s="178" t="n"/>
      <c r="O1224" s="179" t="n"/>
    </row>
    <row r="1225" ht="18.75" customHeight="1">
      <c r="B1225" s="177" t="inlineStr">
        <is>
          <t>FAMÍLIA</t>
        </is>
      </c>
      <c r="C1225" s="178" t="n"/>
      <c r="D1225" s="179" t="n"/>
      <c r="E1225" s="181" t="n"/>
      <c r="F1225" s="178" t="n"/>
      <c r="G1225" s="179" t="n"/>
      <c r="J1225" s="177" t="inlineStr">
        <is>
          <t>FAMÍLIA</t>
        </is>
      </c>
      <c r="K1225" s="178" t="n"/>
      <c r="L1225" s="179" t="n"/>
      <c r="M1225" s="181" t="n"/>
      <c r="N1225" s="178" t="n"/>
      <c r="O1225" s="179" t="n"/>
    </row>
    <row r="1226" ht="18.75" customHeight="1">
      <c r="B1226" s="177" t="inlineStr">
        <is>
          <t>PESO</t>
        </is>
      </c>
      <c r="C1226" s="178" t="n"/>
      <c r="D1226" s="179" t="n"/>
      <c r="E1226" s="181" t="n"/>
      <c r="F1226" s="178" t="n"/>
      <c r="G1226" s="179" t="n"/>
      <c r="J1226" s="177" t="inlineStr">
        <is>
          <t>PESO</t>
        </is>
      </c>
      <c r="K1226" s="178" t="n"/>
      <c r="L1226" s="179" t="n"/>
      <c r="M1226" s="181" t="n"/>
      <c r="N1226" s="178" t="n"/>
      <c r="O1226" s="179" t="n"/>
    </row>
    <row r="1227" ht="18.75" customHeight="1">
      <c r="B1227" s="177" t="inlineStr">
        <is>
          <t>EXIGE TR</t>
        </is>
      </c>
      <c r="C1227" s="178" t="n"/>
      <c r="D1227" s="179" t="n"/>
      <c r="E1227" s="181" t="n"/>
      <c r="F1227" s="178" t="n"/>
      <c r="G1227" s="179" t="n"/>
      <c r="J1227" s="177" t="inlineStr">
        <is>
          <t>EXIGE TR</t>
        </is>
      </c>
      <c r="K1227" s="178" t="n"/>
      <c r="L1227" s="179" t="n"/>
      <c r="M1227" s="181" t="n"/>
      <c r="N1227" s="178" t="n"/>
      <c r="O1227" s="179" t="n"/>
    </row>
    <row r="1228" ht="18.75" customHeight="1"/>
    <row r="1229" ht="18.75" customHeight="1">
      <c r="B1229" s="177" t="inlineStr">
        <is>
          <t>REQUISITOS E REPETIÇÃO</t>
        </is>
      </c>
      <c r="C1229" s="178" t="n"/>
      <c r="D1229" s="178" t="n"/>
      <c r="E1229" s="178" t="n"/>
      <c r="F1229" s="178" t="n"/>
      <c r="G1229" s="179" t="n"/>
      <c r="J1229" s="177" t="inlineStr">
        <is>
          <t>REQUISITOS E REPETIÇÃO</t>
        </is>
      </c>
      <c r="K1229" s="178" t="n"/>
      <c r="L1229" s="178" t="n"/>
      <c r="M1229" s="178" t="n"/>
      <c r="N1229" s="178" t="n"/>
      <c r="O1229" s="179" t="n"/>
    </row>
    <row r="1230" ht="18.75" customHeight="1">
      <c r="B1230" s="183" t="n"/>
      <c r="C1230" s="184" t="n"/>
      <c r="D1230" s="184" t="n"/>
      <c r="E1230" s="184" t="n"/>
      <c r="F1230" s="184" t="n"/>
      <c r="G1230" s="185" t="n"/>
      <c r="J1230" s="183" t="n"/>
      <c r="K1230" s="184" t="n"/>
      <c r="L1230" s="184" t="n"/>
      <c r="M1230" s="184" t="n"/>
      <c r="N1230" s="184" t="n"/>
      <c r="O1230" s="185" t="n"/>
    </row>
    <row r="1231" ht="18.75" customHeight="1">
      <c r="B1231" s="186" t="n"/>
      <c r="G1231" s="187" t="n"/>
      <c r="J1231" s="186" t="n"/>
      <c r="O1231" s="187" t="n"/>
    </row>
    <row r="1232" ht="18.75" customHeight="1">
      <c r="B1232" s="186" t="n"/>
      <c r="G1232" s="187" t="n"/>
      <c r="J1232" s="186" t="n"/>
      <c r="O1232" s="187" t="n"/>
    </row>
    <row r="1233" ht="18.75" customHeight="1">
      <c r="B1233" s="188" t="n"/>
      <c r="C1233" s="189" t="n"/>
      <c r="D1233" s="189" t="n"/>
      <c r="E1233" s="189" t="n"/>
      <c r="F1233" s="189" t="n"/>
      <c r="G1233" s="190" t="n"/>
      <c r="J1233" s="188" t="n"/>
      <c r="K1233" s="189" t="n"/>
      <c r="L1233" s="189" t="n"/>
      <c r="M1233" s="189" t="n"/>
      <c r="N1233" s="189" t="n"/>
      <c r="O1233" s="190" t="n"/>
    </row>
    <row r="1234" ht="18.75" customHeight="1"/>
    <row r="1235" ht="18.75" customHeight="1">
      <c r="B1235" s="177" t="inlineStr">
        <is>
          <t>EFEITO</t>
        </is>
      </c>
      <c r="C1235" s="178" t="n"/>
      <c r="D1235" s="178" t="n"/>
      <c r="E1235" s="178" t="n"/>
      <c r="F1235" s="178" t="n"/>
      <c r="G1235" s="179" t="n"/>
      <c r="J1235" s="177" t="inlineStr">
        <is>
          <t>EFEITO</t>
        </is>
      </c>
      <c r="K1235" s="178" t="n"/>
      <c r="L1235" s="178" t="n"/>
      <c r="M1235" s="178" t="n"/>
      <c r="N1235" s="178" t="n"/>
      <c r="O1235" s="179" t="n"/>
    </row>
    <row r="1236" ht="18.75" customHeight="1">
      <c r="B1236" s="183" t="n"/>
      <c r="C1236" s="184" t="n"/>
      <c r="D1236" s="184" t="n"/>
      <c r="E1236" s="184" t="n"/>
      <c r="F1236" s="184" t="n"/>
      <c r="G1236" s="185" t="n"/>
      <c r="J1236" s="183" t="n"/>
      <c r="K1236" s="184" t="n"/>
      <c r="L1236" s="184" t="n"/>
      <c r="M1236" s="184" t="n"/>
      <c r="N1236" s="184" t="n"/>
      <c r="O1236" s="185" t="n"/>
    </row>
    <row r="1237" ht="18.75" customHeight="1">
      <c r="B1237" s="186" t="n"/>
      <c r="G1237" s="187" t="n"/>
      <c r="J1237" s="186" t="n"/>
      <c r="O1237" s="187" t="n"/>
    </row>
    <row r="1238" ht="18.75" customHeight="1">
      <c r="B1238" s="186" t="n"/>
      <c r="G1238" s="187" t="n"/>
      <c r="J1238" s="186" t="n"/>
      <c r="O1238" s="187" t="n"/>
    </row>
    <row r="1239" ht="18.75" customHeight="1">
      <c r="B1239" s="186" t="n"/>
      <c r="G1239" s="187" t="n"/>
      <c r="J1239" s="186" t="n"/>
      <c r="O1239" s="187" t="n"/>
    </row>
    <row r="1240" ht="18.75" customHeight="1">
      <c r="B1240" s="188" t="n"/>
      <c r="C1240" s="189" t="n"/>
      <c r="D1240" s="189" t="n"/>
      <c r="E1240" s="189" t="n"/>
      <c r="F1240" s="189" t="n"/>
      <c r="G1240" s="190" t="n"/>
      <c r="J1240" s="188" t="n"/>
      <c r="K1240" s="189" t="n"/>
      <c r="L1240" s="189" t="n"/>
      <c r="M1240" s="189" t="n"/>
      <c r="N1240" s="189" t="n"/>
      <c r="O1240" s="190" t="n"/>
    </row>
    <row r="1241" ht="18.75" customHeight="1"/>
    <row r="1242" ht="18.75" customHeight="1">
      <c r="B1242" s="175">
        <f>IF('DADOS_MELHORIAS'!$M$18="","","⚠ "&amp;'DADOS_MELHORIAS'!$M$18)</f>
        <v/>
      </c>
      <c r="J1242" s="175">
        <f>IF('DADOS_MELHORIAS'!$M$19="","","⚠ "&amp;'DADOS_MELHORIAS'!$M$19)</f>
        <v/>
      </c>
    </row>
    <row r="1243" ht="18.75" customHeight="1"/>
    <row r="1244" ht="18.75" customHeight="1"/>
    <row r="1245" ht="18.75" customHeight="1">
      <c r="B1245" s="176" t="inlineStr">
        <is>
          <t>MELHORIA · 19</t>
        </is>
      </c>
      <c r="J1245" s="176" t="inlineStr">
        <is>
          <t>MELHORIA · 20</t>
        </is>
      </c>
    </row>
    <row r="1246" ht="18.75" customHeight="1">
      <c r="B1246" s="177" t="inlineStr">
        <is>
          <t>TIPO</t>
        </is>
      </c>
      <c r="C1246" s="178" t="n"/>
      <c r="D1246" s="178" t="n"/>
      <c r="E1246" s="179" t="n"/>
      <c r="F1246" s="177" t="inlineStr">
        <is>
          <t>MESTRE VIU</t>
        </is>
      </c>
      <c r="G1246" s="179" t="n"/>
      <c r="J1246" s="177" t="inlineStr">
        <is>
          <t>TIPO</t>
        </is>
      </c>
      <c r="K1246" s="178" t="n"/>
      <c r="L1246" s="178" t="n"/>
      <c r="M1246" s="179" t="n"/>
      <c r="N1246" s="177" t="inlineStr">
        <is>
          <t>MESTRE VIU</t>
        </is>
      </c>
      <c r="O1246" s="179" t="n"/>
    </row>
    <row r="1247" ht="18.75" customHeight="1">
      <c r="B1247" s="181" t="inlineStr">
        <is>
          <t>Melhoria</t>
        </is>
      </c>
      <c r="C1247" s="178" t="n"/>
      <c r="D1247" s="178" t="n"/>
      <c r="E1247" s="179" t="n"/>
      <c r="F1247" s="180" t="b">
        <v>0</v>
      </c>
      <c r="G1247" s="179" t="n"/>
      <c r="J1247" s="181" t="inlineStr">
        <is>
          <t>Melhoria</t>
        </is>
      </c>
      <c r="K1247" s="178" t="n"/>
      <c r="L1247" s="178" t="n"/>
      <c r="M1247" s="179" t="n"/>
      <c r="N1247" s="180" t="b">
        <v>0</v>
      </c>
      <c r="O1247" s="179" t="n"/>
    </row>
    <row r="1248" ht="18.75" customHeight="1">
      <c r="B1248" s="177" t="inlineStr">
        <is>
          <t>NOME</t>
        </is>
      </c>
      <c r="C1248" s="178" t="n"/>
      <c r="D1248" s="178" t="n"/>
      <c r="E1248" s="178" t="n"/>
      <c r="F1248" s="178" t="n"/>
      <c r="G1248" s="179" t="n"/>
      <c r="J1248" s="177" t="inlineStr">
        <is>
          <t>NOME</t>
        </is>
      </c>
      <c r="K1248" s="178" t="n"/>
      <c r="L1248" s="178" t="n"/>
      <c r="M1248" s="178" t="n"/>
      <c r="N1248" s="178" t="n"/>
      <c r="O1248" s="179" t="n"/>
    </row>
    <row r="1249" ht="18.75" customHeight="1">
      <c r="B1249" s="181" t="n"/>
      <c r="C1249" s="178" t="n"/>
      <c r="D1249" s="178" t="n"/>
      <c r="E1249" s="178" t="n"/>
      <c r="F1249" s="178" t="n"/>
      <c r="G1249" s="179" t="n"/>
      <c r="J1249" s="181" t="n"/>
      <c r="K1249" s="178" t="n"/>
      <c r="L1249" s="178" t="n"/>
      <c r="M1249" s="178" t="n"/>
      <c r="N1249" s="178" t="n"/>
      <c r="O1249" s="179" t="n"/>
    </row>
    <row r="1250" ht="18.75" customHeight="1">
      <c r="B1250" s="177" t="inlineStr">
        <is>
          <t>BASE DO LIVRO</t>
        </is>
      </c>
      <c r="C1250" s="178" t="n"/>
      <c r="D1250" s="179" t="n"/>
      <c r="E1250" s="181" t="inlineStr">
        <is>
          <t>Nenhuma</t>
        </is>
      </c>
      <c r="F1250" s="178" t="n"/>
      <c r="G1250" s="179" t="n"/>
      <c r="J1250" s="177" t="inlineStr">
        <is>
          <t>BASE DO LIVRO</t>
        </is>
      </c>
      <c r="K1250" s="178" t="n"/>
      <c r="L1250" s="179" t="n"/>
      <c r="M1250" s="181" t="inlineStr">
        <is>
          <t>Nenhuma</t>
        </is>
      </c>
      <c r="N1250" s="178" t="n"/>
      <c r="O1250" s="179" t="n"/>
    </row>
    <row r="1251" ht="18.75" customHeight="1">
      <c r="B1251" s="177" t="inlineStr">
        <is>
          <t>FAMÍLIA</t>
        </is>
      </c>
      <c r="C1251" s="178" t="n"/>
      <c r="D1251" s="179" t="n"/>
      <c r="E1251" s="181" t="n"/>
      <c r="F1251" s="178" t="n"/>
      <c r="G1251" s="179" t="n"/>
      <c r="J1251" s="177" t="inlineStr">
        <is>
          <t>FAMÍLIA</t>
        </is>
      </c>
      <c r="K1251" s="178" t="n"/>
      <c r="L1251" s="179" t="n"/>
      <c r="M1251" s="181" t="n"/>
      <c r="N1251" s="178" t="n"/>
      <c r="O1251" s="179" t="n"/>
    </row>
    <row r="1252" ht="18.75" customHeight="1">
      <c r="B1252" s="177" t="inlineStr">
        <is>
          <t>PESO</t>
        </is>
      </c>
      <c r="C1252" s="178" t="n"/>
      <c r="D1252" s="179" t="n"/>
      <c r="E1252" s="181" t="n"/>
      <c r="F1252" s="178" t="n"/>
      <c r="G1252" s="179" t="n"/>
      <c r="J1252" s="177" t="inlineStr">
        <is>
          <t>PESO</t>
        </is>
      </c>
      <c r="K1252" s="178" t="n"/>
      <c r="L1252" s="179" t="n"/>
      <c r="M1252" s="181" t="n"/>
      <c r="N1252" s="178" t="n"/>
      <c r="O1252" s="179" t="n"/>
    </row>
    <row r="1253" ht="18.75" customHeight="1">
      <c r="B1253" s="177" t="inlineStr">
        <is>
          <t>EXIGE TR</t>
        </is>
      </c>
      <c r="C1253" s="178" t="n"/>
      <c r="D1253" s="179" t="n"/>
      <c r="E1253" s="181" t="n"/>
      <c r="F1253" s="178" t="n"/>
      <c r="G1253" s="179" t="n"/>
      <c r="J1253" s="177" t="inlineStr">
        <is>
          <t>EXIGE TR</t>
        </is>
      </c>
      <c r="K1253" s="178" t="n"/>
      <c r="L1253" s="179" t="n"/>
      <c r="M1253" s="181" t="n"/>
      <c r="N1253" s="178" t="n"/>
      <c r="O1253" s="179" t="n"/>
    </row>
    <row r="1254" ht="18.75" customHeight="1"/>
    <row r="1255" ht="18.75" customHeight="1">
      <c r="B1255" s="177" t="inlineStr">
        <is>
          <t>REQUISITOS E REPETIÇÃO</t>
        </is>
      </c>
      <c r="C1255" s="178" t="n"/>
      <c r="D1255" s="178" t="n"/>
      <c r="E1255" s="178" t="n"/>
      <c r="F1255" s="178" t="n"/>
      <c r="G1255" s="179" t="n"/>
      <c r="J1255" s="177" t="inlineStr">
        <is>
          <t>REQUISITOS E REPETIÇÃO</t>
        </is>
      </c>
      <c r="K1255" s="178" t="n"/>
      <c r="L1255" s="178" t="n"/>
      <c r="M1255" s="178" t="n"/>
      <c r="N1255" s="178" t="n"/>
      <c r="O1255" s="179" t="n"/>
    </row>
    <row r="1256" ht="18.75" customHeight="1">
      <c r="B1256" s="183" t="n"/>
      <c r="C1256" s="184" t="n"/>
      <c r="D1256" s="184" t="n"/>
      <c r="E1256" s="184" t="n"/>
      <c r="F1256" s="184" t="n"/>
      <c r="G1256" s="185" t="n"/>
      <c r="J1256" s="183" t="n"/>
      <c r="K1256" s="184" t="n"/>
      <c r="L1256" s="184" t="n"/>
      <c r="M1256" s="184" t="n"/>
      <c r="N1256" s="184" t="n"/>
      <c r="O1256" s="185" t="n"/>
    </row>
    <row r="1257" ht="18.75" customHeight="1">
      <c r="B1257" s="186" t="n"/>
      <c r="G1257" s="187" t="n"/>
      <c r="J1257" s="186" t="n"/>
      <c r="O1257" s="187" t="n"/>
    </row>
    <row r="1258" ht="18.75" customHeight="1">
      <c r="B1258" s="186" t="n"/>
      <c r="G1258" s="187" t="n"/>
      <c r="J1258" s="186" t="n"/>
      <c r="O1258" s="187" t="n"/>
    </row>
    <row r="1259" ht="18.75" customHeight="1">
      <c r="B1259" s="188" t="n"/>
      <c r="C1259" s="189" t="n"/>
      <c r="D1259" s="189" t="n"/>
      <c r="E1259" s="189" t="n"/>
      <c r="F1259" s="189" t="n"/>
      <c r="G1259" s="190" t="n"/>
      <c r="J1259" s="188" t="n"/>
      <c r="K1259" s="189" t="n"/>
      <c r="L1259" s="189" t="n"/>
      <c r="M1259" s="189" t="n"/>
      <c r="N1259" s="189" t="n"/>
      <c r="O1259" s="190" t="n"/>
    </row>
    <row r="1260" ht="18.75" customHeight="1"/>
    <row r="1261" ht="18.75" customHeight="1">
      <c r="B1261" s="177" t="inlineStr">
        <is>
          <t>EFEITO</t>
        </is>
      </c>
      <c r="C1261" s="178" t="n"/>
      <c r="D1261" s="178" t="n"/>
      <c r="E1261" s="178" t="n"/>
      <c r="F1261" s="178" t="n"/>
      <c r="G1261" s="179" t="n"/>
      <c r="J1261" s="177" t="inlineStr">
        <is>
          <t>EFEITO</t>
        </is>
      </c>
      <c r="K1261" s="178" t="n"/>
      <c r="L1261" s="178" t="n"/>
      <c r="M1261" s="178" t="n"/>
      <c r="N1261" s="178" t="n"/>
      <c r="O1261" s="179" t="n"/>
    </row>
    <row r="1262" ht="18.75" customHeight="1">
      <c r="B1262" s="183" t="n"/>
      <c r="C1262" s="184" t="n"/>
      <c r="D1262" s="184" t="n"/>
      <c r="E1262" s="184" t="n"/>
      <c r="F1262" s="184" t="n"/>
      <c r="G1262" s="185" t="n"/>
      <c r="J1262" s="183" t="n"/>
      <c r="K1262" s="184" t="n"/>
      <c r="L1262" s="184" t="n"/>
      <c r="M1262" s="184" t="n"/>
      <c r="N1262" s="184" t="n"/>
      <c r="O1262" s="185" t="n"/>
    </row>
    <row r="1263" ht="18.75" customHeight="1">
      <c r="B1263" s="186" t="n"/>
      <c r="G1263" s="187" t="n"/>
      <c r="J1263" s="186" t="n"/>
      <c r="O1263" s="187" t="n"/>
    </row>
    <row r="1264" ht="18.75" customHeight="1">
      <c r="B1264" s="186" t="n"/>
      <c r="G1264" s="187" t="n"/>
      <c r="J1264" s="186" t="n"/>
      <c r="O1264" s="187" t="n"/>
    </row>
    <row r="1265" ht="18.75" customHeight="1">
      <c r="B1265" s="186" t="n"/>
      <c r="G1265" s="187" t="n"/>
      <c r="J1265" s="186" t="n"/>
      <c r="O1265" s="187" t="n"/>
    </row>
    <row r="1266" ht="18.75" customHeight="1">
      <c r="B1266" s="188" t="n"/>
      <c r="C1266" s="189" t="n"/>
      <c r="D1266" s="189" t="n"/>
      <c r="E1266" s="189" t="n"/>
      <c r="F1266" s="189" t="n"/>
      <c r="G1266" s="190" t="n"/>
      <c r="J1266" s="188" t="n"/>
      <c r="K1266" s="189" t="n"/>
      <c r="L1266" s="189" t="n"/>
      <c r="M1266" s="189" t="n"/>
      <c r="N1266" s="189" t="n"/>
      <c r="O1266" s="190" t="n"/>
    </row>
    <row r="1267" ht="18.75" customHeight="1"/>
    <row r="1268" ht="18.75" customHeight="1">
      <c r="B1268" s="175">
        <f>IF('DADOS_MELHORIAS'!$M$20="","","⚠ "&amp;'DADOS_MELHORIAS'!$M$20)</f>
        <v/>
      </c>
      <c r="J1268" s="175">
        <f>IF('DADOS_MELHORIAS'!$M$21="","","⚠ "&amp;'DADOS_MELHORIAS'!$M$21)</f>
        <v/>
      </c>
    </row>
    <row r="1269" ht="18.75" customHeight="1"/>
    <row r="1270" ht="18.75" customHeight="1"/>
    <row r="1271" ht="18.75" customHeight="1">
      <c r="B1271" s="176" t="inlineStr">
        <is>
          <t>MELHORIA · 21</t>
        </is>
      </c>
      <c r="J1271" s="176" t="inlineStr">
        <is>
          <t>MELHORIA · 22</t>
        </is>
      </c>
    </row>
    <row r="1272" ht="18.75" customHeight="1">
      <c r="B1272" s="177" t="inlineStr">
        <is>
          <t>TIPO</t>
        </is>
      </c>
      <c r="C1272" s="178" t="n"/>
      <c r="D1272" s="178" t="n"/>
      <c r="E1272" s="179" t="n"/>
      <c r="F1272" s="177" t="inlineStr">
        <is>
          <t>MESTRE VIU</t>
        </is>
      </c>
      <c r="G1272" s="179" t="n"/>
      <c r="J1272" s="177" t="inlineStr">
        <is>
          <t>TIPO</t>
        </is>
      </c>
      <c r="K1272" s="178" t="n"/>
      <c r="L1272" s="178" t="n"/>
      <c r="M1272" s="179" t="n"/>
      <c r="N1272" s="177" t="inlineStr">
        <is>
          <t>MESTRE VIU</t>
        </is>
      </c>
      <c r="O1272" s="179" t="n"/>
    </row>
    <row r="1273" ht="18.75" customHeight="1">
      <c r="B1273" s="181" t="inlineStr">
        <is>
          <t>Melhoria</t>
        </is>
      </c>
      <c r="C1273" s="178" t="n"/>
      <c r="D1273" s="178" t="n"/>
      <c r="E1273" s="179" t="n"/>
      <c r="F1273" s="180" t="b">
        <v>0</v>
      </c>
      <c r="G1273" s="179" t="n"/>
      <c r="J1273" s="181" t="inlineStr">
        <is>
          <t>Melhoria</t>
        </is>
      </c>
      <c r="K1273" s="178" t="n"/>
      <c r="L1273" s="178" t="n"/>
      <c r="M1273" s="179" t="n"/>
      <c r="N1273" s="180" t="b">
        <v>0</v>
      </c>
      <c r="O1273" s="179" t="n"/>
    </row>
    <row r="1274" ht="18.75" customHeight="1">
      <c r="B1274" s="177" t="inlineStr">
        <is>
          <t>NOME</t>
        </is>
      </c>
      <c r="C1274" s="178" t="n"/>
      <c r="D1274" s="178" t="n"/>
      <c r="E1274" s="178" t="n"/>
      <c r="F1274" s="178" t="n"/>
      <c r="G1274" s="179" t="n"/>
      <c r="J1274" s="177" t="inlineStr">
        <is>
          <t>NOME</t>
        </is>
      </c>
      <c r="K1274" s="178" t="n"/>
      <c r="L1274" s="178" t="n"/>
      <c r="M1274" s="178" t="n"/>
      <c r="N1274" s="178" t="n"/>
      <c r="O1274" s="179" t="n"/>
    </row>
    <row r="1275" ht="18.75" customHeight="1">
      <c r="B1275" s="181" t="n"/>
      <c r="C1275" s="178" t="n"/>
      <c r="D1275" s="178" t="n"/>
      <c r="E1275" s="178" t="n"/>
      <c r="F1275" s="178" t="n"/>
      <c r="G1275" s="179" t="n"/>
      <c r="J1275" s="181" t="n"/>
      <c r="K1275" s="178" t="n"/>
      <c r="L1275" s="178" t="n"/>
      <c r="M1275" s="178" t="n"/>
      <c r="N1275" s="178" t="n"/>
      <c r="O1275" s="179" t="n"/>
    </row>
    <row r="1276" ht="18.75" customHeight="1">
      <c r="B1276" s="177" t="inlineStr">
        <is>
          <t>BASE DO LIVRO</t>
        </is>
      </c>
      <c r="C1276" s="178" t="n"/>
      <c r="D1276" s="179" t="n"/>
      <c r="E1276" s="181" t="inlineStr">
        <is>
          <t>Nenhuma</t>
        </is>
      </c>
      <c r="F1276" s="178" t="n"/>
      <c r="G1276" s="179" t="n"/>
      <c r="J1276" s="177" t="inlineStr">
        <is>
          <t>BASE DO LIVRO</t>
        </is>
      </c>
      <c r="K1276" s="178" t="n"/>
      <c r="L1276" s="179" t="n"/>
      <c r="M1276" s="181" t="inlineStr">
        <is>
          <t>Nenhuma</t>
        </is>
      </c>
      <c r="N1276" s="178" t="n"/>
      <c r="O1276" s="179" t="n"/>
    </row>
    <row r="1277" ht="18.75" customHeight="1">
      <c r="B1277" s="177" t="inlineStr">
        <is>
          <t>FAMÍLIA</t>
        </is>
      </c>
      <c r="C1277" s="178" t="n"/>
      <c r="D1277" s="179" t="n"/>
      <c r="E1277" s="181" t="n"/>
      <c r="F1277" s="178" t="n"/>
      <c r="G1277" s="179" t="n"/>
      <c r="J1277" s="177" t="inlineStr">
        <is>
          <t>FAMÍLIA</t>
        </is>
      </c>
      <c r="K1277" s="178" t="n"/>
      <c r="L1277" s="179" t="n"/>
      <c r="M1277" s="181" t="n"/>
      <c r="N1277" s="178" t="n"/>
      <c r="O1277" s="179" t="n"/>
    </row>
    <row r="1278" ht="18.75" customHeight="1">
      <c r="B1278" s="177" t="inlineStr">
        <is>
          <t>PESO</t>
        </is>
      </c>
      <c r="C1278" s="178" t="n"/>
      <c r="D1278" s="179" t="n"/>
      <c r="E1278" s="181" t="n"/>
      <c r="F1278" s="178" t="n"/>
      <c r="G1278" s="179" t="n"/>
      <c r="J1278" s="177" t="inlineStr">
        <is>
          <t>PESO</t>
        </is>
      </c>
      <c r="K1278" s="178" t="n"/>
      <c r="L1278" s="179" t="n"/>
      <c r="M1278" s="181" t="n"/>
      <c r="N1278" s="178" t="n"/>
      <c r="O1278" s="179" t="n"/>
    </row>
    <row r="1279" ht="18.75" customHeight="1">
      <c r="B1279" s="177" t="inlineStr">
        <is>
          <t>EXIGE TR</t>
        </is>
      </c>
      <c r="C1279" s="178" t="n"/>
      <c r="D1279" s="179" t="n"/>
      <c r="E1279" s="181" t="n"/>
      <c r="F1279" s="178" t="n"/>
      <c r="G1279" s="179" t="n"/>
      <c r="J1279" s="177" t="inlineStr">
        <is>
          <t>EXIGE TR</t>
        </is>
      </c>
      <c r="K1279" s="178" t="n"/>
      <c r="L1279" s="179" t="n"/>
      <c r="M1279" s="181" t="n"/>
      <c r="N1279" s="178" t="n"/>
      <c r="O1279" s="179" t="n"/>
    </row>
    <row r="1280" ht="18.75" customHeight="1"/>
    <row r="1281" ht="18.75" customHeight="1">
      <c r="B1281" s="177" t="inlineStr">
        <is>
          <t>REQUISITOS E REPETIÇÃO</t>
        </is>
      </c>
      <c r="C1281" s="178" t="n"/>
      <c r="D1281" s="178" t="n"/>
      <c r="E1281" s="178" t="n"/>
      <c r="F1281" s="178" t="n"/>
      <c r="G1281" s="179" t="n"/>
      <c r="J1281" s="177" t="inlineStr">
        <is>
          <t>REQUISITOS E REPETIÇÃO</t>
        </is>
      </c>
      <c r="K1281" s="178" t="n"/>
      <c r="L1281" s="178" t="n"/>
      <c r="M1281" s="178" t="n"/>
      <c r="N1281" s="178" t="n"/>
      <c r="O1281" s="179" t="n"/>
    </row>
    <row r="1282" ht="18.75" customHeight="1">
      <c r="B1282" s="183" t="n"/>
      <c r="C1282" s="184" t="n"/>
      <c r="D1282" s="184" t="n"/>
      <c r="E1282" s="184" t="n"/>
      <c r="F1282" s="184" t="n"/>
      <c r="G1282" s="185" t="n"/>
      <c r="J1282" s="183" t="n"/>
      <c r="K1282" s="184" t="n"/>
      <c r="L1282" s="184" t="n"/>
      <c r="M1282" s="184" t="n"/>
      <c r="N1282" s="184" t="n"/>
      <c r="O1282" s="185" t="n"/>
    </row>
    <row r="1283" ht="18.75" customHeight="1">
      <c r="B1283" s="186" t="n"/>
      <c r="G1283" s="187" t="n"/>
      <c r="J1283" s="186" t="n"/>
      <c r="O1283" s="187" t="n"/>
    </row>
    <row r="1284" ht="18.75" customHeight="1">
      <c r="B1284" s="186" t="n"/>
      <c r="G1284" s="187" t="n"/>
      <c r="J1284" s="186" t="n"/>
      <c r="O1284" s="187" t="n"/>
    </row>
    <row r="1285" ht="18.75" customHeight="1">
      <c r="B1285" s="188" t="n"/>
      <c r="C1285" s="189" t="n"/>
      <c r="D1285" s="189" t="n"/>
      <c r="E1285" s="189" t="n"/>
      <c r="F1285" s="189" t="n"/>
      <c r="G1285" s="190" t="n"/>
      <c r="J1285" s="188" t="n"/>
      <c r="K1285" s="189" t="n"/>
      <c r="L1285" s="189" t="n"/>
      <c r="M1285" s="189" t="n"/>
      <c r="N1285" s="189" t="n"/>
      <c r="O1285" s="190" t="n"/>
    </row>
    <row r="1286" ht="18.75" customHeight="1"/>
    <row r="1287" ht="18.75" customHeight="1">
      <c r="B1287" s="177" t="inlineStr">
        <is>
          <t>EFEITO</t>
        </is>
      </c>
      <c r="C1287" s="178" t="n"/>
      <c r="D1287" s="178" t="n"/>
      <c r="E1287" s="178" t="n"/>
      <c r="F1287" s="178" t="n"/>
      <c r="G1287" s="179" t="n"/>
      <c r="J1287" s="177" t="inlineStr">
        <is>
          <t>EFEITO</t>
        </is>
      </c>
      <c r="K1287" s="178" t="n"/>
      <c r="L1287" s="178" t="n"/>
      <c r="M1287" s="178" t="n"/>
      <c r="N1287" s="178" t="n"/>
      <c r="O1287" s="179" t="n"/>
    </row>
    <row r="1288" ht="18.75" customHeight="1">
      <c r="B1288" s="183" t="n"/>
      <c r="C1288" s="184" t="n"/>
      <c r="D1288" s="184" t="n"/>
      <c r="E1288" s="184" t="n"/>
      <c r="F1288" s="184" t="n"/>
      <c r="G1288" s="185" t="n"/>
      <c r="J1288" s="183" t="n"/>
      <c r="K1288" s="184" t="n"/>
      <c r="L1288" s="184" t="n"/>
      <c r="M1288" s="184" t="n"/>
      <c r="N1288" s="184" t="n"/>
      <c r="O1288" s="185" t="n"/>
    </row>
    <row r="1289" ht="18.75" customHeight="1">
      <c r="B1289" s="186" t="n"/>
      <c r="G1289" s="187" t="n"/>
      <c r="J1289" s="186" t="n"/>
      <c r="O1289" s="187" t="n"/>
    </row>
    <row r="1290" ht="18.75" customHeight="1">
      <c r="B1290" s="186" t="n"/>
      <c r="G1290" s="187" t="n"/>
      <c r="J1290" s="186" t="n"/>
      <c r="O1290" s="187" t="n"/>
    </row>
    <row r="1291" ht="18.75" customHeight="1">
      <c r="B1291" s="186" t="n"/>
      <c r="G1291" s="187" t="n"/>
      <c r="J1291" s="186" t="n"/>
      <c r="O1291" s="187" t="n"/>
    </row>
    <row r="1292" ht="18.75" customHeight="1">
      <c r="B1292" s="188" t="n"/>
      <c r="C1292" s="189" t="n"/>
      <c r="D1292" s="189" t="n"/>
      <c r="E1292" s="189" t="n"/>
      <c r="F1292" s="189" t="n"/>
      <c r="G1292" s="190" t="n"/>
      <c r="J1292" s="188" t="n"/>
      <c r="K1292" s="189" t="n"/>
      <c r="L1292" s="189" t="n"/>
      <c r="M1292" s="189" t="n"/>
      <c r="N1292" s="189" t="n"/>
      <c r="O1292" s="190" t="n"/>
    </row>
    <row r="1293" ht="18.75" customHeight="1"/>
    <row r="1294" ht="18.75" customHeight="1">
      <c r="B1294" s="175">
        <f>IF('DADOS_MELHORIAS'!$M$22="","","⚠ "&amp;'DADOS_MELHORIAS'!$M$22)</f>
        <v/>
      </c>
      <c r="J1294" s="175">
        <f>IF('DADOS_MELHORIAS'!$M$23="","","⚠ "&amp;'DADOS_MELHORIAS'!$M$23)</f>
        <v/>
      </c>
    </row>
    <row r="1295" ht="18.75" customHeight="1"/>
    <row r="1296" ht="18.75" customHeight="1"/>
    <row r="1297" ht="18.75" customHeight="1">
      <c r="B1297" s="176" t="inlineStr">
        <is>
          <t>MELHORIA · 23</t>
        </is>
      </c>
      <c r="J1297" s="176" t="inlineStr">
        <is>
          <t>MELHORIA · 24</t>
        </is>
      </c>
    </row>
    <row r="1298" ht="18.75" customHeight="1">
      <c r="B1298" s="177" t="inlineStr">
        <is>
          <t>TIPO</t>
        </is>
      </c>
      <c r="C1298" s="178" t="n"/>
      <c r="D1298" s="178" t="n"/>
      <c r="E1298" s="179" t="n"/>
      <c r="F1298" s="177" t="inlineStr">
        <is>
          <t>MESTRE VIU</t>
        </is>
      </c>
      <c r="G1298" s="179" t="n"/>
      <c r="J1298" s="177" t="inlineStr">
        <is>
          <t>TIPO</t>
        </is>
      </c>
      <c r="K1298" s="178" t="n"/>
      <c r="L1298" s="178" t="n"/>
      <c r="M1298" s="179" t="n"/>
      <c r="N1298" s="177" t="inlineStr">
        <is>
          <t>MESTRE VIU</t>
        </is>
      </c>
      <c r="O1298" s="179" t="n"/>
    </row>
    <row r="1299" ht="18.75" customHeight="1">
      <c r="B1299" s="181" t="inlineStr">
        <is>
          <t>Melhoria</t>
        </is>
      </c>
      <c r="C1299" s="178" t="n"/>
      <c r="D1299" s="178" t="n"/>
      <c r="E1299" s="179" t="n"/>
      <c r="F1299" s="180" t="b">
        <v>0</v>
      </c>
      <c r="G1299" s="179" t="n"/>
      <c r="J1299" s="181" t="inlineStr">
        <is>
          <t>Melhoria</t>
        </is>
      </c>
      <c r="K1299" s="178" t="n"/>
      <c r="L1299" s="178" t="n"/>
      <c r="M1299" s="179" t="n"/>
      <c r="N1299" s="180" t="b">
        <v>0</v>
      </c>
      <c r="O1299" s="179" t="n"/>
    </row>
    <row r="1300" ht="18.75" customHeight="1">
      <c r="B1300" s="177" t="inlineStr">
        <is>
          <t>NOME</t>
        </is>
      </c>
      <c r="C1300" s="178" t="n"/>
      <c r="D1300" s="178" t="n"/>
      <c r="E1300" s="178" t="n"/>
      <c r="F1300" s="178" t="n"/>
      <c r="G1300" s="179" t="n"/>
      <c r="J1300" s="177" t="inlineStr">
        <is>
          <t>NOME</t>
        </is>
      </c>
      <c r="K1300" s="178" t="n"/>
      <c r="L1300" s="178" t="n"/>
      <c r="M1300" s="178" t="n"/>
      <c r="N1300" s="178" t="n"/>
      <c r="O1300" s="179" t="n"/>
    </row>
    <row r="1301" ht="18.75" customHeight="1">
      <c r="B1301" s="181" t="n"/>
      <c r="C1301" s="178" t="n"/>
      <c r="D1301" s="178" t="n"/>
      <c r="E1301" s="178" t="n"/>
      <c r="F1301" s="178" t="n"/>
      <c r="G1301" s="179" t="n"/>
      <c r="J1301" s="181" t="n"/>
      <c r="K1301" s="178" t="n"/>
      <c r="L1301" s="178" t="n"/>
      <c r="M1301" s="178" t="n"/>
      <c r="N1301" s="178" t="n"/>
      <c r="O1301" s="179" t="n"/>
    </row>
    <row r="1302" ht="18.75" customHeight="1">
      <c r="B1302" s="177" t="inlineStr">
        <is>
          <t>BASE DO LIVRO</t>
        </is>
      </c>
      <c r="C1302" s="178" t="n"/>
      <c r="D1302" s="179" t="n"/>
      <c r="E1302" s="181" t="inlineStr">
        <is>
          <t>Nenhuma</t>
        </is>
      </c>
      <c r="F1302" s="178" t="n"/>
      <c r="G1302" s="179" t="n"/>
      <c r="J1302" s="177" t="inlineStr">
        <is>
          <t>BASE DO LIVRO</t>
        </is>
      </c>
      <c r="K1302" s="178" t="n"/>
      <c r="L1302" s="179" t="n"/>
      <c r="M1302" s="181" t="inlineStr">
        <is>
          <t>Nenhuma</t>
        </is>
      </c>
      <c r="N1302" s="178" t="n"/>
      <c r="O1302" s="179" t="n"/>
    </row>
    <row r="1303" ht="18.75" customHeight="1">
      <c r="B1303" s="177" t="inlineStr">
        <is>
          <t>FAMÍLIA</t>
        </is>
      </c>
      <c r="C1303" s="178" t="n"/>
      <c r="D1303" s="179" t="n"/>
      <c r="E1303" s="181" t="n"/>
      <c r="F1303" s="178" t="n"/>
      <c r="G1303" s="179" t="n"/>
      <c r="J1303" s="177" t="inlineStr">
        <is>
          <t>FAMÍLIA</t>
        </is>
      </c>
      <c r="K1303" s="178" t="n"/>
      <c r="L1303" s="179" t="n"/>
      <c r="M1303" s="181" t="n"/>
      <c r="N1303" s="178" t="n"/>
      <c r="O1303" s="179" t="n"/>
    </row>
    <row r="1304" ht="18.75" customHeight="1">
      <c r="B1304" s="177" t="inlineStr">
        <is>
          <t>PESO</t>
        </is>
      </c>
      <c r="C1304" s="178" t="n"/>
      <c r="D1304" s="179" t="n"/>
      <c r="E1304" s="181" t="n"/>
      <c r="F1304" s="178" t="n"/>
      <c r="G1304" s="179" t="n"/>
      <c r="J1304" s="177" t="inlineStr">
        <is>
          <t>PESO</t>
        </is>
      </c>
      <c r="K1304" s="178" t="n"/>
      <c r="L1304" s="179" t="n"/>
      <c r="M1304" s="181" t="n"/>
      <c r="N1304" s="178" t="n"/>
      <c r="O1304" s="179" t="n"/>
    </row>
    <row r="1305" ht="18.75" customHeight="1">
      <c r="B1305" s="177" t="inlineStr">
        <is>
          <t>EXIGE TR</t>
        </is>
      </c>
      <c r="C1305" s="178" t="n"/>
      <c r="D1305" s="179" t="n"/>
      <c r="E1305" s="181" t="n"/>
      <c r="F1305" s="178" t="n"/>
      <c r="G1305" s="179" t="n"/>
      <c r="J1305" s="177" t="inlineStr">
        <is>
          <t>EXIGE TR</t>
        </is>
      </c>
      <c r="K1305" s="178" t="n"/>
      <c r="L1305" s="179" t="n"/>
      <c r="M1305" s="181" t="n"/>
      <c r="N1305" s="178" t="n"/>
      <c r="O1305" s="179" t="n"/>
    </row>
    <row r="1306" ht="18.75" customHeight="1"/>
    <row r="1307" ht="18.75" customHeight="1">
      <c r="B1307" s="177" t="inlineStr">
        <is>
          <t>REQUISITOS E REPETIÇÃO</t>
        </is>
      </c>
      <c r="C1307" s="178" t="n"/>
      <c r="D1307" s="178" t="n"/>
      <c r="E1307" s="178" t="n"/>
      <c r="F1307" s="178" t="n"/>
      <c r="G1307" s="179" t="n"/>
      <c r="J1307" s="177" t="inlineStr">
        <is>
          <t>REQUISITOS E REPETIÇÃO</t>
        </is>
      </c>
      <c r="K1307" s="178" t="n"/>
      <c r="L1307" s="178" t="n"/>
      <c r="M1307" s="178" t="n"/>
      <c r="N1307" s="178" t="n"/>
      <c r="O1307" s="179" t="n"/>
    </row>
    <row r="1308" ht="18.75" customHeight="1">
      <c r="B1308" s="183" t="n"/>
      <c r="C1308" s="184" t="n"/>
      <c r="D1308" s="184" t="n"/>
      <c r="E1308" s="184" t="n"/>
      <c r="F1308" s="184" t="n"/>
      <c r="G1308" s="185" t="n"/>
      <c r="J1308" s="183" t="n"/>
      <c r="K1308" s="184" t="n"/>
      <c r="L1308" s="184" t="n"/>
      <c r="M1308" s="184" t="n"/>
      <c r="N1308" s="184" t="n"/>
      <c r="O1308" s="185" t="n"/>
    </row>
    <row r="1309" ht="18.75" customHeight="1">
      <c r="B1309" s="186" t="n"/>
      <c r="G1309" s="187" t="n"/>
      <c r="J1309" s="186" t="n"/>
      <c r="O1309" s="187" t="n"/>
    </row>
    <row r="1310" ht="18.75" customHeight="1">
      <c r="B1310" s="186" t="n"/>
      <c r="G1310" s="187" t="n"/>
      <c r="J1310" s="186" t="n"/>
      <c r="O1310" s="187" t="n"/>
    </row>
    <row r="1311" ht="18.75" customHeight="1">
      <c r="B1311" s="188" t="n"/>
      <c r="C1311" s="189" t="n"/>
      <c r="D1311" s="189" t="n"/>
      <c r="E1311" s="189" t="n"/>
      <c r="F1311" s="189" t="n"/>
      <c r="G1311" s="190" t="n"/>
      <c r="J1311" s="188" t="n"/>
      <c r="K1311" s="189" t="n"/>
      <c r="L1311" s="189" t="n"/>
      <c r="M1311" s="189" t="n"/>
      <c r="N1311" s="189" t="n"/>
      <c r="O1311" s="190" t="n"/>
    </row>
    <row r="1312" ht="18.75" customHeight="1"/>
    <row r="1313" ht="18.75" customHeight="1">
      <c r="B1313" s="177" t="inlineStr">
        <is>
          <t>EFEITO</t>
        </is>
      </c>
      <c r="C1313" s="178" t="n"/>
      <c r="D1313" s="178" t="n"/>
      <c r="E1313" s="178" t="n"/>
      <c r="F1313" s="178" t="n"/>
      <c r="G1313" s="179" t="n"/>
      <c r="J1313" s="177" t="inlineStr">
        <is>
          <t>EFEITO</t>
        </is>
      </c>
      <c r="K1313" s="178" t="n"/>
      <c r="L1313" s="178" t="n"/>
      <c r="M1313" s="178" t="n"/>
      <c r="N1313" s="178" t="n"/>
      <c r="O1313" s="179" t="n"/>
    </row>
    <row r="1314" ht="18.75" customHeight="1">
      <c r="B1314" s="183" t="n"/>
      <c r="C1314" s="184" t="n"/>
      <c r="D1314" s="184" t="n"/>
      <c r="E1314" s="184" t="n"/>
      <c r="F1314" s="184" t="n"/>
      <c r="G1314" s="185" t="n"/>
      <c r="J1314" s="183" t="n"/>
      <c r="K1314" s="184" t="n"/>
      <c r="L1314" s="184" t="n"/>
      <c r="M1314" s="184" t="n"/>
      <c r="N1314" s="184" t="n"/>
      <c r="O1314" s="185" t="n"/>
    </row>
    <row r="1315" ht="18.75" customHeight="1">
      <c r="B1315" s="186" t="n"/>
      <c r="G1315" s="187" t="n"/>
      <c r="J1315" s="186" t="n"/>
      <c r="O1315" s="187" t="n"/>
    </row>
    <row r="1316" ht="18.75" customHeight="1">
      <c r="B1316" s="186" t="n"/>
      <c r="G1316" s="187" t="n"/>
      <c r="J1316" s="186" t="n"/>
      <c r="O1316" s="187" t="n"/>
    </row>
    <row r="1317" ht="18.75" customHeight="1">
      <c r="B1317" s="186" t="n"/>
      <c r="G1317" s="187" t="n"/>
      <c r="J1317" s="186" t="n"/>
      <c r="O1317" s="187" t="n"/>
    </row>
    <row r="1318" ht="18.75" customHeight="1">
      <c r="B1318" s="188" t="n"/>
      <c r="C1318" s="189" t="n"/>
      <c r="D1318" s="189" t="n"/>
      <c r="E1318" s="189" t="n"/>
      <c r="F1318" s="189" t="n"/>
      <c r="G1318" s="190" t="n"/>
      <c r="J1318" s="188" t="n"/>
      <c r="K1318" s="189" t="n"/>
      <c r="L1318" s="189" t="n"/>
      <c r="M1318" s="189" t="n"/>
      <c r="N1318" s="189" t="n"/>
      <c r="O1318" s="190" t="n"/>
    </row>
    <row r="1319" ht="18.75" customHeight="1"/>
    <row r="1320" ht="18.75" customHeight="1">
      <c r="B1320" s="175">
        <f>IF('DADOS_MELHORIAS'!$M$24="","","⚠ "&amp;'DADOS_MELHORIAS'!$M$24)</f>
        <v/>
      </c>
      <c r="J1320" s="175">
        <f>IF('DADOS_MELHORIAS'!$M$25="","","⚠ "&amp;'DADOS_MELHORIAS'!$M$25)</f>
        <v/>
      </c>
    </row>
    <row r="1321" ht="18.75" customHeight="1"/>
    <row r="1322" ht="18.75" customHeight="1"/>
    <row r="1323" ht="18.75" customHeight="1">
      <c r="B1323" s="176" t="inlineStr">
        <is>
          <t>MELHORIA · 25</t>
        </is>
      </c>
      <c r="J1323" s="176" t="inlineStr">
        <is>
          <t>MELHORIA · 26</t>
        </is>
      </c>
    </row>
    <row r="1324" ht="18.75" customHeight="1">
      <c r="B1324" s="177" t="inlineStr">
        <is>
          <t>TIPO</t>
        </is>
      </c>
      <c r="C1324" s="178" t="n"/>
      <c r="D1324" s="178" t="n"/>
      <c r="E1324" s="179" t="n"/>
      <c r="F1324" s="177" t="inlineStr">
        <is>
          <t>MESTRE VIU</t>
        </is>
      </c>
      <c r="G1324" s="179" t="n"/>
      <c r="J1324" s="177" t="inlineStr">
        <is>
          <t>TIPO</t>
        </is>
      </c>
      <c r="K1324" s="178" t="n"/>
      <c r="L1324" s="178" t="n"/>
      <c r="M1324" s="179" t="n"/>
      <c r="N1324" s="177" t="inlineStr">
        <is>
          <t>MESTRE VIU</t>
        </is>
      </c>
      <c r="O1324" s="179" t="n"/>
    </row>
    <row r="1325" ht="18.75" customHeight="1">
      <c r="B1325" s="181" t="inlineStr">
        <is>
          <t>Melhoria</t>
        </is>
      </c>
      <c r="C1325" s="178" t="n"/>
      <c r="D1325" s="178" t="n"/>
      <c r="E1325" s="179" t="n"/>
      <c r="F1325" s="180" t="b">
        <v>0</v>
      </c>
      <c r="G1325" s="179" t="n"/>
      <c r="J1325" s="181" t="inlineStr">
        <is>
          <t>Melhoria</t>
        </is>
      </c>
      <c r="K1325" s="178" t="n"/>
      <c r="L1325" s="178" t="n"/>
      <c r="M1325" s="179" t="n"/>
      <c r="N1325" s="180" t="b">
        <v>0</v>
      </c>
      <c r="O1325" s="179" t="n"/>
    </row>
    <row r="1326" ht="18.75" customHeight="1">
      <c r="B1326" s="177" t="inlineStr">
        <is>
          <t>NOME</t>
        </is>
      </c>
      <c r="C1326" s="178" t="n"/>
      <c r="D1326" s="178" t="n"/>
      <c r="E1326" s="178" t="n"/>
      <c r="F1326" s="178" t="n"/>
      <c r="G1326" s="179" t="n"/>
      <c r="J1326" s="177" t="inlineStr">
        <is>
          <t>NOME</t>
        </is>
      </c>
      <c r="K1326" s="178" t="n"/>
      <c r="L1326" s="178" t="n"/>
      <c r="M1326" s="178" t="n"/>
      <c r="N1326" s="178" t="n"/>
      <c r="O1326" s="179" t="n"/>
    </row>
    <row r="1327" ht="18.75" customHeight="1">
      <c r="B1327" s="181" t="n"/>
      <c r="C1327" s="178" t="n"/>
      <c r="D1327" s="178" t="n"/>
      <c r="E1327" s="178" t="n"/>
      <c r="F1327" s="178" t="n"/>
      <c r="G1327" s="179" t="n"/>
      <c r="J1327" s="181" t="n"/>
      <c r="K1327" s="178" t="n"/>
      <c r="L1327" s="178" t="n"/>
      <c r="M1327" s="178" t="n"/>
      <c r="N1327" s="178" t="n"/>
      <c r="O1327" s="179" t="n"/>
    </row>
    <row r="1328" ht="18.75" customHeight="1">
      <c r="B1328" s="177" t="inlineStr">
        <is>
          <t>BASE DO LIVRO</t>
        </is>
      </c>
      <c r="C1328" s="178" t="n"/>
      <c r="D1328" s="179" t="n"/>
      <c r="E1328" s="181" t="inlineStr">
        <is>
          <t>Nenhuma</t>
        </is>
      </c>
      <c r="F1328" s="178" t="n"/>
      <c r="G1328" s="179" t="n"/>
      <c r="J1328" s="177" t="inlineStr">
        <is>
          <t>BASE DO LIVRO</t>
        </is>
      </c>
      <c r="K1328" s="178" t="n"/>
      <c r="L1328" s="179" t="n"/>
      <c r="M1328" s="181" t="inlineStr">
        <is>
          <t>Nenhuma</t>
        </is>
      </c>
      <c r="N1328" s="178" t="n"/>
      <c r="O1328" s="179" t="n"/>
    </row>
    <row r="1329" ht="18.75" customHeight="1">
      <c r="B1329" s="177" t="inlineStr">
        <is>
          <t>FAMÍLIA</t>
        </is>
      </c>
      <c r="C1329" s="178" t="n"/>
      <c r="D1329" s="179" t="n"/>
      <c r="E1329" s="181" t="n"/>
      <c r="F1329" s="178" t="n"/>
      <c r="G1329" s="179" t="n"/>
      <c r="J1329" s="177" t="inlineStr">
        <is>
          <t>FAMÍLIA</t>
        </is>
      </c>
      <c r="K1329" s="178" t="n"/>
      <c r="L1329" s="179" t="n"/>
      <c r="M1329" s="181" t="n"/>
      <c r="N1329" s="178" t="n"/>
      <c r="O1329" s="179" t="n"/>
    </row>
    <row r="1330" ht="18.75" customHeight="1">
      <c r="B1330" s="177" t="inlineStr">
        <is>
          <t>PESO</t>
        </is>
      </c>
      <c r="C1330" s="178" t="n"/>
      <c r="D1330" s="179" t="n"/>
      <c r="E1330" s="181" t="n"/>
      <c r="F1330" s="178" t="n"/>
      <c r="G1330" s="179" t="n"/>
      <c r="J1330" s="177" t="inlineStr">
        <is>
          <t>PESO</t>
        </is>
      </c>
      <c r="K1330" s="178" t="n"/>
      <c r="L1330" s="179" t="n"/>
      <c r="M1330" s="181" t="n"/>
      <c r="N1330" s="178" t="n"/>
      <c r="O1330" s="179" t="n"/>
    </row>
    <row r="1331" ht="18.75" customHeight="1">
      <c r="B1331" s="177" t="inlineStr">
        <is>
          <t>EXIGE TR</t>
        </is>
      </c>
      <c r="C1331" s="178" t="n"/>
      <c r="D1331" s="179" t="n"/>
      <c r="E1331" s="181" t="n"/>
      <c r="F1331" s="178" t="n"/>
      <c r="G1331" s="179" t="n"/>
      <c r="J1331" s="177" t="inlineStr">
        <is>
          <t>EXIGE TR</t>
        </is>
      </c>
      <c r="K1331" s="178" t="n"/>
      <c r="L1331" s="179" t="n"/>
      <c r="M1331" s="181" t="n"/>
      <c r="N1331" s="178" t="n"/>
      <c r="O1331" s="179" t="n"/>
    </row>
    <row r="1332" ht="18.75" customHeight="1"/>
    <row r="1333" ht="18.75" customHeight="1">
      <c r="B1333" s="177" t="inlineStr">
        <is>
          <t>REQUISITOS E REPETIÇÃO</t>
        </is>
      </c>
      <c r="C1333" s="178" t="n"/>
      <c r="D1333" s="178" t="n"/>
      <c r="E1333" s="178" t="n"/>
      <c r="F1333" s="178" t="n"/>
      <c r="G1333" s="179" t="n"/>
      <c r="J1333" s="177" t="inlineStr">
        <is>
          <t>REQUISITOS E REPETIÇÃO</t>
        </is>
      </c>
      <c r="K1333" s="178" t="n"/>
      <c r="L1333" s="178" t="n"/>
      <c r="M1333" s="178" t="n"/>
      <c r="N1333" s="178" t="n"/>
      <c r="O1333" s="179" t="n"/>
    </row>
    <row r="1334" ht="18.75" customHeight="1">
      <c r="B1334" s="183" t="n"/>
      <c r="C1334" s="184" t="n"/>
      <c r="D1334" s="184" t="n"/>
      <c r="E1334" s="184" t="n"/>
      <c r="F1334" s="184" t="n"/>
      <c r="G1334" s="185" t="n"/>
      <c r="J1334" s="183" t="n"/>
      <c r="K1334" s="184" t="n"/>
      <c r="L1334" s="184" t="n"/>
      <c r="M1334" s="184" t="n"/>
      <c r="N1334" s="184" t="n"/>
      <c r="O1334" s="185" t="n"/>
    </row>
    <row r="1335" ht="18.75" customHeight="1">
      <c r="B1335" s="186" t="n"/>
      <c r="G1335" s="187" t="n"/>
      <c r="J1335" s="186" t="n"/>
      <c r="O1335" s="187" t="n"/>
    </row>
    <row r="1336" ht="18.75" customHeight="1">
      <c r="B1336" s="186" t="n"/>
      <c r="G1336" s="187" t="n"/>
      <c r="J1336" s="186" t="n"/>
      <c r="O1336" s="187" t="n"/>
    </row>
    <row r="1337" ht="18.75" customHeight="1">
      <c r="B1337" s="188" t="n"/>
      <c r="C1337" s="189" t="n"/>
      <c r="D1337" s="189" t="n"/>
      <c r="E1337" s="189" t="n"/>
      <c r="F1337" s="189" t="n"/>
      <c r="G1337" s="190" t="n"/>
      <c r="J1337" s="188" t="n"/>
      <c r="K1337" s="189" t="n"/>
      <c r="L1337" s="189" t="n"/>
      <c r="M1337" s="189" t="n"/>
      <c r="N1337" s="189" t="n"/>
      <c r="O1337" s="190" t="n"/>
    </row>
    <row r="1338" ht="18.75" customHeight="1"/>
    <row r="1339" ht="18.75" customHeight="1">
      <c r="B1339" s="177" t="inlineStr">
        <is>
          <t>EFEITO</t>
        </is>
      </c>
      <c r="C1339" s="178" t="n"/>
      <c r="D1339" s="178" t="n"/>
      <c r="E1339" s="178" t="n"/>
      <c r="F1339" s="178" t="n"/>
      <c r="G1339" s="179" t="n"/>
      <c r="J1339" s="177" t="inlineStr">
        <is>
          <t>EFEITO</t>
        </is>
      </c>
      <c r="K1339" s="178" t="n"/>
      <c r="L1339" s="178" t="n"/>
      <c r="M1339" s="178" t="n"/>
      <c r="N1339" s="178" t="n"/>
      <c r="O1339" s="179" t="n"/>
    </row>
    <row r="1340" ht="18.75" customHeight="1">
      <c r="B1340" s="183" t="n"/>
      <c r="C1340" s="184" t="n"/>
      <c r="D1340" s="184" t="n"/>
      <c r="E1340" s="184" t="n"/>
      <c r="F1340" s="184" t="n"/>
      <c r="G1340" s="185" t="n"/>
      <c r="J1340" s="183" t="n"/>
      <c r="K1340" s="184" t="n"/>
      <c r="L1340" s="184" t="n"/>
      <c r="M1340" s="184" t="n"/>
      <c r="N1340" s="184" t="n"/>
      <c r="O1340" s="185" t="n"/>
    </row>
    <row r="1341" ht="18.75" customHeight="1">
      <c r="B1341" s="186" t="n"/>
      <c r="G1341" s="187" t="n"/>
      <c r="J1341" s="186" t="n"/>
      <c r="O1341" s="187" t="n"/>
    </row>
    <row r="1342" ht="18.75" customHeight="1">
      <c r="B1342" s="186" t="n"/>
      <c r="G1342" s="187" t="n"/>
      <c r="J1342" s="186" t="n"/>
      <c r="O1342" s="187" t="n"/>
    </row>
    <row r="1343" ht="18.75" customHeight="1">
      <c r="B1343" s="186" t="n"/>
      <c r="G1343" s="187" t="n"/>
      <c r="J1343" s="186" t="n"/>
      <c r="O1343" s="187" t="n"/>
    </row>
    <row r="1344" ht="18.75" customHeight="1">
      <c r="B1344" s="188" t="n"/>
      <c r="C1344" s="189" t="n"/>
      <c r="D1344" s="189" t="n"/>
      <c r="E1344" s="189" t="n"/>
      <c r="F1344" s="189" t="n"/>
      <c r="G1344" s="190" t="n"/>
      <c r="J1344" s="188" t="n"/>
      <c r="K1344" s="189" t="n"/>
      <c r="L1344" s="189" t="n"/>
      <c r="M1344" s="189" t="n"/>
      <c r="N1344" s="189" t="n"/>
      <c r="O1344" s="190" t="n"/>
    </row>
    <row r="1345" ht="18.75" customHeight="1"/>
    <row r="1346" ht="18.75" customHeight="1">
      <c r="B1346" s="175">
        <f>IF('DADOS_MELHORIAS'!$M$26="","","⚠ "&amp;'DADOS_MELHORIAS'!$M$26)</f>
        <v/>
      </c>
      <c r="J1346" s="175">
        <f>IF('DADOS_MELHORIAS'!$M$27="","","⚠ "&amp;'DADOS_MELHORIAS'!$M$27)</f>
        <v/>
      </c>
    </row>
    <row r="1347" ht="18.75" customHeight="1"/>
    <row r="1348" ht="18.75" customHeight="1"/>
    <row r="1349" ht="18.75" customHeight="1">
      <c r="B1349" s="176" t="inlineStr">
        <is>
          <t>MELHORIA · 27</t>
        </is>
      </c>
      <c r="J1349" s="176" t="inlineStr">
        <is>
          <t>MELHORIA · 28</t>
        </is>
      </c>
    </row>
    <row r="1350" ht="18.75" customHeight="1">
      <c r="B1350" s="177" t="inlineStr">
        <is>
          <t>TIPO</t>
        </is>
      </c>
      <c r="C1350" s="178" t="n"/>
      <c r="D1350" s="178" t="n"/>
      <c r="E1350" s="179" t="n"/>
      <c r="F1350" s="177" t="inlineStr">
        <is>
          <t>MESTRE VIU</t>
        </is>
      </c>
      <c r="G1350" s="179" t="n"/>
      <c r="J1350" s="177" t="inlineStr">
        <is>
          <t>TIPO</t>
        </is>
      </c>
      <c r="K1350" s="178" t="n"/>
      <c r="L1350" s="178" t="n"/>
      <c r="M1350" s="179" t="n"/>
      <c r="N1350" s="177" t="inlineStr">
        <is>
          <t>MESTRE VIU</t>
        </is>
      </c>
      <c r="O1350" s="179" t="n"/>
    </row>
    <row r="1351" ht="18.75" customHeight="1">
      <c r="B1351" s="181" t="inlineStr">
        <is>
          <t>Melhoria</t>
        </is>
      </c>
      <c r="C1351" s="178" t="n"/>
      <c r="D1351" s="178" t="n"/>
      <c r="E1351" s="179" t="n"/>
      <c r="F1351" s="180" t="b">
        <v>0</v>
      </c>
      <c r="G1351" s="179" t="n"/>
      <c r="J1351" s="181" t="inlineStr">
        <is>
          <t>Melhoria</t>
        </is>
      </c>
      <c r="K1351" s="178" t="n"/>
      <c r="L1351" s="178" t="n"/>
      <c r="M1351" s="179" t="n"/>
      <c r="N1351" s="180" t="b">
        <v>0</v>
      </c>
      <c r="O1351" s="179" t="n"/>
    </row>
    <row r="1352" ht="18.75" customHeight="1">
      <c r="B1352" s="177" t="inlineStr">
        <is>
          <t>NOME</t>
        </is>
      </c>
      <c r="C1352" s="178" t="n"/>
      <c r="D1352" s="178" t="n"/>
      <c r="E1352" s="178" t="n"/>
      <c r="F1352" s="178" t="n"/>
      <c r="G1352" s="179" t="n"/>
      <c r="J1352" s="177" t="inlineStr">
        <is>
          <t>NOME</t>
        </is>
      </c>
      <c r="K1352" s="178" t="n"/>
      <c r="L1352" s="178" t="n"/>
      <c r="M1352" s="178" t="n"/>
      <c r="N1352" s="178" t="n"/>
      <c r="O1352" s="179" t="n"/>
    </row>
    <row r="1353" ht="18.75" customHeight="1">
      <c r="B1353" s="181" t="n"/>
      <c r="C1353" s="178" t="n"/>
      <c r="D1353" s="178" t="n"/>
      <c r="E1353" s="178" t="n"/>
      <c r="F1353" s="178" t="n"/>
      <c r="G1353" s="179" t="n"/>
      <c r="J1353" s="181" t="n"/>
      <c r="K1353" s="178" t="n"/>
      <c r="L1353" s="178" t="n"/>
      <c r="M1353" s="178" t="n"/>
      <c r="N1353" s="178" t="n"/>
      <c r="O1353" s="179" t="n"/>
    </row>
    <row r="1354" ht="18.75" customHeight="1">
      <c r="B1354" s="177" t="inlineStr">
        <is>
          <t>BASE DO LIVRO</t>
        </is>
      </c>
      <c r="C1354" s="178" t="n"/>
      <c r="D1354" s="179" t="n"/>
      <c r="E1354" s="181" t="inlineStr">
        <is>
          <t>Nenhuma</t>
        </is>
      </c>
      <c r="F1354" s="178" t="n"/>
      <c r="G1354" s="179" t="n"/>
      <c r="J1354" s="177" t="inlineStr">
        <is>
          <t>BASE DO LIVRO</t>
        </is>
      </c>
      <c r="K1354" s="178" t="n"/>
      <c r="L1354" s="179" t="n"/>
      <c r="M1354" s="181" t="inlineStr">
        <is>
          <t>Nenhuma</t>
        </is>
      </c>
      <c r="N1354" s="178" t="n"/>
      <c r="O1354" s="179" t="n"/>
    </row>
    <row r="1355" ht="18.75" customHeight="1">
      <c r="B1355" s="177" t="inlineStr">
        <is>
          <t>FAMÍLIA</t>
        </is>
      </c>
      <c r="C1355" s="178" t="n"/>
      <c r="D1355" s="179" t="n"/>
      <c r="E1355" s="181" t="n"/>
      <c r="F1355" s="178" t="n"/>
      <c r="G1355" s="179" t="n"/>
      <c r="J1355" s="177" t="inlineStr">
        <is>
          <t>FAMÍLIA</t>
        </is>
      </c>
      <c r="K1355" s="178" t="n"/>
      <c r="L1355" s="179" t="n"/>
      <c r="M1355" s="181" t="n"/>
      <c r="N1355" s="178" t="n"/>
      <c r="O1355" s="179" t="n"/>
    </row>
    <row r="1356" ht="18.75" customHeight="1">
      <c r="B1356" s="177" t="inlineStr">
        <is>
          <t>PESO</t>
        </is>
      </c>
      <c r="C1356" s="178" t="n"/>
      <c r="D1356" s="179" t="n"/>
      <c r="E1356" s="181" t="n"/>
      <c r="F1356" s="178" t="n"/>
      <c r="G1356" s="179" t="n"/>
      <c r="J1356" s="177" t="inlineStr">
        <is>
          <t>PESO</t>
        </is>
      </c>
      <c r="K1356" s="178" t="n"/>
      <c r="L1356" s="179" t="n"/>
      <c r="M1356" s="181" t="n"/>
      <c r="N1356" s="178" t="n"/>
      <c r="O1356" s="179" t="n"/>
    </row>
    <row r="1357" ht="18.75" customHeight="1">
      <c r="B1357" s="177" t="inlineStr">
        <is>
          <t>EXIGE TR</t>
        </is>
      </c>
      <c r="C1357" s="178" t="n"/>
      <c r="D1357" s="179" t="n"/>
      <c r="E1357" s="181" t="n"/>
      <c r="F1357" s="178" t="n"/>
      <c r="G1357" s="179" t="n"/>
      <c r="J1357" s="177" t="inlineStr">
        <is>
          <t>EXIGE TR</t>
        </is>
      </c>
      <c r="K1357" s="178" t="n"/>
      <c r="L1357" s="179" t="n"/>
      <c r="M1357" s="181" t="n"/>
      <c r="N1357" s="178" t="n"/>
      <c r="O1357" s="179" t="n"/>
    </row>
    <row r="1358" ht="18.75" customHeight="1"/>
    <row r="1359" ht="18.75" customHeight="1">
      <c r="B1359" s="177" t="inlineStr">
        <is>
          <t>REQUISITOS E REPETIÇÃO</t>
        </is>
      </c>
      <c r="C1359" s="178" t="n"/>
      <c r="D1359" s="178" t="n"/>
      <c r="E1359" s="178" t="n"/>
      <c r="F1359" s="178" t="n"/>
      <c r="G1359" s="179" t="n"/>
      <c r="J1359" s="177" t="inlineStr">
        <is>
          <t>REQUISITOS E REPETIÇÃO</t>
        </is>
      </c>
      <c r="K1359" s="178" t="n"/>
      <c r="L1359" s="178" t="n"/>
      <c r="M1359" s="178" t="n"/>
      <c r="N1359" s="178" t="n"/>
      <c r="O1359" s="179" t="n"/>
    </row>
    <row r="1360" ht="18.75" customHeight="1">
      <c r="B1360" s="183" t="n"/>
      <c r="C1360" s="184" t="n"/>
      <c r="D1360" s="184" t="n"/>
      <c r="E1360" s="184" t="n"/>
      <c r="F1360" s="184" t="n"/>
      <c r="G1360" s="185" t="n"/>
      <c r="J1360" s="183" t="n"/>
      <c r="K1360" s="184" t="n"/>
      <c r="L1360" s="184" t="n"/>
      <c r="M1360" s="184" t="n"/>
      <c r="N1360" s="184" t="n"/>
      <c r="O1360" s="185" t="n"/>
    </row>
    <row r="1361" ht="18.75" customHeight="1">
      <c r="B1361" s="186" t="n"/>
      <c r="G1361" s="187" t="n"/>
      <c r="J1361" s="186" t="n"/>
      <c r="O1361" s="187" t="n"/>
    </row>
    <row r="1362" ht="18.75" customHeight="1">
      <c r="B1362" s="186" t="n"/>
      <c r="G1362" s="187" t="n"/>
      <c r="J1362" s="186" t="n"/>
      <c r="O1362" s="187" t="n"/>
    </row>
    <row r="1363" ht="18.75" customHeight="1">
      <c r="B1363" s="188" t="n"/>
      <c r="C1363" s="189" t="n"/>
      <c r="D1363" s="189" t="n"/>
      <c r="E1363" s="189" t="n"/>
      <c r="F1363" s="189" t="n"/>
      <c r="G1363" s="190" t="n"/>
      <c r="J1363" s="188" t="n"/>
      <c r="K1363" s="189" t="n"/>
      <c r="L1363" s="189" t="n"/>
      <c r="M1363" s="189" t="n"/>
      <c r="N1363" s="189" t="n"/>
      <c r="O1363" s="190" t="n"/>
    </row>
    <row r="1364" ht="18.75" customHeight="1"/>
    <row r="1365" ht="18.75" customHeight="1">
      <c r="B1365" s="177" t="inlineStr">
        <is>
          <t>EFEITO</t>
        </is>
      </c>
      <c r="C1365" s="178" t="n"/>
      <c r="D1365" s="178" t="n"/>
      <c r="E1365" s="178" t="n"/>
      <c r="F1365" s="178" t="n"/>
      <c r="G1365" s="179" t="n"/>
      <c r="J1365" s="177" t="inlineStr">
        <is>
          <t>EFEITO</t>
        </is>
      </c>
      <c r="K1365" s="178" t="n"/>
      <c r="L1365" s="178" t="n"/>
      <c r="M1365" s="178" t="n"/>
      <c r="N1365" s="178" t="n"/>
      <c r="O1365" s="179" t="n"/>
    </row>
    <row r="1366" ht="18.75" customHeight="1">
      <c r="B1366" s="183" t="n"/>
      <c r="C1366" s="184" t="n"/>
      <c r="D1366" s="184" t="n"/>
      <c r="E1366" s="184" t="n"/>
      <c r="F1366" s="184" t="n"/>
      <c r="G1366" s="185" t="n"/>
      <c r="J1366" s="183" t="n"/>
      <c r="K1366" s="184" t="n"/>
      <c r="L1366" s="184" t="n"/>
      <c r="M1366" s="184" t="n"/>
      <c r="N1366" s="184" t="n"/>
      <c r="O1366" s="185" t="n"/>
    </row>
    <row r="1367" ht="18.75" customHeight="1">
      <c r="B1367" s="186" t="n"/>
      <c r="G1367" s="187" t="n"/>
      <c r="J1367" s="186" t="n"/>
      <c r="O1367" s="187" t="n"/>
    </row>
    <row r="1368" ht="18.75" customHeight="1">
      <c r="B1368" s="186" t="n"/>
      <c r="G1368" s="187" t="n"/>
      <c r="J1368" s="186" t="n"/>
      <c r="O1368" s="187" t="n"/>
    </row>
    <row r="1369" ht="18.75" customHeight="1">
      <c r="B1369" s="186" t="n"/>
      <c r="G1369" s="187" t="n"/>
      <c r="J1369" s="186" t="n"/>
      <c r="O1369" s="187" t="n"/>
    </row>
    <row r="1370" ht="18.75" customHeight="1">
      <c r="B1370" s="188" t="n"/>
      <c r="C1370" s="189" t="n"/>
      <c r="D1370" s="189" t="n"/>
      <c r="E1370" s="189" t="n"/>
      <c r="F1370" s="189" t="n"/>
      <c r="G1370" s="190" t="n"/>
      <c r="J1370" s="188" t="n"/>
      <c r="K1370" s="189" t="n"/>
      <c r="L1370" s="189" t="n"/>
      <c r="M1370" s="189" t="n"/>
      <c r="N1370" s="189" t="n"/>
      <c r="O1370" s="190" t="n"/>
    </row>
    <row r="1371" ht="18.75" customHeight="1"/>
    <row r="1372" ht="18.75" customHeight="1">
      <c r="B1372" s="175">
        <f>IF('DADOS_MELHORIAS'!$M$28="","","⚠ "&amp;'DADOS_MELHORIAS'!$M$28)</f>
        <v/>
      </c>
      <c r="J1372" s="175">
        <f>IF('DADOS_MELHORIAS'!$M$29="","","⚠ "&amp;'DADOS_MELHORIAS'!$M$29)</f>
        <v/>
      </c>
    </row>
    <row r="1373" ht="18.75" customHeight="1"/>
    <row r="1374" ht="18.75" customHeight="1"/>
    <row r="1375" ht="18.75" customHeight="1">
      <c r="B1375" s="176" t="inlineStr">
        <is>
          <t>MELHORIA · 29</t>
        </is>
      </c>
      <c r="J1375" s="176" t="inlineStr">
        <is>
          <t>MELHORIA · 30</t>
        </is>
      </c>
    </row>
    <row r="1376" ht="18.75" customHeight="1">
      <c r="B1376" s="177" t="inlineStr">
        <is>
          <t>TIPO</t>
        </is>
      </c>
      <c r="C1376" s="178" t="n"/>
      <c r="D1376" s="178" t="n"/>
      <c r="E1376" s="179" t="n"/>
      <c r="F1376" s="177" t="inlineStr">
        <is>
          <t>MESTRE VIU</t>
        </is>
      </c>
      <c r="G1376" s="179" t="n"/>
      <c r="J1376" s="177" t="inlineStr">
        <is>
          <t>TIPO</t>
        </is>
      </c>
      <c r="K1376" s="178" t="n"/>
      <c r="L1376" s="178" t="n"/>
      <c r="M1376" s="179" t="n"/>
      <c r="N1376" s="177" t="inlineStr">
        <is>
          <t>MESTRE VIU</t>
        </is>
      </c>
      <c r="O1376" s="179" t="n"/>
    </row>
    <row r="1377" ht="18.75" customHeight="1">
      <c r="B1377" s="181" t="inlineStr">
        <is>
          <t>Melhoria</t>
        </is>
      </c>
      <c r="C1377" s="178" t="n"/>
      <c r="D1377" s="178" t="n"/>
      <c r="E1377" s="179" t="n"/>
      <c r="F1377" s="180" t="b">
        <v>0</v>
      </c>
      <c r="G1377" s="179" t="n"/>
      <c r="J1377" s="181" t="inlineStr">
        <is>
          <t>Melhoria</t>
        </is>
      </c>
      <c r="K1377" s="178" t="n"/>
      <c r="L1377" s="178" t="n"/>
      <c r="M1377" s="179" t="n"/>
      <c r="N1377" s="180" t="b">
        <v>0</v>
      </c>
      <c r="O1377" s="179" t="n"/>
    </row>
    <row r="1378" ht="18.75" customHeight="1">
      <c r="B1378" s="177" t="inlineStr">
        <is>
          <t>NOME</t>
        </is>
      </c>
      <c r="C1378" s="178" t="n"/>
      <c r="D1378" s="178" t="n"/>
      <c r="E1378" s="178" t="n"/>
      <c r="F1378" s="178" t="n"/>
      <c r="G1378" s="179" t="n"/>
      <c r="J1378" s="177" t="inlineStr">
        <is>
          <t>NOME</t>
        </is>
      </c>
      <c r="K1378" s="178" t="n"/>
      <c r="L1378" s="178" t="n"/>
      <c r="M1378" s="178" t="n"/>
      <c r="N1378" s="178" t="n"/>
      <c r="O1378" s="179" t="n"/>
    </row>
    <row r="1379" ht="18.75" customHeight="1">
      <c r="B1379" s="181" t="n"/>
      <c r="C1379" s="178" t="n"/>
      <c r="D1379" s="178" t="n"/>
      <c r="E1379" s="178" t="n"/>
      <c r="F1379" s="178" t="n"/>
      <c r="G1379" s="179" t="n"/>
      <c r="J1379" s="181" t="n"/>
      <c r="K1379" s="178" t="n"/>
      <c r="L1379" s="178" t="n"/>
      <c r="M1379" s="178" t="n"/>
      <c r="N1379" s="178" t="n"/>
      <c r="O1379" s="179" t="n"/>
    </row>
    <row r="1380" ht="18.75" customHeight="1">
      <c r="B1380" s="177" t="inlineStr">
        <is>
          <t>BASE DO LIVRO</t>
        </is>
      </c>
      <c r="C1380" s="178" t="n"/>
      <c r="D1380" s="179" t="n"/>
      <c r="E1380" s="181" t="inlineStr">
        <is>
          <t>Nenhuma</t>
        </is>
      </c>
      <c r="F1380" s="178" t="n"/>
      <c r="G1380" s="179" t="n"/>
      <c r="J1380" s="177" t="inlineStr">
        <is>
          <t>BASE DO LIVRO</t>
        </is>
      </c>
      <c r="K1380" s="178" t="n"/>
      <c r="L1380" s="179" t="n"/>
      <c r="M1380" s="181" t="inlineStr">
        <is>
          <t>Nenhuma</t>
        </is>
      </c>
      <c r="N1380" s="178" t="n"/>
      <c r="O1380" s="179" t="n"/>
    </row>
    <row r="1381" ht="18.75" customHeight="1">
      <c r="B1381" s="177" t="inlineStr">
        <is>
          <t>FAMÍLIA</t>
        </is>
      </c>
      <c r="C1381" s="178" t="n"/>
      <c r="D1381" s="179" t="n"/>
      <c r="E1381" s="181" t="n"/>
      <c r="F1381" s="178" t="n"/>
      <c r="G1381" s="179" t="n"/>
      <c r="J1381" s="177" t="inlineStr">
        <is>
          <t>FAMÍLIA</t>
        </is>
      </c>
      <c r="K1381" s="178" t="n"/>
      <c r="L1381" s="179" t="n"/>
      <c r="M1381" s="181" t="n"/>
      <c r="N1381" s="178" t="n"/>
      <c r="O1381" s="179" t="n"/>
    </row>
    <row r="1382" ht="18.75" customHeight="1">
      <c r="B1382" s="177" t="inlineStr">
        <is>
          <t>PESO</t>
        </is>
      </c>
      <c r="C1382" s="178" t="n"/>
      <c r="D1382" s="179" t="n"/>
      <c r="E1382" s="181" t="n"/>
      <c r="F1382" s="178" t="n"/>
      <c r="G1382" s="179" t="n"/>
      <c r="J1382" s="177" t="inlineStr">
        <is>
          <t>PESO</t>
        </is>
      </c>
      <c r="K1382" s="178" t="n"/>
      <c r="L1382" s="179" t="n"/>
      <c r="M1382" s="181" t="n"/>
      <c r="N1382" s="178" t="n"/>
      <c r="O1382" s="179" t="n"/>
    </row>
    <row r="1383" ht="18.75" customHeight="1">
      <c r="B1383" s="177" t="inlineStr">
        <is>
          <t>EXIGE TR</t>
        </is>
      </c>
      <c r="C1383" s="178" t="n"/>
      <c r="D1383" s="179" t="n"/>
      <c r="E1383" s="181" t="n"/>
      <c r="F1383" s="178" t="n"/>
      <c r="G1383" s="179" t="n"/>
      <c r="J1383" s="177" t="inlineStr">
        <is>
          <t>EXIGE TR</t>
        </is>
      </c>
      <c r="K1383" s="178" t="n"/>
      <c r="L1383" s="179" t="n"/>
      <c r="M1383" s="181" t="n"/>
      <c r="N1383" s="178" t="n"/>
      <c r="O1383" s="179" t="n"/>
    </row>
    <row r="1384" ht="18.75" customHeight="1"/>
    <row r="1385" ht="18.75" customHeight="1">
      <c r="B1385" s="177" t="inlineStr">
        <is>
          <t>REQUISITOS E REPETIÇÃO</t>
        </is>
      </c>
      <c r="C1385" s="178" t="n"/>
      <c r="D1385" s="178" t="n"/>
      <c r="E1385" s="178" t="n"/>
      <c r="F1385" s="178" t="n"/>
      <c r="G1385" s="179" t="n"/>
      <c r="J1385" s="177" t="inlineStr">
        <is>
          <t>REQUISITOS E REPETIÇÃO</t>
        </is>
      </c>
      <c r="K1385" s="178" t="n"/>
      <c r="L1385" s="178" t="n"/>
      <c r="M1385" s="178" t="n"/>
      <c r="N1385" s="178" t="n"/>
      <c r="O1385" s="179" t="n"/>
    </row>
    <row r="1386" ht="18.75" customHeight="1">
      <c r="B1386" s="183" t="n"/>
      <c r="C1386" s="184" t="n"/>
      <c r="D1386" s="184" t="n"/>
      <c r="E1386" s="184" t="n"/>
      <c r="F1386" s="184" t="n"/>
      <c r="G1386" s="185" t="n"/>
      <c r="J1386" s="183" t="n"/>
      <c r="K1386" s="184" t="n"/>
      <c r="L1386" s="184" t="n"/>
      <c r="M1386" s="184" t="n"/>
      <c r="N1386" s="184" t="n"/>
      <c r="O1386" s="185" t="n"/>
    </row>
    <row r="1387" ht="18.75" customHeight="1">
      <c r="B1387" s="186" t="n"/>
      <c r="G1387" s="187" t="n"/>
      <c r="J1387" s="186" t="n"/>
      <c r="O1387" s="187" t="n"/>
    </row>
    <row r="1388" ht="18.75" customHeight="1">
      <c r="B1388" s="186" t="n"/>
      <c r="G1388" s="187" t="n"/>
      <c r="J1388" s="186" t="n"/>
      <c r="O1388" s="187" t="n"/>
    </row>
    <row r="1389" ht="18.75" customHeight="1">
      <c r="B1389" s="188" t="n"/>
      <c r="C1389" s="189" t="n"/>
      <c r="D1389" s="189" t="n"/>
      <c r="E1389" s="189" t="n"/>
      <c r="F1389" s="189" t="n"/>
      <c r="G1389" s="190" t="n"/>
      <c r="J1389" s="188" t="n"/>
      <c r="K1389" s="189" t="n"/>
      <c r="L1389" s="189" t="n"/>
      <c r="M1389" s="189" t="n"/>
      <c r="N1389" s="189" t="n"/>
      <c r="O1389" s="190" t="n"/>
    </row>
    <row r="1390" ht="18.75" customHeight="1"/>
    <row r="1391" ht="18.75" customHeight="1">
      <c r="B1391" s="177" t="inlineStr">
        <is>
          <t>EFEITO</t>
        </is>
      </c>
      <c r="C1391" s="178" t="n"/>
      <c r="D1391" s="178" t="n"/>
      <c r="E1391" s="178" t="n"/>
      <c r="F1391" s="178" t="n"/>
      <c r="G1391" s="179" t="n"/>
      <c r="J1391" s="177" t="inlineStr">
        <is>
          <t>EFEITO</t>
        </is>
      </c>
      <c r="K1391" s="178" t="n"/>
      <c r="L1391" s="178" t="n"/>
      <c r="M1391" s="178" t="n"/>
      <c r="N1391" s="178" t="n"/>
      <c r="O1391" s="179" t="n"/>
    </row>
    <row r="1392" ht="18.75" customHeight="1">
      <c r="B1392" s="183" t="n"/>
      <c r="C1392" s="184" t="n"/>
      <c r="D1392" s="184" t="n"/>
      <c r="E1392" s="184" t="n"/>
      <c r="F1392" s="184" t="n"/>
      <c r="G1392" s="185" t="n"/>
      <c r="J1392" s="183" t="n"/>
      <c r="K1392" s="184" t="n"/>
      <c r="L1392" s="184" t="n"/>
      <c r="M1392" s="184" t="n"/>
      <c r="N1392" s="184" t="n"/>
      <c r="O1392" s="185" t="n"/>
    </row>
    <row r="1393" ht="18.75" customHeight="1">
      <c r="B1393" s="186" t="n"/>
      <c r="G1393" s="187" t="n"/>
      <c r="J1393" s="186" t="n"/>
      <c r="O1393" s="187" t="n"/>
    </row>
    <row r="1394" ht="18.75" customHeight="1">
      <c r="B1394" s="186" t="n"/>
      <c r="G1394" s="187" t="n"/>
      <c r="J1394" s="186" t="n"/>
      <c r="O1394" s="187" t="n"/>
    </row>
    <row r="1395" ht="18.75" customHeight="1">
      <c r="B1395" s="186" t="n"/>
      <c r="G1395" s="187" t="n"/>
      <c r="J1395" s="186" t="n"/>
      <c r="O1395" s="187" t="n"/>
    </row>
    <row r="1396" ht="18.75" customHeight="1">
      <c r="B1396" s="188" t="n"/>
      <c r="C1396" s="189" t="n"/>
      <c r="D1396" s="189" t="n"/>
      <c r="E1396" s="189" t="n"/>
      <c r="F1396" s="189" t="n"/>
      <c r="G1396" s="190" t="n"/>
      <c r="J1396" s="188" t="n"/>
      <c r="K1396" s="189" t="n"/>
      <c r="L1396" s="189" t="n"/>
      <c r="M1396" s="189" t="n"/>
      <c r="N1396" s="189" t="n"/>
      <c r="O1396" s="190" t="n"/>
    </row>
    <row r="1397" ht="18.75" customHeight="1"/>
    <row r="1398" ht="18.75" customHeight="1">
      <c r="B1398" s="175">
        <f>IF('DADOS_MELHORIAS'!$M$30="","","⚠ "&amp;'DADOS_MELHORIAS'!$M$30)</f>
        <v/>
      </c>
      <c r="J1398" s="175">
        <f>IF('DADOS_MELHORIAS'!$M$31="","","⚠ "&amp;'DADOS_MELHORIAS'!$M$31)</f>
        <v/>
      </c>
    </row>
    <row r="1399" ht="18.75" customHeight="1"/>
    <row r="1402" ht="18.75" customHeight="1">
      <c r="B1402" s="176" t="inlineStr">
        <is>
          <t>RESTRIÇÕES CUSTOM</t>
        </is>
      </c>
    </row>
    <row r="1403" ht="18.75" customHeight="1"/>
    <row r="1404" ht="18.75" customHeight="1">
      <c r="B1404" s="176" t="inlineStr">
        <is>
          <t>RESTRIÇÃO · 1</t>
        </is>
      </c>
      <c r="J1404" s="176" t="inlineStr">
        <is>
          <t>RESTRIÇÃO · 2</t>
        </is>
      </c>
    </row>
    <row r="1405" ht="18.75" customHeight="1">
      <c r="B1405" s="177" t="inlineStr">
        <is>
          <t>TIPO</t>
        </is>
      </c>
      <c r="C1405" s="178" t="n"/>
      <c r="D1405" s="178" t="n"/>
      <c r="E1405" s="179" t="n"/>
      <c r="F1405" s="177" t="inlineStr">
        <is>
          <t>MESTRE VIU</t>
        </is>
      </c>
      <c r="G1405" s="179" t="n"/>
      <c r="J1405" s="177" t="inlineStr">
        <is>
          <t>TIPO</t>
        </is>
      </c>
      <c r="K1405" s="178" t="n"/>
      <c r="L1405" s="178" t="n"/>
      <c r="M1405" s="179" t="n"/>
      <c r="N1405" s="177" t="inlineStr">
        <is>
          <t>MESTRE VIU</t>
        </is>
      </c>
      <c r="O1405" s="179" t="n"/>
    </row>
    <row r="1406" ht="18.75" customHeight="1">
      <c r="B1406" s="181" t="inlineStr">
        <is>
          <t>Restrição</t>
        </is>
      </c>
      <c r="C1406" s="178" t="n"/>
      <c r="D1406" s="178" t="n"/>
      <c r="E1406" s="179" t="n"/>
      <c r="F1406" s="180" t="b">
        <v>0</v>
      </c>
      <c r="G1406" s="179" t="n"/>
      <c r="J1406" s="181" t="inlineStr">
        <is>
          <t>Restrição</t>
        </is>
      </c>
      <c r="K1406" s="178" t="n"/>
      <c r="L1406" s="178" t="n"/>
      <c r="M1406" s="179" t="n"/>
      <c r="N1406" s="180" t="b">
        <v>0</v>
      </c>
      <c r="O1406" s="179" t="n"/>
    </row>
    <row r="1407" ht="18.75" customHeight="1">
      <c r="B1407" s="177" t="inlineStr">
        <is>
          <t>NOME</t>
        </is>
      </c>
      <c r="C1407" s="178" t="n"/>
      <c r="D1407" s="178" t="n"/>
      <c r="E1407" s="178" t="n"/>
      <c r="F1407" s="178" t="n"/>
      <c r="G1407" s="179" t="n"/>
      <c r="J1407" s="177" t="inlineStr">
        <is>
          <t>NOME</t>
        </is>
      </c>
      <c r="K1407" s="178" t="n"/>
      <c r="L1407" s="178" t="n"/>
      <c r="M1407" s="178" t="n"/>
      <c r="N1407" s="178" t="n"/>
      <c r="O1407" s="179" t="n"/>
    </row>
    <row r="1408" ht="18.75" customHeight="1">
      <c r="B1408" s="181" t="n"/>
      <c r="C1408" s="178" t="n"/>
      <c r="D1408" s="178" t="n"/>
      <c r="E1408" s="178" t="n"/>
      <c r="F1408" s="178" t="n"/>
      <c r="G1408" s="179" t="n"/>
      <c r="J1408" s="181" t="n"/>
      <c r="K1408" s="178" t="n"/>
      <c r="L1408" s="178" t="n"/>
      <c r="M1408" s="178" t="n"/>
      <c r="N1408" s="178" t="n"/>
      <c r="O1408" s="179" t="n"/>
    </row>
    <row r="1409" ht="18.75" customHeight="1">
      <c r="B1409" s="177" t="inlineStr">
        <is>
          <t>BASE DO LIVRO</t>
        </is>
      </c>
      <c r="C1409" s="178" t="n"/>
      <c r="D1409" s="179" t="n"/>
      <c r="E1409" s="181" t="inlineStr">
        <is>
          <t>Nenhuma</t>
        </is>
      </c>
      <c r="F1409" s="178" t="n"/>
      <c r="G1409" s="179" t="n"/>
      <c r="J1409" s="177" t="inlineStr">
        <is>
          <t>BASE DO LIVRO</t>
        </is>
      </c>
      <c r="K1409" s="178" t="n"/>
      <c r="L1409" s="179" t="n"/>
      <c r="M1409" s="181" t="inlineStr">
        <is>
          <t>Nenhuma</t>
        </is>
      </c>
      <c r="N1409" s="178" t="n"/>
      <c r="O1409" s="179" t="n"/>
    </row>
    <row r="1410" ht="18.75" customHeight="1">
      <c r="B1410" s="177" t="inlineStr">
        <is>
          <t>DEVOLUÇÃO</t>
        </is>
      </c>
      <c r="C1410" s="178" t="n"/>
      <c r="D1410" s="179" t="n"/>
      <c r="E1410" s="181" t="n"/>
      <c r="F1410" s="178" t="n"/>
      <c r="G1410" s="179" t="n"/>
      <c r="J1410" s="177" t="inlineStr">
        <is>
          <t>DEVOLUÇÃO</t>
        </is>
      </c>
      <c r="K1410" s="178" t="n"/>
      <c r="L1410" s="179" t="n"/>
      <c r="M1410" s="181" t="n"/>
      <c r="N1410" s="178" t="n"/>
      <c r="O1410" s="179" t="n"/>
    </row>
    <row r="1411" ht="18.75" customHeight="1">
      <c r="B1411" s="177" t="inlineStr">
        <is>
          <t>FREQUÊNCIA</t>
        </is>
      </c>
      <c r="C1411" s="178" t="n"/>
      <c r="D1411" s="179" t="n"/>
      <c r="E1411" s="181" t="n"/>
      <c r="F1411" s="178" t="n"/>
      <c r="G1411" s="179" t="n"/>
      <c r="J1411" s="177" t="inlineStr">
        <is>
          <t>FREQUÊNCIA</t>
        </is>
      </c>
      <c r="K1411" s="178" t="n"/>
      <c r="L1411" s="179" t="n"/>
      <c r="M1411" s="181" t="n"/>
      <c r="N1411" s="178" t="n"/>
      <c r="O1411" s="179" t="n"/>
    </row>
    <row r="1412" ht="18.75" customHeight="1"/>
    <row r="1413" ht="18.75" customHeight="1">
      <c r="B1413" s="177" t="inlineStr">
        <is>
          <t>EFEITO E REQUISITOS</t>
        </is>
      </c>
      <c r="C1413" s="178" t="n"/>
      <c r="D1413" s="178" t="n"/>
      <c r="E1413" s="178" t="n"/>
      <c r="F1413" s="178" t="n"/>
      <c r="G1413" s="179" t="n"/>
      <c r="J1413" s="177" t="inlineStr">
        <is>
          <t>EFEITO E REQUISITOS</t>
        </is>
      </c>
      <c r="K1413" s="178" t="n"/>
      <c r="L1413" s="178" t="n"/>
      <c r="M1413" s="178" t="n"/>
      <c r="N1413" s="178" t="n"/>
      <c r="O1413" s="179" t="n"/>
    </row>
    <row r="1414" ht="18.75" customHeight="1">
      <c r="B1414" s="183" t="n"/>
      <c r="C1414" s="184" t="n"/>
      <c r="D1414" s="184" t="n"/>
      <c r="E1414" s="184" t="n"/>
      <c r="F1414" s="184" t="n"/>
      <c r="G1414" s="185" t="n"/>
      <c r="J1414" s="183" t="n"/>
      <c r="K1414" s="184" t="n"/>
      <c r="L1414" s="184" t="n"/>
      <c r="M1414" s="184" t="n"/>
      <c r="N1414" s="184" t="n"/>
      <c r="O1414" s="185" t="n"/>
    </row>
    <row r="1415" ht="18.75" customHeight="1">
      <c r="B1415" s="186" t="n"/>
      <c r="G1415" s="187" t="n"/>
      <c r="J1415" s="186" t="n"/>
      <c r="O1415" s="187" t="n"/>
    </row>
    <row r="1416" ht="18.75" customHeight="1">
      <c r="B1416" s="186" t="n"/>
      <c r="G1416" s="187" t="n"/>
      <c r="J1416" s="186" t="n"/>
      <c r="O1416" s="187" t="n"/>
    </row>
    <row r="1417" ht="18.75" customHeight="1">
      <c r="B1417" s="186" t="n"/>
      <c r="G1417" s="187" t="n"/>
      <c r="J1417" s="186" t="n"/>
      <c r="O1417" s="187" t="n"/>
    </row>
    <row r="1418" ht="18.75" customHeight="1">
      <c r="B1418" s="186" t="n"/>
      <c r="G1418" s="187" t="n"/>
      <c r="J1418" s="186" t="n"/>
      <c r="O1418" s="187" t="n"/>
    </row>
    <row r="1419" ht="18.75" customHeight="1">
      <c r="B1419" s="186" t="n"/>
      <c r="G1419" s="187" t="n"/>
      <c r="J1419" s="186" t="n"/>
      <c r="O1419" s="187" t="n"/>
    </row>
    <row r="1420" ht="18.75" customHeight="1">
      <c r="B1420" s="188" t="n"/>
      <c r="C1420" s="189" t="n"/>
      <c r="D1420" s="189" t="n"/>
      <c r="E1420" s="189" t="n"/>
      <c r="F1420" s="189" t="n"/>
      <c r="G1420" s="190" t="n"/>
      <c r="J1420" s="188" t="n"/>
      <c r="K1420" s="189" t="n"/>
      <c r="L1420" s="189" t="n"/>
      <c r="M1420" s="189" t="n"/>
      <c r="N1420" s="189" t="n"/>
      <c r="O1420" s="190" t="n"/>
    </row>
    <row r="1421" ht="18.75" customHeight="1"/>
    <row r="1422" ht="18.75" customHeight="1">
      <c r="B1422" s="175">
        <f>IF('DADOS_RESTRICOES'!$K$2="","","⚠ "&amp;'DADOS_RESTRICOES'!$K$2)</f>
        <v/>
      </c>
      <c r="J1422" s="175">
        <f>IF('DADOS_RESTRICOES'!$K$3="","","⚠ "&amp;'DADOS_RESTRICOES'!$K$3)</f>
        <v/>
      </c>
    </row>
    <row r="1423" ht="18.75" customHeight="1"/>
    <row r="1424" ht="18.75" customHeight="1"/>
    <row r="1425" ht="18.75" customHeight="1"/>
    <row r="1426" ht="18.75" customHeight="1">
      <c r="B1426" s="176" t="inlineStr">
        <is>
          <t>RESTRIÇÃO · 3</t>
        </is>
      </c>
      <c r="J1426" s="176" t="inlineStr">
        <is>
          <t>RESTRIÇÃO · 4</t>
        </is>
      </c>
    </row>
    <row r="1427" ht="18.75" customHeight="1">
      <c r="B1427" s="177" t="inlineStr">
        <is>
          <t>TIPO</t>
        </is>
      </c>
      <c r="C1427" s="178" t="n"/>
      <c r="D1427" s="178" t="n"/>
      <c r="E1427" s="179" t="n"/>
      <c r="F1427" s="177" t="inlineStr">
        <is>
          <t>MESTRE VIU</t>
        </is>
      </c>
      <c r="G1427" s="179" t="n"/>
      <c r="J1427" s="177" t="inlineStr">
        <is>
          <t>TIPO</t>
        </is>
      </c>
      <c r="K1427" s="178" t="n"/>
      <c r="L1427" s="178" t="n"/>
      <c r="M1427" s="179" t="n"/>
      <c r="N1427" s="177" t="inlineStr">
        <is>
          <t>MESTRE VIU</t>
        </is>
      </c>
      <c r="O1427" s="179" t="n"/>
    </row>
    <row r="1428" ht="18.75" customHeight="1">
      <c r="B1428" s="181" t="inlineStr">
        <is>
          <t>Restrição</t>
        </is>
      </c>
      <c r="C1428" s="178" t="n"/>
      <c r="D1428" s="178" t="n"/>
      <c r="E1428" s="179" t="n"/>
      <c r="F1428" s="180" t="b">
        <v>0</v>
      </c>
      <c r="G1428" s="179" t="n"/>
      <c r="J1428" s="181" t="inlineStr">
        <is>
          <t>Restrição</t>
        </is>
      </c>
      <c r="K1428" s="178" t="n"/>
      <c r="L1428" s="178" t="n"/>
      <c r="M1428" s="179" t="n"/>
      <c r="N1428" s="180" t="b">
        <v>0</v>
      </c>
      <c r="O1428" s="179" t="n"/>
    </row>
    <row r="1429" ht="18.75" customHeight="1">
      <c r="B1429" s="177" t="inlineStr">
        <is>
          <t>NOME</t>
        </is>
      </c>
      <c r="C1429" s="178" t="n"/>
      <c r="D1429" s="178" t="n"/>
      <c r="E1429" s="178" t="n"/>
      <c r="F1429" s="178" t="n"/>
      <c r="G1429" s="179" t="n"/>
      <c r="J1429" s="177" t="inlineStr">
        <is>
          <t>NOME</t>
        </is>
      </c>
      <c r="K1429" s="178" t="n"/>
      <c r="L1429" s="178" t="n"/>
      <c r="M1429" s="178" t="n"/>
      <c r="N1429" s="178" t="n"/>
      <c r="O1429" s="179" t="n"/>
    </row>
    <row r="1430" ht="18.75" customHeight="1">
      <c r="B1430" s="181" t="n"/>
      <c r="C1430" s="178" t="n"/>
      <c r="D1430" s="178" t="n"/>
      <c r="E1430" s="178" t="n"/>
      <c r="F1430" s="178" t="n"/>
      <c r="G1430" s="179" t="n"/>
      <c r="J1430" s="181" t="n"/>
      <c r="K1430" s="178" t="n"/>
      <c r="L1430" s="178" t="n"/>
      <c r="M1430" s="178" t="n"/>
      <c r="N1430" s="178" t="n"/>
      <c r="O1430" s="179" t="n"/>
    </row>
    <row r="1431" ht="18.75" customHeight="1">
      <c r="B1431" s="177" t="inlineStr">
        <is>
          <t>BASE DO LIVRO</t>
        </is>
      </c>
      <c r="C1431" s="178" t="n"/>
      <c r="D1431" s="179" t="n"/>
      <c r="E1431" s="181" t="inlineStr">
        <is>
          <t>Nenhuma</t>
        </is>
      </c>
      <c r="F1431" s="178" t="n"/>
      <c r="G1431" s="179" t="n"/>
      <c r="J1431" s="177" t="inlineStr">
        <is>
          <t>BASE DO LIVRO</t>
        </is>
      </c>
      <c r="K1431" s="178" t="n"/>
      <c r="L1431" s="179" t="n"/>
      <c r="M1431" s="181" t="inlineStr">
        <is>
          <t>Nenhuma</t>
        </is>
      </c>
      <c r="N1431" s="178" t="n"/>
      <c r="O1431" s="179" t="n"/>
    </row>
    <row r="1432" ht="18.75" customHeight="1">
      <c r="B1432" s="177" t="inlineStr">
        <is>
          <t>DEVOLUÇÃO</t>
        </is>
      </c>
      <c r="C1432" s="178" t="n"/>
      <c r="D1432" s="179" t="n"/>
      <c r="E1432" s="181" t="n"/>
      <c r="F1432" s="178" t="n"/>
      <c r="G1432" s="179" t="n"/>
      <c r="J1432" s="177" t="inlineStr">
        <is>
          <t>DEVOLUÇÃO</t>
        </is>
      </c>
      <c r="K1432" s="178" t="n"/>
      <c r="L1432" s="179" t="n"/>
      <c r="M1432" s="181" t="n"/>
      <c r="N1432" s="178" t="n"/>
      <c r="O1432" s="179" t="n"/>
    </row>
    <row r="1433" ht="18.75" customHeight="1">
      <c r="B1433" s="177" t="inlineStr">
        <is>
          <t>FREQUÊNCIA</t>
        </is>
      </c>
      <c r="C1433" s="178" t="n"/>
      <c r="D1433" s="179" t="n"/>
      <c r="E1433" s="181" t="n"/>
      <c r="F1433" s="178" t="n"/>
      <c r="G1433" s="179" t="n"/>
      <c r="J1433" s="177" t="inlineStr">
        <is>
          <t>FREQUÊNCIA</t>
        </is>
      </c>
      <c r="K1433" s="178" t="n"/>
      <c r="L1433" s="179" t="n"/>
      <c r="M1433" s="181" t="n"/>
      <c r="N1433" s="178" t="n"/>
      <c r="O1433" s="179" t="n"/>
    </row>
    <row r="1434" ht="18.75" customHeight="1"/>
    <row r="1435" ht="18.75" customHeight="1">
      <c r="B1435" s="177" t="inlineStr">
        <is>
          <t>EFEITO E REQUISITOS</t>
        </is>
      </c>
      <c r="C1435" s="178" t="n"/>
      <c r="D1435" s="178" t="n"/>
      <c r="E1435" s="178" t="n"/>
      <c r="F1435" s="178" t="n"/>
      <c r="G1435" s="179" t="n"/>
      <c r="J1435" s="177" t="inlineStr">
        <is>
          <t>EFEITO E REQUISITOS</t>
        </is>
      </c>
      <c r="K1435" s="178" t="n"/>
      <c r="L1435" s="178" t="n"/>
      <c r="M1435" s="178" t="n"/>
      <c r="N1435" s="178" t="n"/>
      <c r="O1435" s="179" t="n"/>
    </row>
    <row r="1436" ht="18.75" customHeight="1">
      <c r="B1436" s="183" t="n"/>
      <c r="C1436" s="184" t="n"/>
      <c r="D1436" s="184" t="n"/>
      <c r="E1436" s="184" t="n"/>
      <c r="F1436" s="184" t="n"/>
      <c r="G1436" s="185" t="n"/>
      <c r="J1436" s="183" t="n"/>
      <c r="K1436" s="184" t="n"/>
      <c r="L1436" s="184" t="n"/>
      <c r="M1436" s="184" t="n"/>
      <c r="N1436" s="184" t="n"/>
      <c r="O1436" s="185" t="n"/>
    </row>
    <row r="1437" ht="18.75" customHeight="1">
      <c r="B1437" s="186" t="n"/>
      <c r="G1437" s="187" t="n"/>
      <c r="J1437" s="186" t="n"/>
      <c r="O1437" s="187" t="n"/>
    </row>
    <row r="1438" ht="18.75" customHeight="1">
      <c r="B1438" s="186" t="n"/>
      <c r="G1438" s="187" t="n"/>
      <c r="J1438" s="186" t="n"/>
      <c r="O1438" s="187" t="n"/>
    </row>
    <row r="1439" ht="18.75" customHeight="1">
      <c r="B1439" s="186" t="n"/>
      <c r="G1439" s="187" t="n"/>
      <c r="J1439" s="186" t="n"/>
      <c r="O1439" s="187" t="n"/>
    </row>
    <row r="1440" ht="18.75" customHeight="1">
      <c r="B1440" s="186" t="n"/>
      <c r="G1440" s="187" t="n"/>
      <c r="J1440" s="186" t="n"/>
      <c r="O1440" s="187" t="n"/>
    </row>
    <row r="1441" ht="18.75" customHeight="1">
      <c r="B1441" s="186" t="n"/>
      <c r="G1441" s="187" t="n"/>
      <c r="J1441" s="186" t="n"/>
      <c r="O1441" s="187" t="n"/>
    </row>
    <row r="1442" ht="18.75" customHeight="1">
      <c r="B1442" s="188" t="n"/>
      <c r="C1442" s="189" t="n"/>
      <c r="D1442" s="189" t="n"/>
      <c r="E1442" s="189" t="n"/>
      <c r="F1442" s="189" t="n"/>
      <c r="G1442" s="190" t="n"/>
      <c r="J1442" s="188" t="n"/>
      <c r="K1442" s="189" t="n"/>
      <c r="L1442" s="189" t="n"/>
      <c r="M1442" s="189" t="n"/>
      <c r="N1442" s="189" t="n"/>
      <c r="O1442" s="190" t="n"/>
    </row>
    <row r="1443" ht="18.75" customHeight="1"/>
    <row r="1444" ht="18.75" customHeight="1">
      <c r="B1444" s="175">
        <f>IF('DADOS_RESTRICOES'!$K$4="","","⚠ "&amp;'DADOS_RESTRICOES'!$K$4)</f>
        <v/>
      </c>
      <c r="J1444" s="175">
        <f>IF('DADOS_RESTRICOES'!$K$5="","","⚠ "&amp;'DADOS_RESTRICOES'!$K$5)</f>
        <v/>
      </c>
    </row>
    <row r="1445" ht="18.75" customHeight="1"/>
    <row r="1446" ht="18.75" customHeight="1"/>
    <row r="1447" ht="18.75" customHeight="1"/>
    <row r="1448" ht="18.75" customHeight="1">
      <c r="B1448" s="176" t="inlineStr">
        <is>
          <t>RESTRIÇÃO · 5</t>
        </is>
      </c>
      <c r="J1448" s="176" t="inlineStr">
        <is>
          <t>RESTRIÇÃO · 6</t>
        </is>
      </c>
    </row>
    <row r="1449" ht="18.75" customHeight="1">
      <c r="B1449" s="177" t="inlineStr">
        <is>
          <t>TIPO</t>
        </is>
      </c>
      <c r="C1449" s="178" t="n"/>
      <c r="D1449" s="178" t="n"/>
      <c r="E1449" s="179" t="n"/>
      <c r="F1449" s="177" t="inlineStr">
        <is>
          <t>MESTRE VIU</t>
        </is>
      </c>
      <c r="G1449" s="179" t="n"/>
      <c r="J1449" s="177" t="inlineStr">
        <is>
          <t>TIPO</t>
        </is>
      </c>
      <c r="K1449" s="178" t="n"/>
      <c r="L1449" s="178" t="n"/>
      <c r="M1449" s="179" t="n"/>
      <c r="N1449" s="177" t="inlineStr">
        <is>
          <t>MESTRE VIU</t>
        </is>
      </c>
      <c r="O1449" s="179" t="n"/>
    </row>
    <row r="1450" ht="18.75" customHeight="1">
      <c r="B1450" s="181" t="inlineStr">
        <is>
          <t>Restrição</t>
        </is>
      </c>
      <c r="C1450" s="178" t="n"/>
      <c r="D1450" s="178" t="n"/>
      <c r="E1450" s="179" t="n"/>
      <c r="F1450" s="180" t="b">
        <v>0</v>
      </c>
      <c r="G1450" s="179" t="n"/>
      <c r="J1450" s="181" t="inlineStr">
        <is>
          <t>Restrição</t>
        </is>
      </c>
      <c r="K1450" s="178" t="n"/>
      <c r="L1450" s="178" t="n"/>
      <c r="M1450" s="179" t="n"/>
      <c r="N1450" s="180" t="b">
        <v>0</v>
      </c>
      <c r="O1450" s="179" t="n"/>
    </row>
    <row r="1451" ht="18.75" customHeight="1">
      <c r="B1451" s="177" t="inlineStr">
        <is>
          <t>NOME</t>
        </is>
      </c>
      <c r="C1451" s="178" t="n"/>
      <c r="D1451" s="178" t="n"/>
      <c r="E1451" s="178" t="n"/>
      <c r="F1451" s="178" t="n"/>
      <c r="G1451" s="179" t="n"/>
      <c r="J1451" s="177" t="inlineStr">
        <is>
          <t>NOME</t>
        </is>
      </c>
      <c r="K1451" s="178" t="n"/>
      <c r="L1451" s="178" t="n"/>
      <c r="M1451" s="178" t="n"/>
      <c r="N1451" s="178" t="n"/>
      <c r="O1451" s="179" t="n"/>
    </row>
    <row r="1452" ht="18.75" customHeight="1">
      <c r="B1452" s="181" t="n"/>
      <c r="C1452" s="178" t="n"/>
      <c r="D1452" s="178" t="n"/>
      <c r="E1452" s="178" t="n"/>
      <c r="F1452" s="178" t="n"/>
      <c r="G1452" s="179" t="n"/>
      <c r="J1452" s="181" t="n"/>
      <c r="K1452" s="178" t="n"/>
      <c r="L1452" s="178" t="n"/>
      <c r="M1452" s="178" t="n"/>
      <c r="N1452" s="178" t="n"/>
      <c r="O1452" s="179" t="n"/>
    </row>
    <row r="1453" ht="18.75" customHeight="1">
      <c r="B1453" s="177" t="inlineStr">
        <is>
          <t>BASE DO LIVRO</t>
        </is>
      </c>
      <c r="C1453" s="178" t="n"/>
      <c r="D1453" s="179" t="n"/>
      <c r="E1453" s="181" t="inlineStr">
        <is>
          <t>Nenhuma</t>
        </is>
      </c>
      <c r="F1453" s="178" t="n"/>
      <c r="G1453" s="179" t="n"/>
      <c r="J1453" s="177" t="inlineStr">
        <is>
          <t>BASE DO LIVRO</t>
        </is>
      </c>
      <c r="K1453" s="178" t="n"/>
      <c r="L1453" s="179" t="n"/>
      <c r="M1453" s="181" t="inlineStr">
        <is>
          <t>Nenhuma</t>
        </is>
      </c>
      <c r="N1453" s="178" t="n"/>
      <c r="O1453" s="179" t="n"/>
    </row>
    <row r="1454" ht="18.75" customHeight="1">
      <c r="B1454" s="177" t="inlineStr">
        <is>
          <t>DEVOLUÇÃO</t>
        </is>
      </c>
      <c r="C1454" s="178" t="n"/>
      <c r="D1454" s="179" t="n"/>
      <c r="E1454" s="181" t="n"/>
      <c r="F1454" s="178" t="n"/>
      <c r="G1454" s="179" t="n"/>
      <c r="J1454" s="177" t="inlineStr">
        <is>
          <t>DEVOLUÇÃO</t>
        </is>
      </c>
      <c r="K1454" s="178" t="n"/>
      <c r="L1454" s="179" t="n"/>
      <c r="M1454" s="181" t="n"/>
      <c r="N1454" s="178" t="n"/>
      <c r="O1454" s="179" t="n"/>
    </row>
    <row r="1455" ht="18.75" customHeight="1">
      <c r="B1455" s="177" t="inlineStr">
        <is>
          <t>FREQUÊNCIA</t>
        </is>
      </c>
      <c r="C1455" s="178" t="n"/>
      <c r="D1455" s="179" t="n"/>
      <c r="E1455" s="181" t="n"/>
      <c r="F1455" s="178" t="n"/>
      <c r="G1455" s="179" t="n"/>
      <c r="J1455" s="177" t="inlineStr">
        <is>
          <t>FREQUÊNCIA</t>
        </is>
      </c>
      <c r="K1455" s="178" t="n"/>
      <c r="L1455" s="179" t="n"/>
      <c r="M1455" s="181" t="n"/>
      <c r="N1455" s="178" t="n"/>
      <c r="O1455" s="179" t="n"/>
    </row>
    <row r="1456" ht="18.75" customHeight="1"/>
    <row r="1457" ht="18.75" customHeight="1">
      <c r="B1457" s="177" t="inlineStr">
        <is>
          <t>EFEITO E REQUISITOS</t>
        </is>
      </c>
      <c r="C1457" s="178" t="n"/>
      <c r="D1457" s="178" t="n"/>
      <c r="E1457" s="178" t="n"/>
      <c r="F1457" s="178" t="n"/>
      <c r="G1457" s="179" t="n"/>
      <c r="J1457" s="177" t="inlineStr">
        <is>
          <t>EFEITO E REQUISITOS</t>
        </is>
      </c>
      <c r="K1457" s="178" t="n"/>
      <c r="L1457" s="178" t="n"/>
      <c r="M1457" s="178" t="n"/>
      <c r="N1457" s="178" t="n"/>
      <c r="O1457" s="179" t="n"/>
    </row>
    <row r="1458" ht="18.75" customHeight="1">
      <c r="B1458" s="183" t="n"/>
      <c r="C1458" s="184" t="n"/>
      <c r="D1458" s="184" t="n"/>
      <c r="E1458" s="184" t="n"/>
      <c r="F1458" s="184" t="n"/>
      <c r="G1458" s="185" t="n"/>
      <c r="J1458" s="183" t="n"/>
      <c r="K1458" s="184" t="n"/>
      <c r="L1458" s="184" t="n"/>
      <c r="M1458" s="184" t="n"/>
      <c r="N1458" s="184" t="n"/>
      <c r="O1458" s="185" t="n"/>
    </row>
    <row r="1459" ht="18.75" customHeight="1">
      <c r="B1459" s="186" t="n"/>
      <c r="G1459" s="187" t="n"/>
      <c r="J1459" s="186" t="n"/>
      <c r="O1459" s="187" t="n"/>
    </row>
    <row r="1460" ht="18.75" customHeight="1">
      <c r="B1460" s="186" t="n"/>
      <c r="G1460" s="187" t="n"/>
      <c r="J1460" s="186" t="n"/>
      <c r="O1460" s="187" t="n"/>
    </row>
    <row r="1461" ht="18.75" customHeight="1">
      <c r="B1461" s="186" t="n"/>
      <c r="G1461" s="187" t="n"/>
      <c r="J1461" s="186" t="n"/>
      <c r="O1461" s="187" t="n"/>
    </row>
    <row r="1462" ht="18.75" customHeight="1">
      <c r="B1462" s="186" t="n"/>
      <c r="G1462" s="187" t="n"/>
      <c r="J1462" s="186" t="n"/>
      <c r="O1462" s="187" t="n"/>
    </row>
    <row r="1463" ht="18.75" customHeight="1">
      <c r="B1463" s="186" t="n"/>
      <c r="G1463" s="187" t="n"/>
      <c r="J1463" s="186" t="n"/>
      <c r="O1463" s="187" t="n"/>
    </row>
    <row r="1464" ht="18.75" customHeight="1">
      <c r="B1464" s="188" t="n"/>
      <c r="C1464" s="189" t="n"/>
      <c r="D1464" s="189" t="n"/>
      <c r="E1464" s="189" t="n"/>
      <c r="F1464" s="189" t="n"/>
      <c r="G1464" s="190" t="n"/>
      <c r="J1464" s="188" t="n"/>
      <c r="K1464" s="189" t="n"/>
      <c r="L1464" s="189" t="n"/>
      <c r="M1464" s="189" t="n"/>
      <c r="N1464" s="189" t="n"/>
      <c r="O1464" s="190" t="n"/>
    </row>
    <row r="1465" ht="18.75" customHeight="1"/>
    <row r="1466" ht="18.75" customHeight="1">
      <c r="B1466" s="175">
        <f>IF('DADOS_RESTRICOES'!$K$6="","","⚠ "&amp;'DADOS_RESTRICOES'!$K$6)</f>
        <v/>
      </c>
      <c r="J1466" s="175">
        <f>IF('DADOS_RESTRICOES'!$K$7="","","⚠ "&amp;'DADOS_RESTRICOES'!$K$7)</f>
        <v/>
      </c>
    </row>
    <row r="1467" ht="18.75" customHeight="1"/>
    <row r="1468" ht="18.75" customHeight="1"/>
    <row r="1469" ht="18.75" customHeight="1"/>
    <row r="1470" ht="18.75" customHeight="1">
      <c r="B1470" s="176" t="inlineStr">
        <is>
          <t>RESTRIÇÃO · 7</t>
        </is>
      </c>
      <c r="J1470" s="176" t="inlineStr">
        <is>
          <t>RESTRIÇÃO · 8</t>
        </is>
      </c>
    </row>
    <row r="1471" ht="18.75" customHeight="1">
      <c r="B1471" s="177" t="inlineStr">
        <is>
          <t>TIPO</t>
        </is>
      </c>
      <c r="C1471" s="178" t="n"/>
      <c r="D1471" s="178" t="n"/>
      <c r="E1471" s="179" t="n"/>
      <c r="F1471" s="177" t="inlineStr">
        <is>
          <t>MESTRE VIU</t>
        </is>
      </c>
      <c r="G1471" s="179" t="n"/>
      <c r="J1471" s="177" t="inlineStr">
        <is>
          <t>TIPO</t>
        </is>
      </c>
      <c r="K1471" s="178" t="n"/>
      <c r="L1471" s="178" t="n"/>
      <c r="M1471" s="179" t="n"/>
      <c r="N1471" s="177" t="inlineStr">
        <is>
          <t>MESTRE VIU</t>
        </is>
      </c>
      <c r="O1471" s="179" t="n"/>
    </row>
    <row r="1472" ht="18.75" customHeight="1">
      <c r="B1472" s="181" t="inlineStr">
        <is>
          <t>Restrição</t>
        </is>
      </c>
      <c r="C1472" s="178" t="n"/>
      <c r="D1472" s="178" t="n"/>
      <c r="E1472" s="179" t="n"/>
      <c r="F1472" s="180" t="b">
        <v>0</v>
      </c>
      <c r="G1472" s="179" t="n"/>
      <c r="J1472" s="181" t="inlineStr">
        <is>
          <t>Restrição</t>
        </is>
      </c>
      <c r="K1472" s="178" t="n"/>
      <c r="L1472" s="178" t="n"/>
      <c r="M1472" s="179" t="n"/>
      <c r="N1472" s="180" t="b">
        <v>0</v>
      </c>
      <c r="O1472" s="179" t="n"/>
    </row>
    <row r="1473" ht="18.75" customHeight="1">
      <c r="B1473" s="177" t="inlineStr">
        <is>
          <t>NOME</t>
        </is>
      </c>
      <c r="C1473" s="178" t="n"/>
      <c r="D1473" s="178" t="n"/>
      <c r="E1473" s="178" t="n"/>
      <c r="F1473" s="178" t="n"/>
      <c r="G1473" s="179" t="n"/>
      <c r="J1473" s="177" t="inlineStr">
        <is>
          <t>NOME</t>
        </is>
      </c>
      <c r="K1473" s="178" t="n"/>
      <c r="L1473" s="178" t="n"/>
      <c r="M1473" s="178" t="n"/>
      <c r="N1473" s="178" t="n"/>
      <c r="O1473" s="179" t="n"/>
    </row>
    <row r="1474" ht="18.75" customHeight="1">
      <c r="B1474" s="181" t="n"/>
      <c r="C1474" s="178" t="n"/>
      <c r="D1474" s="178" t="n"/>
      <c r="E1474" s="178" t="n"/>
      <c r="F1474" s="178" t="n"/>
      <c r="G1474" s="179" t="n"/>
      <c r="J1474" s="181" t="n"/>
      <c r="K1474" s="178" t="n"/>
      <c r="L1474" s="178" t="n"/>
      <c r="M1474" s="178" t="n"/>
      <c r="N1474" s="178" t="n"/>
      <c r="O1474" s="179" t="n"/>
    </row>
    <row r="1475" ht="18.75" customHeight="1">
      <c r="B1475" s="177" t="inlineStr">
        <is>
          <t>BASE DO LIVRO</t>
        </is>
      </c>
      <c r="C1475" s="178" t="n"/>
      <c r="D1475" s="179" t="n"/>
      <c r="E1475" s="181" t="inlineStr">
        <is>
          <t>Nenhuma</t>
        </is>
      </c>
      <c r="F1475" s="178" t="n"/>
      <c r="G1475" s="179" t="n"/>
      <c r="J1475" s="177" t="inlineStr">
        <is>
          <t>BASE DO LIVRO</t>
        </is>
      </c>
      <c r="K1475" s="178" t="n"/>
      <c r="L1475" s="179" t="n"/>
      <c r="M1475" s="181" t="inlineStr">
        <is>
          <t>Nenhuma</t>
        </is>
      </c>
      <c r="N1475" s="178" t="n"/>
      <c r="O1475" s="179" t="n"/>
    </row>
    <row r="1476" ht="18.75" customHeight="1">
      <c r="B1476" s="177" t="inlineStr">
        <is>
          <t>DEVOLUÇÃO</t>
        </is>
      </c>
      <c r="C1476" s="178" t="n"/>
      <c r="D1476" s="179" t="n"/>
      <c r="E1476" s="181" t="n"/>
      <c r="F1476" s="178" t="n"/>
      <c r="G1476" s="179" t="n"/>
      <c r="J1476" s="177" t="inlineStr">
        <is>
          <t>DEVOLUÇÃO</t>
        </is>
      </c>
      <c r="K1476" s="178" t="n"/>
      <c r="L1476" s="179" t="n"/>
      <c r="M1476" s="181" t="n"/>
      <c r="N1476" s="178" t="n"/>
      <c r="O1476" s="179" t="n"/>
    </row>
    <row r="1477" ht="18.75" customHeight="1">
      <c r="B1477" s="177" t="inlineStr">
        <is>
          <t>FREQUÊNCIA</t>
        </is>
      </c>
      <c r="C1477" s="178" t="n"/>
      <c r="D1477" s="179" t="n"/>
      <c r="E1477" s="181" t="n"/>
      <c r="F1477" s="178" t="n"/>
      <c r="G1477" s="179" t="n"/>
      <c r="J1477" s="177" t="inlineStr">
        <is>
          <t>FREQUÊNCIA</t>
        </is>
      </c>
      <c r="K1477" s="178" t="n"/>
      <c r="L1477" s="179" t="n"/>
      <c r="M1477" s="181" t="n"/>
      <c r="N1477" s="178" t="n"/>
      <c r="O1477" s="179" t="n"/>
    </row>
    <row r="1478" ht="18.75" customHeight="1"/>
    <row r="1479" ht="18.75" customHeight="1">
      <c r="B1479" s="177" t="inlineStr">
        <is>
          <t>EFEITO E REQUISITOS</t>
        </is>
      </c>
      <c r="C1479" s="178" t="n"/>
      <c r="D1479" s="178" t="n"/>
      <c r="E1479" s="178" t="n"/>
      <c r="F1479" s="178" t="n"/>
      <c r="G1479" s="179" t="n"/>
      <c r="J1479" s="177" t="inlineStr">
        <is>
          <t>EFEITO E REQUISITOS</t>
        </is>
      </c>
      <c r="K1479" s="178" t="n"/>
      <c r="L1479" s="178" t="n"/>
      <c r="M1479" s="178" t="n"/>
      <c r="N1479" s="178" t="n"/>
      <c r="O1479" s="179" t="n"/>
    </row>
    <row r="1480" ht="18.75" customHeight="1">
      <c r="B1480" s="183" t="n"/>
      <c r="C1480" s="184" t="n"/>
      <c r="D1480" s="184" t="n"/>
      <c r="E1480" s="184" t="n"/>
      <c r="F1480" s="184" t="n"/>
      <c r="G1480" s="185" t="n"/>
      <c r="J1480" s="183" t="n"/>
      <c r="K1480" s="184" t="n"/>
      <c r="L1480" s="184" t="n"/>
      <c r="M1480" s="184" t="n"/>
      <c r="N1480" s="184" t="n"/>
      <c r="O1480" s="185" t="n"/>
    </row>
    <row r="1481" ht="18.75" customHeight="1">
      <c r="B1481" s="186" t="n"/>
      <c r="G1481" s="187" t="n"/>
      <c r="J1481" s="186" t="n"/>
      <c r="O1481" s="187" t="n"/>
    </row>
    <row r="1482" ht="18.75" customHeight="1">
      <c r="B1482" s="186" t="n"/>
      <c r="G1482" s="187" t="n"/>
      <c r="J1482" s="186" t="n"/>
      <c r="O1482" s="187" t="n"/>
    </row>
    <row r="1483" ht="18.75" customHeight="1">
      <c r="B1483" s="186" t="n"/>
      <c r="G1483" s="187" t="n"/>
      <c r="J1483" s="186" t="n"/>
      <c r="O1483" s="187" t="n"/>
    </row>
    <row r="1484" ht="18.75" customHeight="1">
      <c r="B1484" s="186" t="n"/>
      <c r="G1484" s="187" t="n"/>
      <c r="J1484" s="186" t="n"/>
      <c r="O1484" s="187" t="n"/>
    </row>
    <row r="1485" ht="18.75" customHeight="1">
      <c r="B1485" s="186" t="n"/>
      <c r="G1485" s="187" t="n"/>
      <c r="J1485" s="186" t="n"/>
      <c r="O1485" s="187" t="n"/>
    </row>
    <row r="1486" ht="18.75" customHeight="1">
      <c r="B1486" s="188" t="n"/>
      <c r="C1486" s="189" t="n"/>
      <c r="D1486" s="189" t="n"/>
      <c r="E1486" s="189" t="n"/>
      <c r="F1486" s="189" t="n"/>
      <c r="G1486" s="190" t="n"/>
      <c r="J1486" s="188" t="n"/>
      <c r="K1486" s="189" t="n"/>
      <c r="L1486" s="189" t="n"/>
      <c r="M1486" s="189" t="n"/>
      <c r="N1486" s="189" t="n"/>
      <c r="O1486" s="190" t="n"/>
    </row>
    <row r="1487" ht="18.75" customHeight="1"/>
    <row r="1488" ht="18.75" customHeight="1">
      <c r="B1488" s="175">
        <f>IF('DADOS_RESTRICOES'!$K$8="","","⚠ "&amp;'DADOS_RESTRICOES'!$K$8)</f>
        <v/>
      </c>
      <c r="J1488" s="175">
        <f>IF('DADOS_RESTRICOES'!$K$9="","","⚠ "&amp;'DADOS_RESTRICOES'!$K$9)</f>
        <v/>
      </c>
    </row>
    <row r="1489" ht="18.75" customHeight="1"/>
    <row r="1490" ht="18.75" customHeight="1"/>
    <row r="1491" ht="18.75" customHeight="1"/>
    <row r="1492" ht="18.75" customHeight="1">
      <c r="B1492" s="176" t="inlineStr">
        <is>
          <t>RESTRIÇÃO · 9</t>
        </is>
      </c>
      <c r="J1492" s="176" t="inlineStr">
        <is>
          <t>RESTRIÇÃO · 10</t>
        </is>
      </c>
    </row>
    <row r="1493" ht="18.75" customHeight="1">
      <c r="B1493" s="177" t="inlineStr">
        <is>
          <t>TIPO</t>
        </is>
      </c>
      <c r="C1493" s="178" t="n"/>
      <c r="D1493" s="178" t="n"/>
      <c r="E1493" s="179" t="n"/>
      <c r="F1493" s="177" t="inlineStr">
        <is>
          <t>MESTRE VIU</t>
        </is>
      </c>
      <c r="G1493" s="179" t="n"/>
      <c r="J1493" s="177" t="inlineStr">
        <is>
          <t>TIPO</t>
        </is>
      </c>
      <c r="K1493" s="178" t="n"/>
      <c r="L1493" s="178" t="n"/>
      <c r="M1493" s="179" t="n"/>
      <c r="N1493" s="177" t="inlineStr">
        <is>
          <t>MESTRE VIU</t>
        </is>
      </c>
      <c r="O1493" s="179" t="n"/>
    </row>
    <row r="1494" ht="18.75" customHeight="1">
      <c r="B1494" s="181" t="inlineStr">
        <is>
          <t>Restrição</t>
        </is>
      </c>
      <c r="C1494" s="178" t="n"/>
      <c r="D1494" s="178" t="n"/>
      <c r="E1494" s="179" t="n"/>
      <c r="F1494" s="180" t="b">
        <v>0</v>
      </c>
      <c r="G1494" s="179" t="n"/>
      <c r="J1494" s="181" t="inlineStr">
        <is>
          <t>Restrição</t>
        </is>
      </c>
      <c r="K1494" s="178" t="n"/>
      <c r="L1494" s="178" t="n"/>
      <c r="M1494" s="179" t="n"/>
      <c r="N1494" s="180" t="b">
        <v>0</v>
      </c>
      <c r="O1494" s="179" t="n"/>
    </row>
    <row r="1495" ht="18.75" customHeight="1">
      <c r="B1495" s="177" t="inlineStr">
        <is>
          <t>NOME</t>
        </is>
      </c>
      <c r="C1495" s="178" t="n"/>
      <c r="D1495" s="178" t="n"/>
      <c r="E1495" s="178" t="n"/>
      <c r="F1495" s="178" t="n"/>
      <c r="G1495" s="179" t="n"/>
      <c r="J1495" s="177" t="inlineStr">
        <is>
          <t>NOME</t>
        </is>
      </c>
      <c r="K1495" s="178" t="n"/>
      <c r="L1495" s="178" t="n"/>
      <c r="M1495" s="178" t="n"/>
      <c r="N1495" s="178" t="n"/>
      <c r="O1495" s="179" t="n"/>
    </row>
    <row r="1496" ht="18.75" customHeight="1">
      <c r="B1496" s="181" t="n"/>
      <c r="C1496" s="178" t="n"/>
      <c r="D1496" s="178" t="n"/>
      <c r="E1496" s="178" t="n"/>
      <c r="F1496" s="178" t="n"/>
      <c r="G1496" s="179" t="n"/>
      <c r="J1496" s="181" t="n"/>
      <c r="K1496" s="178" t="n"/>
      <c r="L1496" s="178" t="n"/>
      <c r="M1496" s="178" t="n"/>
      <c r="N1496" s="178" t="n"/>
      <c r="O1496" s="179" t="n"/>
    </row>
    <row r="1497" ht="18.75" customHeight="1">
      <c r="B1497" s="177" t="inlineStr">
        <is>
          <t>BASE DO LIVRO</t>
        </is>
      </c>
      <c r="C1497" s="178" t="n"/>
      <c r="D1497" s="179" t="n"/>
      <c r="E1497" s="181" t="inlineStr">
        <is>
          <t>Nenhuma</t>
        </is>
      </c>
      <c r="F1497" s="178" t="n"/>
      <c r="G1497" s="179" t="n"/>
      <c r="J1497" s="177" t="inlineStr">
        <is>
          <t>BASE DO LIVRO</t>
        </is>
      </c>
      <c r="K1497" s="178" t="n"/>
      <c r="L1497" s="179" t="n"/>
      <c r="M1497" s="181" t="inlineStr">
        <is>
          <t>Nenhuma</t>
        </is>
      </c>
      <c r="N1497" s="178" t="n"/>
      <c r="O1497" s="179" t="n"/>
    </row>
    <row r="1498" ht="18.75" customHeight="1">
      <c r="B1498" s="177" t="inlineStr">
        <is>
          <t>DEVOLUÇÃO</t>
        </is>
      </c>
      <c r="C1498" s="178" t="n"/>
      <c r="D1498" s="179" t="n"/>
      <c r="E1498" s="181" t="n"/>
      <c r="F1498" s="178" t="n"/>
      <c r="G1498" s="179" t="n"/>
      <c r="J1498" s="177" t="inlineStr">
        <is>
          <t>DEVOLUÇÃO</t>
        </is>
      </c>
      <c r="K1498" s="178" t="n"/>
      <c r="L1498" s="179" t="n"/>
      <c r="M1498" s="181" t="n"/>
      <c r="N1498" s="178" t="n"/>
      <c r="O1498" s="179" t="n"/>
    </row>
    <row r="1499" ht="18.75" customHeight="1">
      <c r="B1499" s="177" t="inlineStr">
        <is>
          <t>FREQUÊNCIA</t>
        </is>
      </c>
      <c r="C1499" s="178" t="n"/>
      <c r="D1499" s="179" t="n"/>
      <c r="E1499" s="181" t="n"/>
      <c r="F1499" s="178" t="n"/>
      <c r="G1499" s="179" t="n"/>
      <c r="J1499" s="177" t="inlineStr">
        <is>
          <t>FREQUÊNCIA</t>
        </is>
      </c>
      <c r="K1499" s="178" t="n"/>
      <c r="L1499" s="179" t="n"/>
      <c r="M1499" s="181" t="n"/>
      <c r="N1499" s="178" t="n"/>
      <c r="O1499" s="179" t="n"/>
    </row>
    <row r="1500" ht="18.75" customHeight="1"/>
    <row r="1501" ht="18.75" customHeight="1">
      <c r="B1501" s="177" t="inlineStr">
        <is>
          <t>EFEITO E REQUISITOS</t>
        </is>
      </c>
      <c r="C1501" s="178" t="n"/>
      <c r="D1501" s="178" t="n"/>
      <c r="E1501" s="178" t="n"/>
      <c r="F1501" s="178" t="n"/>
      <c r="G1501" s="179" t="n"/>
      <c r="J1501" s="177" t="inlineStr">
        <is>
          <t>EFEITO E REQUISITOS</t>
        </is>
      </c>
      <c r="K1501" s="178" t="n"/>
      <c r="L1501" s="178" t="n"/>
      <c r="M1501" s="178" t="n"/>
      <c r="N1501" s="178" t="n"/>
      <c r="O1501" s="179" t="n"/>
    </row>
    <row r="1502" ht="18.75" customHeight="1">
      <c r="B1502" s="183" t="n"/>
      <c r="C1502" s="184" t="n"/>
      <c r="D1502" s="184" t="n"/>
      <c r="E1502" s="184" t="n"/>
      <c r="F1502" s="184" t="n"/>
      <c r="G1502" s="185" t="n"/>
      <c r="J1502" s="183" t="n"/>
      <c r="K1502" s="184" t="n"/>
      <c r="L1502" s="184" t="n"/>
      <c r="M1502" s="184" t="n"/>
      <c r="N1502" s="184" t="n"/>
      <c r="O1502" s="185" t="n"/>
    </row>
    <row r="1503" ht="18.75" customHeight="1">
      <c r="B1503" s="186" t="n"/>
      <c r="G1503" s="187" t="n"/>
      <c r="J1503" s="186" t="n"/>
      <c r="O1503" s="187" t="n"/>
    </row>
    <row r="1504" ht="18.75" customHeight="1">
      <c r="B1504" s="186" t="n"/>
      <c r="G1504" s="187" t="n"/>
      <c r="J1504" s="186" t="n"/>
      <c r="O1504" s="187" t="n"/>
    </row>
    <row r="1505" ht="18.75" customHeight="1">
      <c r="B1505" s="186" t="n"/>
      <c r="G1505" s="187" t="n"/>
      <c r="J1505" s="186" t="n"/>
      <c r="O1505" s="187" t="n"/>
    </row>
    <row r="1506" ht="18.75" customHeight="1">
      <c r="B1506" s="186" t="n"/>
      <c r="G1506" s="187" t="n"/>
      <c r="J1506" s="186" t="n"/>
      <c r="O1506" s="187" t="n"/>
    </row>
    <row r="1507" ht="18.75" customHeight="1">
      <c r="B1507" s="186" t="n"/>
      <c r="G1507" s="187" t="n"/>
      <c r="J1507" s="186" t="n"/>
      <c r="O1507" s="187" t="n"/>
    </row>
    <row r="1508" ht="18.75" customHeight="1">
      <c r="B1508" s="188" t="n"/>
      <c r="C1508" s="189" t="n"/>
      <c r="D1508" s="189" t="n"/>
      <c r="E1508" s="189" t="n"/>
      <c r="F1508" s="189" t="n"/>
      <c r="G1508" s="190" t="n"/>
      <c r="J1508" s="188" t="n"/>
      <c r="K1508" s="189" t="n"/>
      <c r="L1508" s="189" t="n"/>
      <c r="M1508" s="189" t="n"/>
      <c r="N1508" s="189" t="n"/>
      <c r="O1508" s="190" t="n"/>
    </row>
    <row r="1509" ht="18.75" customHeight="1"/>
    <row r="1510" ht="18.75" customHeight="1">
      <c r="B1510" s="175">
        <f>IF('DADOS_RESTRICOES'!$K$10="","","⚠ "&amp;'DADOS_RESTRICOES'!$K$10)</f>
        <v/>
      </c>
      <c r="J1510" s="175">
        <f>IF('DADOS_RESTRICOES'!$K$11="","","⚠ "&amp;'DADOS_RESTRICOES'!$K$11)</f>
        <v/>
      </c>
    </row>
    <row r="1511" ht="18.75" customHeight="1"/>
    <row r="1512" ht="18.75" customHeight="1"/>
    <row r="1513" ht="18.75" customHeight="1"/>
    <row r="1514" ht="18.75" customHeight="1">
      <c r="B1514" s="176" t="inlineStr">
        <is>
          <t>RESTRIÇÃO · 11</t>
        </is>
      </c>
      <c r="J1514" s="176" t="inlineStr">
        <is>
          <t>RESTRIÇÃO · 12</t>
        </is>
      </c>
    </row>
    <row r="1515" ht="18.75" customHeight="1">
      <c r="B1515" s="177" t="inlineStr">
        <is>
          <t>TIPO</t>
        </is>
      </c>
      <c r="C1515" s="178" t="n"/>
      <c r="D1515" s="178" t="n"/>
      <c r="E1515" s="179" t="n"/>
      <c r="F1515" s="177" t="inlineStr">
        <is>
          <t>MESTRE VIU</t>
        </is>
      </c>
      <c r="G1515" s="179" t="n"/>
      <c r="J1515" s="177" t="inlineStr">
        <is>
          <t>TIPO</t>
        </is>
      </c>
      <c r="K1515" s="178" t="n"/>
      <c r="L1515" s="178" t="n"/>
      <c r="M1515" s="179" t="n"/>
      <c r="N1515" s="177" t="inlineStr">
        <is>
          <t>MESTRE VIU</t>
        </is>
      </c>
      <c r="O1515" s="179" t="n"/>
    </row>
    <row r="1516" ht="18.75" customHeight="1">
      <c r="B1516" s="181" t="inlineStr">
        <is>
          <t>Restrição</t>
        </is>
      </c>
      <c r="C1516" s="178" t="n"/>
      <c r="D1516" s="178" t="n"/>
      <c r="E1516" s="179" t="n"/>
      <c r="F1516" s="180" t="b">
        <v>0</v>
      </c>
      <c r="G1516" s="179" t="n"/>
      <c r="J1516" s="181" t="inlineStr">
        <is>
          <t>Restrição</t>
        </is>
      </c>
      <c r="K1516" s="178" t="n"/>
      <c r="L1516" s="178" t="n"/>
      <c r="M1516" s="179" t="n"/>
      <c r="N1516" s="180" t="b">
        <v>0</v>
      </c>
      <c r="O1516" s="179" t="n"/>
    </row>
    <row r="1517" ht="18.75" customHeight="1">
      <c r="B1517" s="177" t="inlineStr">
        <is>
          <t>NOME</t>
        </is>
      </c>
      <c r="C1517" s="178" t="n"/>
      <c r="D1517" s="178" t="n"/>
      <c r="E1517" s="178" t="n"/>
      <c r="F1517" s="178" t="n"/>
      <c r="G1517" s="179" t="n"/>
      <c r="J1517" s="177" t="inlineStr">
        <is>
          <t>NOME</t>
        </is>
      </c>
      <c r="K1517" s="178" t="n"/>
      <c r="L1517" s="178" t="n"/>
      <c r="M1517" s="178" t="n"/>
      <c r="N1517" s="178" t="n"/>
      <c r="O1517" s="179" t="n"/>
    </row>
    <row r="1518" ht="18.75" customHeight="1">
      <c r="B1518" s="181" t="n"/>
      <c r="C1518" s="178" t="n"/>
      <c r="D1518" s="178" t="n"/>
      <c r="E1518" s="178" t="n"/>
      <c r="F1518" s="178" t="n"/>
      <c r="G1518" s="179" t="n"/>
      <c r="J1518" s="181" t="n"/>
      <c r="K1518" s="178" t="n"/>
      <c r="L1518" s="178" t="n"/>
      <c r="M1518" s="178" t="n"/>
      <c r="N1518" s="178" t="n"/>
      <c r="O1518" s="179" t="n"/>
    </row>
    <row r="1519" ht="18.75" customHeight="1">
      <c r="B1519" s="177" t="inlineStr">
        <is>
          <t>BASE DO LIVRO</t>
        </is>
      </c>
      <c r="C1519" s="178" t="n"/>
      <c r="D1519" s="179" t="n"/>
      <c r="E1519" s="181" t="inlineStr">
        <is>
          <t>Nenhuma</t>
        </is>
      </c>
      <c r="F1519" s="178" t="n"/>
      <c r="G1519" s="179" t="n"/>
      <c r="J1519" s="177" t="inlineStr">
        <is>
          <t>BASE DO LIVRO</t>
        </is>
      </c>
      <c r="K1519" s="178" t="n"/>
      <c r="L1519" s="179" t="n"/>
      <c r="M1519" s="181" t="inlineStr">
        <is>
          <t>Nenhuma</t>
        </is>
      </c>
      <c r="N1519" s="178" t="n"/>
      <c r="O1519" s="179" t="n"/>
    </row>
    <row r="1520" ht="18.75" customHeight="1">
      <c r="B1520" s="177" t="inlineStr">
        <is>
          <t>DEVOLUÇÃO</t>
        </is>
      </c>
      <c r="C1520" s="178" t="n"/>
      <c r="D1520" s="179" t="n"/>
      <c r="E1520" s="181" t="n"/>
      <c r="F1520" s="178" t="n"/>
      <c r="G1520" s="179" t="n"/>
      <c r="J1520" s="177" t="inlineStr">
        <is>
          <t>DEVOLUÇÃO</t>
        </is>
      </c>
      <c r="K1520" s="178" t="n"/>
      <c r="L1520" s="179" t="n"/>
      <c r="M1520" s="181" t="n"/>
      <c r="N1520" s="178" t="n"/>
      <c r="O1520" s="179" t="n"/>
    </row>
    <row r="1521" ht="18.75" customHeight="1">
      <c r="B1521" s="177" t="inlineStr">
        <is>
          <t>FREQUÊNCIA</t>
        </is>
      </c>
      <c r="C1521" s="178" t="n"/>
      <c r="D1521" s="179" t="n"/>
      <c r="E1521" s="181" t="n"/>
      <c r="F1521" s="178" t="n"/>
      <c r="G1521" s="179" t="n"/>
      <c r="J1521" s="177" t="inlineStr">
        <is>
          <t>FREQUÊNCIA</t>
        </is>
      </c>
      <c r="K1521" s="178" t="n"/>
      <c r="L1521" s="179" t="n"/>
      <c r="M1521" s="181" t="n"/>
      <c r="N1521" s="178" t="n"/>
      <c r="O1521" s="179" t="n"/>
    </row>
    <row r="1522" ht="18.75" customHeight="1"/>
    <row r="1523" ht="18.75" customHeight="1">
      <c r="B1523" s="177" t="inlineStr">
        <is>
          <t>EFEITO E REQUISITOS</t>
        </is>
      </c>
      <c r="C1523" s="178" t="n"/>
      <c r="D1523" s="178" t="n"/>
      <c r="E1523" s="178" t="n"/>
      <c r="F1523" s="178" t="n"/>
      <c r="G1523" s="179" t="n"/>
      <c r="J1523" s="177" t="inlineStr">
        <is>
          <t>EFEITO E REQUISITOS</t>
        </is>
      </c>
      <c r="K1523" s="178" t="n"/>
      <c r="L1523" s="178" t="n"/>
      <c r="M1523" s="178" t="n"/>
      <c r="N1523" s="178" t="n"/>
      <c r="O1523" s="179" t="n"/>
    </row>
    <row r="1524" ht="18.75" customHeight="1">
      <c r="B1524" s="183" t="n"/>
      <c r="C1524" s="184" t="n"/>
      <c r="D1524" s="184" t="n"/>
      <c r="E1524" s="184" t="n"/>
      <c r="F1524" s="184" t="n"/>
      <c r="G1524" s="185" t="n"/>
      <c r="J1524" s="183" t="n"/>
      <c r="K1524" s="184" t="n"/>
      <c r="L1524" s="184" t="n"/>
      <c r="M1524" s="184" t="n"/>
      <c r="N1524" s="184" t="n"/>
      <c r="O1524" s="185" t="n"/>
    </row>
    <row r="1525" ht="18.75" customHeight="1">
      <c r="B1525" s="186" t="n"/>
      <c r="G1525" s="187" t="n"/>
      <c r="J1525" s="186" t="n"/>
      <c r="O1525" s="187" t="n"/>
    </row>
    <row r="1526" ht="18.75" customHeight="1">
      <c r="B1526" s="186" t="n"/>
      <c r="G1526" s="187" t="n"/>
      <c r="J1526" s="186" t="n"/>
      <c r="O1526" s="187" t="n"/>
    </row>
    <row r="1527" ht="18.75" customHeight="1">
      <c r="B1527" s="186" t="n"/>
      <c r="G1527" s="187" t="n"/>
      <c r="J1527" s="186" t="n"/>
      <c r="O1527" s="187" t="n"/>
    </row>
    <row r="1528" ht="18.75" customHeight="1">
      <c r="B1528" s="186" t="n"/>
      <c r="G1528" s="187" t="n"/>
      <c r="J1528" s="186" t="n"/>
      <c r="O1528" s="187" t="n"/>
    </row>
    <row r="1529" ht="18.75" customHeight="1">
      <c r="B1529" s="186" t="n"/>
      <c r="G1529" s="187" t="n"/>
      <c r="J1529" s="186" t="n"/>
      <c r="O1529" s="187" t="n"/>
    </row>
    <row r="1530" ht="18.75" customHeight="1">
      <c r="B1530" s="188" t="n"/>
      <c r="C1530" s="189" t="n"/>
      <c r="D1530" s="189" t="n"/>
      <c r="E1530" s="189" t="n"/>
      <c r="F1530" s="189" t="n"/>
      <c r="G1530" s="190" t="n"/>
      <c r="J1530" s="188" t="n"/>
      <c r="K1530" s="189" t="n"/>
      <c r="L1530" s="189" t="n"/>
      <c r="M1530" s="189" t="n"/>
      <c r="N1530" s="189" t="n"/>
      <c r="O1530" s="190" t="n"/>
    </row>
    <row r="1531" ht="18.75" customHeight="1"/>
    <row r="1532" ht="18.75" customHeight="1">
      <c r="B1532" s="175">
        <f>IF('DADOS_RESTRICOES'!$K$12="","","⚠ "&amp;'DADOS_RESTRICOES'!$K$12)</f>
        <v/>
      </c>
      <c r="J1532" s="175">
        <f>IF('DADOS_RESTRICOES'!$K$13="","","⚠ "&amp;'DADOS_RESTRICOES'!$K$13)</f>
        <v/>
      </c>
    </row>
    <row r="1533" ht="18.75" customHeight="1"/>
    <row r="1534" ht="18.75" customHeight="1"/>
    <row r="1535" ht="18.75" customHeight="1"/>
    <row r="1536" ht="18.75" customHeight="1">
      <c r="B1536" s="176" t="inlineStr">
        <is>
          <t>RESTRIÇÃO · 13</t>
        </is>
      </c>
      <c r="J1536" s="176" t="inlineStr">
        <is>
          <t>RESTRIÇÃO · 14</t>
        </is>
      </c>
    </row>
    <row r="1537" ht="18.75" customHeight="1">
      <c r="B1537" s="177" t="inlineStr">
        <is>
          <t>TIPO</t>
        </is>
      </c>
      <c r="C1537" s="178" t="n"/>
      <c r="D1537" s="178" t="n"/>
      <c r="E1537" s="179" t="n"/>
      <c r="F1537" s="177" t="inlineStr">
        <is>
          <t>MESTRE VIU</t>
        </is>
      </c>
      <c r="G1537" s="179" t="n"/>
      <c r="J1537" s="177" t="inlineStr">
        <is>
          <t>TIPO</t>
        </is>
      </c>
      <c r="K1537" s="178" t="n"/>
      <c r="L1537" s="178" t="n"/>
      <c r="M1537" s="179" t="n"/>
      <c r="N1537" s="177" t="inlineStr">
        <is>
          <t>MESTRE VIU</t>
        </is>
      </c>
      <c r="O1537" s="179" t="n"/>
    </row>
    <row r="1538" ht="18.75" customHeight="1">
      <c r="B1538" s="181" t="inlineStr">
        <is>
          <t>Restrição</t>
        </is>
      </c>
      <c r="C1538" s="178" t="n"/>
      <c r="D1538" s="178" t="n"/>
      <c r="E1538" s="179" t="n"/>
      <c r="F1538" s="180" t="b">
        <v>0</v>
      </c>
      <c r="G1538" s="179" t="n"/>
      <c r="J1538" s="181" t="inlineStr">
        <is>
          <t>Restrição</t>
        </is>
      </c>
      <c r="K1538" s="178" t="n"/>
      <c r="L1538" s="178" t="n"/>
      <c r="M1538" s="179" t="n"/>
      <c r="N1538" s="180" t="b">
        <v>0</v>
      </c>
      <c r="O1538" s="179" t="n"/>
    </row>
    <row r="1539" ht="18.75" customHeight="1">
      <c r="B1539" s="177" t="inlineStr">
        <is>
          <t>NOME</t>
        </is>
      </c>
      <c r="C1539" s="178" t="n"/>
      <c r="D1539" s="178" t="n"/>
      <c r="E1539" s="178" t="n"/>
      <c r="F1539" s="178" t="n"/>
      <c r="G1539" s="179" t="n"/>
      <c r="J1539" s="177" t="inlineStr">
        <is>
          <t>NOME</t>
        </is>
      </c>
      <c r="K1539" s="178" t="n"/>
      <c r="L1539" s="178" t="n"/>
      <c r="M1539" s="178" t="n"/>
      <c r="N1539" s="178" t="n"/>
      <c r="O1539" s="179" t="n"/>
    </row>
    <row r="1540" ht="18.75" customHeight="1">
      <c r="B1540" s="181" t="n"/>
      <c r="C1540" s="178" t="n"/>
      <c r="D1540" s="178" t="n"/>
      <c r="E1540" s="178" t="n"/>
      <c r="F1540" s="178" t="n"/>
      <c r="G1540" s="179" t="n"/>
      <c r="J1540" s="181" t="n"/>
      <c r="K1540" s="178" t="n"/>
      <c r="L1540" s="178" t="n"/>
      <c r="M1540" s="178" t="n"/>
      <c r="N1540" s="178" t="n"/>
      <c r="O1540" s="179" t="n"/>
    </row>
    <row r="1541" ht="18.75" customHeight="1">
      <c r="B1541" s="177" t="inlineStr">
        <is>
          <t>BASE DO LIVRO</t>
        </is>
      </c>
      <c r="C1541" s="178" t="n"/>
      <c r="D1541" s="179" t="n"/>
      <c r="E1541" s="181" t="inlineStr">
        <is>
          <t>Nenhuma</t>
        </is>
      </c>
      <c r="F1541" s="178" t="n"/>
      <c r="G1541" s="179" t="n"/>
      <c r="J1541" s="177" t="inlineStr">
        <is>
          <t>BASE DO LIVRO</t>
        </is>
      </c>
      <c r="K1541" s="178" t="n"/>
      <c r="L1541" s="179" t="n"/>
      <c r="M1541" s="181" t="inlineStr">
        <is>
          <t>Nenhuma</t>
        </is>
      </c>
      <c r="N1541" s="178" t="n"/>
      <c r="O1541" s="179" t="n"/>
    </row>
    <row r="1542" ht="18.75" customHeight="1">
      <c r="B1542" s="177" t="inlineStr">
        <is>
          <t>DEVOLUÇÃO</t>
        </is>
      </c>
      <c r="C1542" s="178" t="n"/>
      <c r="D1542" s="179" t="n"/>
      <c r="E1542" s="181" t="n"/>
      <c r="F1542" s="178" t="n"/>
      <c r="G1542" s="179" t="n"/>
      <c r="J1542" s="177" t="inlineStr">
        <is>
          <t>DEVOLUÇÃO</t>
        </is>
      </c>
      <c r="K1542" s="178" t="n"/>
      <c r="L1542" s="179" t="n"/>
      <c r="M1542" s="181" t="n"/>
      <c r="N1542" s="178" t="n"/>
      <c r="O1542" s="179" t="n"/>
    </row>
    <row r="1543" ht="18.75" customHeight="1">
      <c r="B1543" s="177" t="inlineStr">
        <is>
          <t>FREQUÊNCIA</t>
        </is>
      </c>
      <c r="C1543" s="178" t="n"/>
      <c r="D1543" s="179" t="n"/>
      <c r="E1543" s="181" t="n"/>
      <c r="F1543" s="178" t="n"/>
      <c r="G1543" s="179" t="n"/>
      <c r="J1543" s="177" t="inlineStr">
        <is>
          <t>FREQUÊNCIA</t>
        </is>
      </c>
      <c r="K1543" s="178" t="n"/>
      <c r="L1543" s="179" t="n"/>
      <c r="M1543" s="181" t="n"/>
      <c r="N1543" s="178" t="n"/>
      <c r="O1543" s="179" t="n"/>
    </row>
    <row r="1544" ht="18.75" customHeight="1"/>
    <row r="1545" ht="18.75" customHeight="1">
      <c r="B1545" s="177" t="inlineStr">
        <is>
          <t>EFEITO E REQUISITOS</t>
        </is>
      </c>
      <c r="C1545" s="178" t="n"/>
      <c r="D1545" s="178" t="n"/>
      <c r="E1545" s="178" t="n"/>
      <c r="F1545" s="178" t="n"/>
      <c r="G1545" s="179" t="n"/>
      <c r="J1545" s="177" t="inlineStr">
        <is>
          <t>EFEITO E REQUISITOS</t>
        </is>
      </c>
      <c r="K1545" s="178" t="n"/>
      <c r="L1545" s="178" t="n"/>
      <c r="M1545" s="178" t="n"/>
      <c r="N1545" s="178" t="n"/>
      <c r="O1545" s="179" t="n"/>
    </row>
    <row r="1546" ht="18.75" customHeight="1">
      <c r="B1546" s="183" t="n"/>
      <c r="C1546" s="184" t="n"/>
      <c r="D1546" s="184" t="n"/>
      <c r="E1546" s="184" t="n"/>
      <c r="F1546" s="184" t="n"/>
      <c r="G1546" s="185" t="n"/>
      <c r="J1546" s="183" t="n"/>
      <c r="K1546" s="184" t="n"/>
      <c r="L1546" s="184" t="n"/>
      <c r="M1546" s="184" t="n"/>
      <c r="N1546" s="184" t="n"/>
      <c r="O1546" s="185" t="n"/>
    </row>
    <row r="1547" ht="18.75" customHeight="1">
      <c r="B1547" s="186" t="n"/>
      <c r="G1547" s="187" t="n"/>
      <c r="J1547" s="186" t="n"/>
      <c r="O1547" s="187" t="n"/>
    </row>
    <row r="1548" ht="18.75" customHeight="1">
      <c r="B1548" s="186" t="n"/>
      <c r="G1548" s="187" t="n"/>
      <c r="J1548" s="186" t="n"/>
      <c r="O1548" s="187" t="n"/>
    </row>
    <row r="1549" ht="18.75" customHeight="1">
      <c r="B1549" s="186" t="n"/>
      <c r="G1549" s="187" t="n"/>
      <c r="J1549" s="186" t="n"/>
      <c r="O1549" s="187" t="n"/>
    </row>
    <row r="1550" ht="18.75" customHeight="1">
      <c r="B1550" s="186" t="n"/>
      <c r="G1550" s="187" t="n"/>
      <c r="J1550" s="186" t="n"/>
      <c r="O1550" s="187" t="n"/>
    </row>
    <row r="1551" ht="18.75" customHeight="1">
      <c r="B1551" s="186" t="n"/>
      <c r="G1551" s="187" t="n"/>
      <c r="J1551" s="186" t="n"/>
      <c r="O1551" s="187" t="n"/>
    </row>
    <row r="1552" ht="18.75" customHeight="1">
      <c r="B1552" s="188" t="n"/>
      <c r="C1552" s="189" t="n"/>
      <c r="D1552" s="189" t="n"/>
      <c r="E1552" s="189" t="n"/>
      <c r="F1552" s="189" t="n"/>
      <c r="G1552" s="190" t="n"/>
      <c r="J1552" s="188" t="n"/>
      <c r="K1552" s="189" t="n"/>
      <c r="L1552" s="189" t="n"/>
      <c r="M1552" s="189" t="n"/>
      <c r="N1552" s="189" t="n"/>
      <c r="O1552" s="190" t="n"/>
    </row>
    <row r="1553" ht="18.75" customHeight="1"/>
    <row r="1554" ht="18.75" customHeight="1">
      <c r="B1554" s="175">
        <f>IF('DADOS_RESTRICOES'!$K$14="","","⚠ "&amp;'DADOS_RESTRICOES'!$K$14)</f>
        <v/>
      </c>
      <c r="J1554" s="175">
        <f>IF('DADOS_RESTRICOES'!$K$15="","","⚠ "&amp;'DADOS_RESTRICOES'!$K$15)</f>
        <v/>
      </c>
    </row>
    <row r="1555" ht="18.75" customHeight="1"/>
    <row r="1556" ht="18.75" customHeight="1"/>
    <row r="1557" ht="18.75" customHeight="1"/>
    <row r="1558" ht="18.75" customHeight="1">
      <c r="B1558" s="176" t="inlineStr">
        <is>
          <t>RESTRIÇÃO · 15</t>
        </is>
      </c>
      <c r="J1558" s="176" t="inlineStr">
        <is>
          <t>RESTRIÇÃO · 16</t>
        </is>
      </c>
    </row>
    <row r="1559" ht="18.75" customHeight="1">
      <c r="B1559" s="177" t="inlineStr">
        <is>
          <t>TIPO</t>
        </is>
      </c>
      <c r="C1559" s="178" t="n"/>
      <c r="D1559" s="178" t="n"/>
      <c r="E1559" s="179" t="n"/>
      <c r="F1559" s="177" t="inlineStr">
        <is>
          <t>MESTRE VIU</t>
        </is>
      </c>
      <c r="G1559" s="179" t="n"/>
      <c r="J1559" s="177" t="inlineStr">
        <is>
          <t>TIPO</t>
        </is>
      </c>
      <c r="K1559" s="178" t="n"/>
      <c r="L1559" s="178" t="n"/>
      <c r="M1559" s="179" t="n"/>
      <c r="N1559" s="177" t="inlineStr">
        <is>
          <t>MESTRE VIU</t>
        </is>
      </c>
      <c r="O1559" s="179" t="n"/>
    </row>
    <row r="1560" ht="18.75" customHeight="1">
      <c r="B1560" s="181" t="inlineStr">
        <is>
          <t>Restrição</t>
        </is>
      </c>
      <c r="C1560" s="178" t="n"/>
      <c r="D1560" s="178" t="n"/>
      <c r="E1560" s="179" t="n"/>
      <c r="F1560" s="180" t="b">
        <v>0</v>
      </c>
      <c r="G1560" s="179" t="n"/>
      <c r="J1560" s="181" t="inlineStr">
        <is>
          <t>Restrição</t>
        </is>
      </c>
      <c r="K1560" s="178" t="n"/>
      <c r="L1560" s="178" t="n"/>
      <c r="M1560" s="179" t="n"/>
      <c r="N1560" s="180" t="b">
        <v>0</v>
      </c>
      <c r="O1560" s="179" t="n"/>
    </row>
    <row r="1561" ht="18.75" customHeight="1">
      <c r="B1561" s="177" t="inlineStr">
        <is>
          <t>NOME</t>
        </is>
      </c>
      <c r="C1561" s="178" t="n"/>
      <c r="D1561" s="178" t="n"/>
      <c r="E1561" s="178" t="n"/>
      <c r="F1561" s="178" t="n"/>
      <c r="G1561" s="179" t="n"/>
      <c r="J1561" s="177" t="inlineStr">
        <is>
          <t>NOME</t>
        </is>
      </c>
      <c r="K1561" s="178" t="n"/>
      <c r="L1561" s="178" t="n"/>
      <c r="M1561" s="178" t="n"/>
      <c r="N1561" s="178" t="n"/>
      <c r="O1561" s="179" t="n"/>
    </row>
    <row r="1562" ht="18.75" customHeight="1">
      <c r="B1562" s="181" t="n"/>
      <c r="C1562" s="178" t="n"/>
      <c r="D1562" s="178" t="n"/>
      <c r="E1562" s="178" t="n"/>
      <c r="F1562" s="178" t="n"/>
      <c r="G1562" s="179" t="n"/>
      <c r="J1562" s="181" t="n"/>
      <c r="K1562" s="178" t="n"/>
      <c r="L1562" s="178" t="n"/>
      <c r="M1562" s="178" t="n"/>
      <c r="N1562" s="178" t="n"/>
      <c r="O1562" s="179" t="n"/>
    </row>
    <row r="1563" ht="18.75" customHeight="1">
      <c r="B1563" s="177" t="inlineStr">
        <is>
          <t>BASE DO LIVRO</t>
        </is>
      </c>
      <c r="C1563" s="178" t="n"/>
      <c r="D1563" s="179" t="n"/>
      <c r="E1563" s="181" t="inlineStr">
        <is>
          <t>Nenhuma</t>
        </is>
      </c>
      <c r="F1563" s="178" t="n"/>
      <c r="G1563" s="179" t="n"/>
      <c r="J1563" s="177" t="inlineStr">
        <is>
          <t>BASE DO LIVRO</t>
        </is>
      </c>
      <c r="K1563" s="178" t="n"/>
      <c r="L1563" s="179" t="n"/>
      <c r="M1563" s="181" t="inlineStr">
        <is>
          <t>Nenhuma</t>
        </is>
      </c>
      <c r="N1563" s="178" t="n"/>
      <c r="O1563" s="179" t="n"/>
    </row>
    <row r="1564" ht="18.75" customHeight="1">
      <c r="B1564" s="177" t="inlineStr">
        <is>
          <t>DEVOLUÇÃO</t>
        </is>
      </c>
      <c r="C1564" s="178" t="n"/>
      <c r="D1564" s="179" t="n"/>
      <c r="E1564" s="181" t="n"/>
      <c r="F1564" s="178" t="n"/>
      <c r="G1564" s="179" t="n"/>
      <c r="J1564" s="177" t="inlineStr">
        <is>
          <t>DEVOLUÇÃO</t>
        </is>
      </c>
      <c r="K1564" s="178" t="n"/>
      <c r="L1564" s="179" t="n"/>
      <c r="M1564" s="181" t="n"/>
      <c r="N1564" s="178" t="n"/>
      <c r="O1564" s="179" t="n"/>
    </row>
    <row r="1565" ht="18.75" customHeight="1">
      <c r="B1565" s="177" t="inlineStr">
        <is>
          <t>FREQUÊNCIA</t>
        </is>
      </c>
      <c r="C1565" s="178" t="n"/>
      <c r="D1565" s="179" t="n"/>
      <c r="E1565" s="181" t="n"/>
      <c r="F1565" s="178" t="n"/>
      <c r="G1565" s="179" t="n"/>
      <c r="J1565" s="177" t="inlineStr">
        <is>
          <t>FREQUÊNCIA</t>
        </is>
      </c>
      <c r="K1565" s="178" t="n"/>
      <c r="L1565" s="179" t="n"/>
      <c r="M1565" s="181" t="n"/>
      <c r="N1565" s="178" t="n"/>
      <c r="O1565" s="179" t="n"/>
    </row>
    <row r="1566" ht="18.75" customHeight="1"/>
    <row r="1567" ht="18.75" customHeight="1">
      <c r="B1567" s="177" t="inlineStr">
        <is>
          <t>EFEITO E REQUISITOS</t>
        </is>
      </c>
      <c r="C1567" s="178" t="n"/>
      <c r="D1567" s="178" t="n"/>
      <c r="E1567" s="178" t="n"/>
      <c r="F1567" s="178" t="n"/>
      <c r="G1567" s="179" t="n"/>
      <c r="J1567" s="177" t="inlineStr">
        <is>
          <t>EFEITO E REQUISITOS</t>
        </is>
      </c>
      <c r="K1567" s="178" t="n"/>
      <c r="L1567" s="178" t="n"/>
      <c r="M1567" s="178" t="n"/>
      <c r="N1567" s="178" t="n"/>
      <c r="O1567" s="179" t="n"/>
    </row>
    <row r="1568" ht="18.75" customHeight="1">
      <c r="B1568" s="183" t="n"/>
      <c r="C1568" s="184" t="n"/>
      <c r="D1568" s="184" t="n"/>
      <c r="E1568" s="184" t="n"/>
      <c r="F1568" s="184" t="n"/>
      <c r="G1568" s="185" t="n"/>
      <c r="J1568" s="183" t="n"/>
      <c r="K1568" s="184" t="n"/>
      <c r="L1568" s="184" t="n"/>
      <c r="M1568" s="184" t="n"/>
      <c r="N1568" s="184" t="n"/>
      <c r="O1568" s="185" t="n"/>
    </row>
    <row r="1569" ht="18.75" customHeight="1">
      <c r="B1569" s="186" t="n"/>
      <c r="G1569" s="187" t="n"/>
      <c r="J1569" s="186" t="n"/>
      <c r="O1569" s="187" t="n"/>
    </row>
    <row r="1570" ht="18.75" customHeight="1">
      <c r="B1570" s="186" t="n"/>
      <c r="G1570" s="187" t="n"/>
      <c r="J1570" s="186" t="n"/>
      <c r="O1570" s="187" t="n"/>
    </row>
    <row r="1571" ht="18.75" customHeight="1">
      <c r="B1571" s="186" t="n"/>
      <c r="G1571" s="187" t="n"/>
      <c r="J1571" s="186" t="n"/>
      <c r="O1571" s="187" t="n"/>
    </row>
    <row r="1572" ht="18.75" customHeight="1">
      <c r="B1572" s="186" t="n"/>
      <c r="G1572" s="187" t="n"/>
      <c r="J1572" s="186" t="n"/>
      <c r="O1572" s="187" t="n"/>
    </row>
    <row r="1573" ht="18.75" customHeight="1">
      <c r="B1573" s="186" t="n"/>
      <c r="G1573" s="187" t="n"/>
      <c r="J1573" s="186" t="n"/>
      <c r="O1573" s="187" t="n"/>
    </row>
    <row r="1574" ht="18.75" customHeight="1">
      <c r="B1574" s="188" t="n"/>
      <c r="C1574" s="189" t="n"/>
      <c r="D1574" s="189" t="n"/>
      <c r="E1574" s="189" t="n"/>
      <c r="F1574" s="189" t="n"/>
      <c r="G1574" s="190" t="n"/>
      <c r="J1574" s="188" t="n"/>
      <c r="K1574" s="189" t="n"/>
      <c r="L1574" s="189" t="n"/>
      <c r="M1574" s="189" t="n"/>
      <c r="N1574" s="189" t="n"/>
      <c r="O1574" s="190" t="n"/>
    </row>
    <row r="1575" ht="18.75" customHeight="1"/>
    <row r="1576" ht="18.75" customHeight="1">
      <c r="B1576" s="175">
        <f>IF('DADOS_RESTRICOES'!$K$16="","","⚠ "&amp;'DADOS_RESTRICOES'!$K$16)</f>
        <v/>
      </c>
      <c r="J1576" s="175">
        <f>IF('DADOS_RESTRICOES'!$K$17="","","⚠ "&amp;'DADOS_RESTRICOES'!$K$17)</f>
        <v/>
      </c>
    </row>
    <row r="1577" ht="18.75" customHeight="1"/>
    <row r="1578" ht="18.75" customHeight="1"/>
    <row r="1579" ht="18.75" customHeight="1"/>
    <row r="1580" ht="18.75" customHeight="1">
      <c r="B1580" s="176" t="inlineStr">
        <is>
          <t>RESTRIÇÃO · 17</t>
        </is>
      </c>
      <c r="J1580" s="176" t="inlineStr">
        <is>
          <t>RESTRIÇÃO · 18</t>
        </is>
      </c>
    </row>
    <row r="1581" ht="18.75" customHeight="1">
      <c r="B1581" s="177" t="inlineStr">
        <is>
          <t>TIPO</t>
        </is>
      </c>
      <c r="C1581" s="178" t="n"/>
      <c r="D1581" s="178" t="n"/>
      <c r="E1581" s="179" t="n"/>
      <c r="F1581" s="177" t="inlineStr">
        <is>
          <t>MESTRE VIU</t>
        </is>
      </c>
      <c r="G1581" s="179" t="n"/>
      <c r="J1581" s="177" t="inlineStr">
        <is>
          <t>TIPO</t>
        </is>
      </c>
      <c r="K1581" s="178" t="n"/>
      <c r="L1581" s="178" t="n"/>
      <c r="M1581" s="179" t="n"/>
      <c r="N1581" s="177" t="inlineStr">
        <is>
          <t>MESTRE VIU</t>
        </is>
      </c>
      <c r="O1581" s="179" t="n"/>
    </row>
    <row r="1582" ht="18.75" customHeight="1">
      <c r="B1582" s="181" t="inlineStr">
        <is>
          <t>Restrição</t>
        </is>
      </c>
      <c r="C1582" s="178" t="n"/>
      <c r="D1582" s="178" t="n"/>
      <c r="E1582" s="179" t="n"/>
      <c r="F1582" s="180" t="b">
        <v>0</v>
      </c>
      <c r="G1582" s="179" t="n"/>
      <c r="J1582" s="181" t="inlineStr">
        <is>
          <t>Restrição</t>
        </is>
      </c>
      <c r="K1582" s="178" t="n"/>
      <c r="L1582" s="178" t="n"/>
      <c r="M1582" s="179" t="n"/>
      <c r="N1582" s="180" t="b">
        <v>0</v>
      </c>
      <c r="O1582" s="179" t="n"/>
    </row>
    <row r="1583" ht="18.75" customHeight="1">
      <c r="B1583" s="177" t="inlineStr">
        <is>
          <t>NOME</t>
        </is>
      </c>
      <c r="C1583" s="178" t="n"/>
      <c r="D1583" s="178" t="n"/>
      <c r="E1583" s="178" t="n"/>
      <c r="F1583" s="178" t="n"/>
      <c r="G1583" s="179" t="n"/>
      <c r="J1583" s="177" t="inlineStr">
        <is>
          <t>NOME</t>
        </is>
      </c>
      <c r="K1583" s="178" t="n"/>
      <c r="L1583" s="178" t="n"/>
      <c r="M1583" s="178" t="n"/>
      <c r="N1583" s="178" t="n"/>
      <c r="O1583" s="179" t="n"/>
    </row>
    <row r="1584" ht="18.75" customHeight="1">
      <c r="B1584" s="181" t="n"/>
      <c r="C1584" s="178" t="n"/>
      <c r="D1584" s="178" t="n"/>
      <c r="E1584" s="178" t="n"/>
      <c r="F1584" s="178" t="n"/>
      <c r="G1584" s="179" t="n"/>
      <c r="J1584" s="181" t="n"/>
      <c r="K1584" s="178" t="n"/>
      <c r="L1584" s="178" t="n"/>
      <c r="M1584" s="178" t="n"/>
      <c r="N1584" s="178" t="n"/>
      <c r="O1584" s="179" t="n"/>
    </row>
    <row r="1585" ht="18.75" customHeight="1">
      <c r="B1585" s="177" t="inlineStr">
        <is>
          <t>BASE DO LIVRO</t>
        </is>
      </c>
      <c r="C1585" s="178" t="n"/>
      <c r="D1585" s="179" t="n"/>
      <c r="E1585" s="181" t="inlineStr">
        <is>
          <t>Nenhuma</t>
        </is>
      </c>
      <c r="F1585" s="178" t="n"/>
      <c r="G1585" s="179" t="n"/>
      <c r="J1585" s="177" t="inlineStr">
        <is>
          <t>BASE DO LIVRO</t>
        </is>
      </c>
      <c r="K1585" s="178" t="n"/>
      <c r="L1585" s="179" t="n"/>
      <c r="M1585" s="181" t="inlineStr">
        <is>
          <t>Nenhuma</t>
        </is>
      </c>
      <c r="N1585" s="178" t="n"/>
      <c r="O1585" s="179" t="n"/>
    </row>
    <row r="1586" ht="18.75" customHeight="1">
      <c r="B1586" s="177" t="inlineStr">
        <is>
          <t>DEVOLUÇÃO</t>
        </is>
      </c>
      <c r="C1586" s="178" t="n"/>
      <c r="D1586" s="179" t="n"/>
      <c r="E1586" s="181" t="n"/>
      <c r="F1586" s="178" t="n"/>
      <c r="G1586" s="179" t="n"/>
      <c r="J1586" s="177" t="inlineStr">
        <is>
          <t>DEVOLUÇÃO</t>
        </is>
      </c>
      <c r="K1586" s="178" t="n"/>
      <c r="L1586" s="179" t="n"/>
      <c r="M1586" s="181" t="n"/>
      <c r="N1586" s="178" t="n"/>
      <c r="O1586" s="179" t="n"/>
    </row>
    <row r="1587" ht="18.75" customHeight="1">
      <c r="B1587" s="177" t="inlineStr">
        <is>
          <t>FREQUÊNCIA</t>
        </is>
      </c>
      <c r="C1587" s="178" t="n"/>
      <c r="D1587" s="179" t="n"/>
      <c r="E1587" s="181" t="n"/>
      <c r="F1587" s="178" t="n"/>
      <c r="G1587" s="179" t="n"/>
      <c r="J1587" s="177" t="inlineStr">
        <is>
          <t>FREQUÊNCIA</t>
        </is>
      </c>
      <c r="K1587" s="178" t="n"/>
      <c r="L1587" s="179" t="n"/>
      <c r="M1587" s="181" t="n"/>
      <c r="N1587" s="178" t="n"/>
      <c r="O1587" s="179" t="n"/>
    </row>
    <row r="1588" ht="18.75" customHeight="1"/>
    <row r="1589" ht="18.75" customHeight="1">
      <c r="B1589" s="177" t="inlineStr">
        <is>
          <t>EFEITO E REQUISITOS</t>
        </is>
      </c>
      <c r="C1589" s="178" t="n"/>
      <c r="D1589" s="178" t="n"/>
      <c r="E1589" s="178" t="n"/>
      <c r="F1589" s="178" t="n"/>
      <c r="G1589" s="179" t="n"/>
      <c r="J1589" s="177" t="inlineStr">
        <is>
          <t>EFEITO E REQUISITOS</t>
        </is>
      </c>
      <c r="K1589" s="178" t="n"/>
      <c r="L1589" s="178" t="n"/>
      <c r="M1589" s="178" t="n"/>
      <c r="N1589" s="178" t="n"/>
      <c r="O1589" s="179" t="n"/>
    </row>
    <row r="1590" ht="18.75" customHeight="1">
      <c r="B1590" s="183" t="n"/>
      <c r="C1590" s="184" t="n"/>
      <c r="D1590" s="184" t="n"/>
      <c r="E1590" s="184" t="n"/>
      <c r="F1590" s="184" t="n"/>
      <c r="G1590" s="185" t="n"/>
      <c r="J1590" s="183" t="n"/>
      <c r="K1590" s="184" t="n"/>
      <c r="L1590" s="184" t="n"/>
      <c r="M1590" s="184" t="n"/>
      <c r="N1590" s="184" t="n"/>
      <c r="O1590" s="185" t="n"/>
    </row>
    <row r="1591" ht="18.75" customHeight="1">
      <c r="B1591" s="186" t="n"/>
      <c r="G1591" s="187" t="n"/>
      <c r="J1591" s="186" t="n"/>
      <c r="O1591" s="187" t="n"/>
    </row>
    <row r="1592" ht="18.75" customHeight="1">
      <c r="B1592" s="186" t="n"/>
      <c r="G1592" s="187" t="n"/>
      <c r="J1592" s="186" t="n"/>
      <c r="O1592" s="187" t="n"/>
    </row>
    <row r="1593" ht="18.75" customHeight="1">
      <c r="B1593" s="186" t="n"/>
      <c r="G1593" s="187" t="n"/>
      <c r="J1593" s="186" t="n"/>
      <c r="O1593" s="187" t="n"/>
    </row>
    <row r="1594" ht="18.75" customHeight="1">
      <c r="B1594" s="186" t="n"/>
      <c r="G1594" s="187" t="n"/>
      <c r="J1594" s="186" t="n"/>
      <c r="O1594" s="187" t="n"/>
    </row>
    <row r="1595" ht="18.75" customHeight="1">
      <c r="B1595" s="186" t="n"/>
      <c r="G1595" s="187" t="n"/>
      <c r="J1595" s="186" t="n"/>
      <c r="O1595" s="187" t="n"/>
    </row>
    <row r="1596" ht="18.75" customHeight="1">
      <c r="B1596" s="188" t="n"/>
      <c r="C1596" s="189" t="n"/>
      <c r="D1596" s="189" t="n"/>
      <c r="E1596" s="189" t="n"/>
      <c r="F1596" s="189" t="n"/>
      <c r="G1596" s="190" t="n"/>
      <c r="J1596" s="188" t="n"/>
      <c r="K1596" s="189" t="n"/>
      <c r="L1596" s="189" t="n"/>
      <c r="M1596" s="189" t="n"/>
      <c r="N1596" s="189" t="n"/>
      <c r="O1596" s="190" t="n"/>
    </row>
    <row r="1597" ht="18.75" customHeight="1"/>
    <row r="1598" ht="18.75" customHeight="1">
      <c r="B1598" s="175">
        <f>IF('DADOS_RESTRICOES'!$K$18="","","⚠ "&amp;'DADOS_RESTRICOES'!$K$18)</f>
        <v/>
      </c>
      <c r="J1598" s="175">
        <f>IF('DADOS_RESTRICOES'!$K$19="","","⚠ "&amp;'DADOS_RESTRICOES'!$K$19)</f>
        <v/>
      </c>
    </row>
    <row r="1599" ht="18.75" customHeight="1"/>
    <row r="1600" ht="18.75" customHeight="1"/>
    <row r="1601" ht="18.75" customHeight="1"/>
    <row r="1602" ht="18.75" customHeight="1">
      <c r="B1602" s="176" t="inlineStr">
        <is>
          <t>RESTRIÇÃO · 19</t>
        </is>
      </c>
      <c r="J1602" s="176" t="inlineStr">
        <is>
          <t>RESTRIÇÃO · 20</t>
        </is>
      </c>
    </row>
    <row r="1603" ht="18.75" customHeight="1">
      <c r="B1603" s="177" t="inlineStr">
        <is>
          <t>TIPO</t>
        </is>
      </c>
      <c r="C1603" s="178" t="n"/>
      <c r="D1603" s="178" t="n"/>
      <c r="E1603" s="179" t="n"/>
      <c r="F1603" s="177" t="inlineStr">
        <is>
          <t>MESTRE VIU</t>
        </is>
      </c>
      <c r="G1603" s="179" t="n"/>
      <c r="J1603" s="177" t="inlineStr">
        <is>
          <t>TIPO</t>
        </is>
      </c>
      <c r="K1603" s="178" t="n"/>
      <c r="L1603" s="178" t="n"/>
      <c r="M1603" s="179" t="n"/>
      <c r="N1603" s="177" t="inlineStr">
        <is>
          <t>MESTRE VIU</t>
        </is>
      </c>
      <c r="O1603" s="179" t="n"/>
    </row>
    <row r="1604" ht="18.75" customHeight="1">
      <c r="B1604" s="181" t="inlineStr">
        <is>
          <t>Restrição</t>
        </is>
      </c>
      <c r="C1604" s="178" t="n"/>
      <c r="D1604" s="178" t="n"/>
      <c r="E1604" s="179" t="n"/>
      <c r="F1604" s="180" t="b">
        <v>0</v>
      </c>
      <c r="G1604" s="179" t="n"/>
      <c r="J1604" s="181" t="inlineStr">
        <is>
          <t>Restrição</t>
        </is>
      </c>
      <c r="K1604" s="178" t="n"/>
      <c r="L1604" s="178" t="n"/>
      <c r="M1604" s="179" t="n"/>
      <c r="N1604" s="180" t="b">
        <v>0</v>
      </c>
      <c r="O1604" s="179" t="n"/>
    </row>
    <row r="1605" ht="18.75" customHeight="1">
      <c r="B1605" s="177" t="inlineStr">
        <is>
          <t>NOME</t>
        </is>
      </c>
      <c r="C1605" s="178" t="n"/>
      <c r="D1605" s="178" t="n"/>
      <c r="E1605" s="178" t="n"/>
      <c r="F1605" s="178" t="n"/>
      <c r="G1605" s="179" t="n"/>
      <c r="J1605" s="177" t="inlineStr">
        <is>
          <t>NOME</t>
        </is>
      </c>
      <c r="K1605" s="178" t="n"/>
      <c r="L1605" s="178" t="n"/>
      <c r="M1605" s="178" t="n"/>
      <c r="N1605" s="178" t="n"/>
      <c r="O1605" s="179" t="n"/>
    </row>
    <row r="1606" ht="18.75" customHeight="1">
      <c r="B1606" s="181" t="n"/>
      <c r="C1606" s="178" t="n"/>
      <c r="D1606" s="178" t="n"/>
      <c r="E1606" s="178" t="n"/>
      <c r="F1606" s="178" t="n"/>
      <c r="G1606" s="179" t="n"/>
      <c r="J1606" s="181" t="n"/>
      <c r="K1606" s="178" t="n"/>
      <c r="L1606" s="178" t="n"/>
      <c r="M1606" s="178" t="n"/>
      <c r="N1606" s="178" t="n"/>
      <c r="O1606" s="179" t="n"/>
    </row>
    <row r="1607" ht="18.75" customHeight="1">
      <c r="B1607" s="177" t="inlineStr">
        <is>
          <t>BASE DO LIVRO</t>
        </is>
      </c>
      <c r="C1607" s="178" t="n"/>
      <c r="D1607" s="179" t="n"/>
      <c r="E1607" s="181" t="inlineStr">
        <is>
          <t>Nenhuma</t>
        </is>
      </c>
      <c r="F1607" s="178" t="n"/>
      <c r="G1607" s="179" t="n"/>
      <c r="J1607" s="177" t="inlineStr">
        <is>
          <t>BASE DO LIVRO</t>
        </is>
      </c>
      <c r="K1607" s="178" t="n"/>
      <c r="L1607" s="179" t="n"/>
      <c r="M1607" s="181" t="inlineStr">
        <is>
          <t>Nenhuma</t>
        </is>
      </c>
      <c r="N1607" s="178" t="n"/>
      <c r="O1607" s="179" t="n"/>
    </row>
    <row r="1608" ht="18.75" customHeight="1">
      <c r="B1608" s="177" t="inlineStr">
        <is>
          <t>DEVOLUÇÃO</t>
        </is>
      </c>
      <c r="C1608" s="178" t="n"/>
      <c r="D1608" s="179" t="n"/>
      <c r="E1608" s="181" t="n"/>
      <c r="F1608" s="178" t="n"/>
      <c r="G1608" s="179" t="n"/>
      <c r="J1608" s="177" t="inlineStr">
        <is>
          <t>DEVOLUÇÃO</t>
        </is>
      </c>
      <c r="K1608" s="178" t="n"/>
      <c r="L1608" s="179" t="n"/>
      <c r="M1608" s="181" t="n"/>
      <c r="N1608" s="178" t="n"/>
      <c r="O1608" s="179" t="n"/>
    </row>
    <row r="1609" ht="18.75" customHeight="1">
      <c r="B1609" s="177" t="inlineStr">
        <is>
          <t>FREQUÊNCIA</t>
        </is>
      </c>
      <c r="C1609" s="178" t="n"/>
      <c r="D1609" s="179" t="n"/>
      <c r="E1609" s="181" t="n"/>
      <c r="F1609" s="178" t="n"/>
      <c r="G1609" s="179" t="n"/>
      <c r="J1609" s="177" t="inlineStr">
        <is>
          <t>FREQUÊNCIA</t>
        </is>
      </c>
      <c r="K1609" s="178" t="n"/>
      <c r="L1609" s="179" t="n"/>
      <c r="M1609" s="181" t="n"/>
      <c r="N1609" s="178" t="n"/>
      <c r="O1609" s="179" t="n"/>
    </row>
    <row r="1610" ht="18.75" customHeight="1"/>
    <row r="1611" ht="18.75" customHeight="1">
      <c r="B1611" s="177" t="inlineStr">
        <is>
          <t>EFEITO E REQUISITOS</t>
        </is>
      </c>
      <c r="C1611" s="178" t="n"/>
      <c r="D1611" s="178" t="n"/>
      <c r="E1611" s="178" t="n"/>
      <c r="F1611" s="178" t="n"/>
      <c r="G1611" s="179" t="n"/>
      <c r="J1611" s="177" t="inlineStr">
        <is>
          <t>EFEITO E REQUISITOS</t>
        </is>
      </c>
      <c r="K1611" s="178" t="n"/>
      <c r="L1611" s="178" t="n"/>
      <c r="M1611" s="178" t="n"/>
      <c r="N1611" s="178" t="n"/>
      <c r="O1611" s="179" t="n"/>
    </row>
    <row r="1612" ht="18.75" customHeight="1">
      <c r="B1612" s="183" t="n"/>
      <c r="C1612" s="184" t="n"/>
      <c r="D1612" s="184" t="n"/>
      <c r="E1612" s="184" t="n"/>
      <c r="F1612" s="184" t="n"/>
      <c r="G1612" s="185" t="n"/>
      <c r="J1612" s="183" t="n"/>
      <c r="K1612" s="184" t="n"/>
      <c r="L1612" s="184" t="n"/>
      <c r="M1612" s="184" t="n"/>
      <c r="N1612" s="184" t="n"/>
      <c r="O1612" s="185" t="n"/>
    </row>
    <row r="1613" ht="18.75" customHeight="1">
      <c r="B1613" s="186" t="n"/>
      <c r="G1613" s="187" t="n"/>
      <c r="J1613" s="186" t="n"/>
      <c r="O1613" s="187" t="n"/>
    </row>
    <row r="1614" ht="18.75" customHeight="1">
      <c r="B1614" s="186" t="n"/>
      <c r="G1614" s="187" t="n"/>
      <c r="J1614" s="186" t="n"/>
      <c r="O1614" s="187" t="n"/>
    </row>
    <row r="1615" ht="18.75" customHeight="1">
      <c r="B1615" s="186" t="n"/>
      <c r="G1615" s="187" t="n"/>
      <c r="J1615" s="186" t="n"/>
      <c r="O1615" s="187" t="n"/>
    </row>
    <row r="1616" ht="18.75" customHeight="1">
      <c r="B1616" s="186" t="n"/>
      <c r="G1616" s="187" t="n"/>
      <c r="J1616" s="186" t="n"/>
      <c r="O1616" s="187" t="n"/>
    </row>
    <row r="1617" ht="18.75" customHeight="1">
      <c r="B1617" s="186" t="n"/>
      <c r="G1617" s="187" t="n"/>
      <c r="J1617" s="186" t="n"/>
      <c r="O1617" s="187" t="n"/>
    </row>
    <row r="1618" ht="18.75" customHeight="1">
      <c r="B1618" s="188" t="n"/>
      <c r="C1618" s="189" t="n"/>
      <c r="D1618" s="189" t="n"/>
      <c r="E1618" s="189" t="n"/>
      <c r="F1618" s="189" t="n"/>
      <c r="G1618" s="190" t="n"/>
      <c r="J1618" s="188" t="n"/>
      <c r="K1618" s="189" t="n"/>
      <c r="L1618" s="189" t="n"/>
      <c r="M1618" s="189" t="n"/>
      <c r="N1618" s="189" t="n"/>
      <c r="O1618" s="190" t="n"/>
    </row>
    <row r="1619" ht="18.75" customHeight="1"/>
    <row r="1620" ht="18.75" customHeight="1">
      <c r="B1620" s="175">
        <f>IF('DADOS_RESTRICOES'!$K$20="","","⚠ "&amp;'DADOS_RESTRICOES'!$K$20)</f>
        <v/>
      </c>
      <c r="J1620" s="175">
        <f>IF('DADOS_RESTRICOES'!$K$21="","","⚠ "&amp;'DADOS_RESTRICOES'!$K$21)</f>
        <v/>
      </c>
    </row>
    <row r="1621" ht="18.75" customHeight="1"/>
    <row r="1622" ht="18.75" customHeight="1"/>
    <row r="1623" ht="18.75" customHeight="1"/>
    <row r="1624" ht="18.75" customHeight="1">
      <c r="B1624" s="176" t="inlineStr">
        <is>
          <t>RESTRIÇÃO · 21</t>
        </is>
      </c>
      <c r="J1624" s="176" t="inlineStr">
        <is>
          <t>RESTRIÇÃO · 22</t>
        </is>
      </c>
    </row>
    <row r="1625" ht="18.75" customHeight="1">
      <c r="B1625" s="177" t="inlineStr">
        <is>
          <t>TIPO</t>
        </is>
      </c>
      <c r="C1625" s="178" t="n"/>
      <c r="D1625" s="178" t="n"/>
      <c r="E1625" s="179" t="n"/>
      <c r="F1625" s="177" t="inlineStr">
        <is>
          <t>MESTRE VIU</t>
        </is>
      </c>
      <c r="G1625" s="179" t="n"/>
      <c r="J1625" s="177" t="inlineStr">
        <is>
          <t>TIPO</t>
        </is>
      </c>
      <c r="K1625" s="178" t="n"/>
      <c r="L1625" s="178" t="n"/>
      <c r="M1625" s="179" t="n"/>
      <c r="N1625" s="177" t="inlineStr">
        <is>
          <t>MESTRE VIU</t>
        </is>
      </c>
      <c r="O1625" s="179" t="n"/>
    </row>
    <row r="1626" ht="18.75" customHeight="1">
      <c r="B1626" s="181" t="inlineStr">
        <is>
          <t>Restrição</t>
        </is>
      </c>
      <c r="C1626" s="178" t="n"/>
      <c r="D1626" s="178" t="n"/>
      <c r="E1626" s="179" t="n"/>
      <c r="F1626" s="180" t="b">
        <v>0</v>
      </c>
      <c r="G1626" s="179" t="n"/>
      <c r="J1626" s="181" t="inlineStr">
        <is>
          <t>Restrição</t>
        </is>
      </c>
      <c r="K1626" s="178" t="n"/>
      <c r="L1626" s="178" t="n"/>
      <c r="M1626" s="179" t="n"/>
      <c r="N1626" s="180" t="b">
        <v>0</v>
      </c>
      <c r="O1626" s="179" t="n"/>
    </row>
    <row r="1627" ht="18.75" customHeight="1">
      <c r="B1627" s="177" t="inlineStr">
        <is>
          <t>NOME</t>
        </is>
      </c>
      <c r="C1627" s="178" t="n"/>
      <c r="D1627" s="178" t="n"/>
      <c r="E1627" s="178" t="n"/>
      <c r="F1627" s="178" t="n"/>
      <c r="G1627" s="179" t="n"/>
      <c r="J1627" s="177" t="inlineStr">
        <is>
          <t>NOME</t>
        </is>
      </c>
      <c r="K1627" s="178" t="n"/>
      <c r="L1627" s="178" t="n"/>
      <c r="M1627" s="178" t="n"/>
      <c r="N1627" s="178" t="n"/>
      <c r="O1627" s="179" t="n"/>
    </row>
    <row r="1628" ht="18.75" customHeight="1">
      <c r="B1628" s="181" t="n"/>
      <c r="C1628" s="178" t="n"/>
      <c r="D1628" s="178" t="n"/>
      <c r="E1628" s="178" t="n"/>
      <c r="F1628" s="178" t="n"/>
      <c r="G1628" s="179" t="n"/>
      <c r="J1628" s="181" t="n"/>
      <c r="K1628" s="178" t="n"/>
      <c r="L1628" s="178" t="n"/>
      <c r="M1628" s="178" t="n"/>
      <c r="N1628" s="178" t="n"/>
      <c r="O1628" s="179" t="n"/>
    </row>
    <row r="1629" ht="18.75" customHeight="1">
      <c r="B1629" s="177" t="inlineStr">
        <is>
          <t>BASE DO LIVRO</t>
        </is>
      </c>
      <c r="C1629" s="178" t="n"/>
      <c r="D1629" s="179" t="n"/>
      <c r="E1629" s="181" t="inlineStr">
        <is>
          <t>Nenhuma</t>
        </is>
      </c>
      <c r="F1629" s="178" t="n"/>
      <c r="G1629" s="179" t="n"/>
      <c r="J1629" s="177" t="inlineStr">
        <is>
          <t>BASE DO LIVRO</t>
        </is>
      </c>
      <c r="K1629" s="178" t="n"/>
      <c r="L1629" s="179" t="n"/>
      <c r="M1629" s="181" t="inlineStr">
        <is>
          <t>Nenhuma</t>
        </is>
      </c>
      <c r="N1629" s="178" t="n"/>
      <c r="O1629" s="179" t="n"/>
    </row>
    <row r="1630" ht="18.75" customHeight="1">
      <c r="B1630" s="177" t="inlineStr">
        <is>
          <t>DEVOLUÇÃO</t>
        </is>
      </c>
      <c r="C1630" s="178" t="n"/>
      <c r="D1630" s="179" t="n"/>
      <c r="E1630" s="181" t="n"/>
      <c r="F1630" s="178" t="n"/>
      <c r="G1630" s="179" t="n"/>
      <c r="J1630" s="177" t="inlineStr">
        <is>
          <t>DEVOLUÇÃO</t>
        </is>
      </c>
      <c r="K1630" s="178" t="n"/>
      <c r="L1630" s="179" t="n"/>
      <c r="M1630" s="181" t="n"/>
      <c r="N1630" s="178" t="n"/>
      <c r="O1630" s="179" t="n"/>
    </row>
    <row r="1631" ht="18.75" customHeight="1">
      <c r="B1631" s="177" t="inlineStr">
        <is>
          <t>FREQUÊNCIA</t>
        </is>
      </c>
      <c r="C1631" s="178" t="n"/>
      <c r="D1631" s="179" t="n"/>
      <c r="E1631" s="181" t="n"/>
      <c r="F1631" s="178" t="n"/>
      <c r="G1631" s="179" t="n"/>
      <c r="J1631" s="177" t="inlineStr">
        <is>
          <t>FREQUÊNCIA</t>
        </is>
      </c>
      <c r="K1631" s="178" t="n"/>
      <c r="L1631" s="179" t="n"/>
      <c r="M1631" s="181" t="n"/>
      <c r="N1631" s="178" t="n"/>
      <c r="O1631" s="179" t="n"/>
    </row>
    <row r="1632" ht="18.75" customHeight="1"/>
    <row r="1633" ht="18.75" customHeight="1">
      <c r="B1633" s="177" t="inlineStr">
        <is>
          <t>EFEITO E REQUISITOS</t>
        </is>
      </c>
      <c r="C1633" s="178" t="n"/>
      <c r="D1633" s="178" t="n"/>
      <c r="E1633" s="178" t="n"/>
      <c r="F1633" s="178" t="n"/>
      <c r="G1633" s="179" t="n"/>
      <c r="J1633" s="177" t="inlineStr">
        <is>
          <t>EFEITO E REQUISITOS</t>
        </is>
      </c>
      <c r="K1633" s="178" t="n"/>
      <c r="L1633" s="178" t="n"/>
      <c r="M1633" s="178" t="n"/>
      <c r="N1633" s="178" t="n"/>
      <c r="O1633" s="179" t="n"/>
    </row>
    <row r="1634" ht="18.75" customHeight="1">
      <c r="B1634" s="183" t="n"/>
      <c r="C1634" s="184" t="n"/>
      <c r="D1634" s="184" t="n"/>
      <c r="E1634" s="184" t="n"/>
      <c r="F1634" s="184" t="n"/>
      <c r="G1634" s="185" t="n"/>
      <c r="J1634" s="183" t="n"/>
      <c r="K1634" s="184" t="n"/>
      <c r="L1634" s="184" t="n"/>
      <c r="M1634" s="184" t="n"/>
      <c r="N1634" s="184" t="n"/>
      <c r="O1634" s="185" t="n"/>
    </row>
    <row r="1635" ht="18.75" customHeight="1">
      <c r="B1635" s="186" t="n"/>
      <c r="G1635" s="187" t="n"/>
      <c r="J1635" s="186" t="n"/>
      <c r="O1635" s="187" t="n"/>
    </row>
    <row r="1636" ht="18.75" customHeight="1">
      <c r="B1636" s="186" t="n"/>
      <c r="G1636" s="187" t="n"/>
      <c r="J1636" s="186" t="n"/>
      <c r="O1636" s="187" t="n"/>
    </row>
    <row r="1637" ht="18.75" customHeight="1">
      <c r="B1637" s="186" t="n"/>
      <c r="G1637" s="187" t="n"/>
      <c r="J1637" s="186" t="n"/>
      <c r="O1637" s="187" t="n"/>
    </row>
    <row r="1638" ht="18.75" customHeight="1">
      <c r="B1638" s="186" t="n"/>
      <c r="G1638" s="187" t="n"/>
      <c r="J1638" s="186" t="n"/>
      <c r="O1638" s="187" t="n"/>
    </row>
    <row r="1639" ht="18.75" customHeight="1">
      <c r="B1639" s="186" t="n"/>
      <c r="G1639" s="187" t="n"/>
      <c r="J1639" s="186" t="n"/>
      <c r="O1639" s="187" t="n"/>
    </row>
    <row r="1640" ht="18.75" customHeight="1">
      <c r="B1640" s="188" t="n"/>
      <c r="C1640" s="189" t="n"/>
      <c r="D1640" s="189" t="n"/>
      <c r="E1640" s="189" t="n"/>
      <c r="F1640" s="189" t="n"/>
      <c r="G1640" s="190" t="n"/>
      <c r="J1640" s="188" t="n"/>
      <c r="K1640" s="189" t="n"/>
      <c r="L1640" s="189" t="n"/>
      <c r="M1640" s="189" t="n"/>
      <c r="N1640" s="189" t="n"/>
      <c r="O1640" s="190" t="n"/>
    </row>
    <row r="1641" ht="18.75" customHeight="1"/>
    <row r="1642" ht="18.75" customHeight="1">
      <c r="B1642" s="175">
        <f>IF('DADOS_RESTRICOES'!$K$22="","","⚠ "&amp;'DADOS_RESTRICOES'!$K$22)</f>
        <v/>
      </c>
      <c r="J1642" s="175">
        <f>IF('DADOS_RESTRICOES'!$K$23="","","⚠ "&amp;'DADOS_RESTRICOES'!$K$23)</f>
        <v/>
      </c>
    </row>
    <row r="1643" ht="18.75" customHeight="1"/>
    <row r="1644" ht="18.75" customHeight="1"/>
    <row r="1645" ht="18.75" customHeight="1"/>
    <row r="1646" ht="18.75" customHeight="1">
      <c r="B1646" s="176" t="inlineStr">
        <is>
          <t>RESTRIÇÃO · 23</t>
        </is>
      </c>
      <c r="J1646" s="176" t="inlineStr">
        <is>
          <t>RESTRIÇÃO · 24</t>
        </is>
      </c>
    </row>
    <row r="1647" ht="18.75" customHeight="1">
      <c r="B1647" s="177" t="inlineStr">
        <is>
          <t>TIPO</t>
        </is>
      </c>
      <c r="C1647" s="178" t="n"/>
      <c r="D1647" s="178" t="n"/>
      <c r="E1647" s="179" t="n"/>
      <c r="F1647" s="177" t="inlineStr">
        <is>
          <t>MESTRE VIU</t>
        </is>
      </c>
      <c r="G1647" s="179" t="n"/>
      <c r="J1647" s="177" t="inlineStr">
        <is>
          <t>TIPO</t>
        </is>
      </c>
      <c r="K1647" s="178" t="n"/>
      <c r="L1647" s="178" t="n"/>
      <c r="M1647" s="179" t="n"/>
      <c r="N1647" s="177" t="inlineStr">
        <is>
          <t>MESTRE VIU</t>
        </is>
      </c>
      <c r="O1647" s="179" t="n"/>
    </row>
    <row r="1648" ht="18.75" customHeight="1">
      <c r="B1648" s="181" t="inlineStr">
        <is>
          <t>Restrição</t>
        </is>
      </c>
      <c r="C1648" s="178" t="n"/>
      <c r="D1648" s="178" t="n"/>
      <c r="E1648" s="179" t="n"/>
      <c r="F1648" s="180" t="b">
        <v>0</v>
      </c>
      <c r="G1648" s="179" t="n"/>
      <c r="J1648" s="181" t="inlineStr">
        <is>
          <t>Restrição</t>
        </is>
      </c>
      <c r="K1648" s="178" t="n"/>
      <c r="L1648" s="178" t="n"/>
      <c r="M1648" s="179" t="n"/>
      <c r="N1648" s="180" t="b">
        <v>0</v>
      </c>
      <c r="O1648" s="179" t="n"/>
    </row>
    <row r="1649" ht="18.75" customHeight="1">
      <c r="B1649" s="177" t="inlineStr">
        <is>
          <t>NOME</t>
        </is>
      </c>
      <c r="C1649" s="178" t="n"/>
      <c r="D1649" s="178" t="n"/>
      <c r="E1649" s="178" t="n"/>
      <c r="F1649" s="178" t="n"/>
      <c r="G1649" s="179" t="n"/>
      <c r="J1649" s="177" t="inlineStr">
        <is>
          <t>NOME</t>
        </is>
      </c>
      <c r="K1649" s="178" t="n"/>
      <c r="L1649" s="178" t="n"/>
      <c r="M1649" s="178" t="n"/>
      <c r="N1649" s="178" t="n"/>
      <c r="O1649" s="179" t="n"/>
    </row>
    <row r="1650" ht="18.75" customHeight="1">
      <c r="B1650" s="181" t="n"/>
      <c r="C1650" s="178" t="n"/>
      <c r="D1650" s="178" t="n"/>
      <c r="E1650" s="178" t="n"/>
      <c r="F1650" s="178" t="n"/>
      <c r="G1650" s="179" t="n"/>
      <c r="J1650" s="181" t="n"/>
      <c r="K1650" s="178" t="n"/>
      <c r="L1650" s="178" t="n"/>
      <c r="M1650" s="178" t="n"/>
      <c r="N1650" s="178" t="n"/>
      <c r="O1650" s="179" t="n"/>
    </row>
    <row r="1651" ht="18.75" customHeight="1">
      <c r="B1651" s="177" t="inlineStr">
        <is>
          <t>BASE DO LIVRO</t>
        </is>
      </c>
      <c r="C1651" s="178" t="n"/>
      <c r="D1651" s="179" t="n"/>
      <c r="E1651" s="181" t="inlineStr">
        <is>
          <t>Nenhuma</t>
        </is>
      </c>
      <c r="F1651" s="178" t="n"/>
      <c r="G1651" s="179" t="n"/>
      <c r="J1651" s="177" t="inlineStr">
        <is>
          <t>BASE DO LIVRO</t>
        </is>
      </c>
      <c r="K1651" s="178" t="n"/>
      <c r="L1651" s="179" t="n"/>
      <c r="M1651" s="181" t="inlineStr">
        <is>
          <t>Nenhuma</t>
        </is>
      </c>
      <c r="N1651" s="178" t="n"/>
      <c r="O1651" s="179" t="n"/>
    </row>
    <row r="1652" ht="18.75" customHeight="1">
      <c r="B1652" s="177" t="inlineStr">
        <is>
          <t>DEVOLUÇÃO</t>
        </is>
      </c>
      <c r="C1652" s="178" t="n"/>
      <c r="D1652" s="179" t="n"/>
      <c r="E1652" s="181" t="n"/>
      <c r="F1652" s="178" t="n"/>
      <c r="G1652" s="179" t="n"/>
      <c r="J1652" s="177" t="inlineStr">
        <is>
          <t>DEVOLUÇÃO</t>
        </is>
      </c>
      <c r="K1652" s="178" t="n"/>
      <c r="L1652" s="179" t="n"/>
      <c r="M1652" s="181" t="n"/>
      <c r="N1652" s="178" t="n"/>
      <c r="O1652" s="179" t="n"/>
    </row>
    <row r="1653" ht="18.75" customHeight="1">
      <c r="B1653" s="177" t="inlineStr">
        <is>
          <t>FREQUÊNCIA</t>
        </is>
      </c>
      <c r="C1653" s="178" t="n"/>
      <c r="D1653" s="179" t="n"/>
      <c r="E1653" s="181" t="n"/>
      <c r="F1653" s="178" t="n"/>
      <c r="G1653" s="179" t="n"/>
      <c r="J1653" s="177" t="inlineStr">
        <is>
          <t>FREQUÊNCIA</t>
        </is>
      </c>
      <c r="K1653" s="178" t="n"/>
      <c r="L1653" s="179" t="n"/>
      <c r="M1653" s="181" t="n"/>
      <c r="N1653" s="178" t="n"/>
      <c r="O1653" s="179" t="n"/>
    </row>
    <row r="1654" ht="18.75" customHeight="1"/>
    <row r="1655" ht="18.75" customHeight="1">
      <c r="B1655" s="177" t="inlineStr">
        <is>
          <t>EFEITO E REQUISITOS</t>
        </is>
      </c>
      <c r="C1655" s="178" t="n"/>
      <c r="D1655" s="178" t="n"/>
      <c r="E1655" s="178" t="n"/>
      <c r="F1655" s="178" t="n"/>
      <c r="G1655" s="179" t="n"/>
      <c r="J1655" s="177" t="inlineStr">
        <is>
          <t>EFEITO E REQUISITOS</t>
        </is>
      </c>
      <c r="K1655" s="178" t="n"/>
      <c r="L1655" s="178" t="n"/>
      <c r="M1655" s="178" t="n"/>
      <c r="N1655" s="178" t="n"/>
      <c r="O1655" s="179" t="n"/>
    </row>
    <row r="1656" ht="18.75" customHeight="1">
      <c r="B1656" s="183" t="n"/>
      <c r="C1656" s="184" t="n"/>
      <c r="D1656" s="184" t="n"/>
      <c r="E1656" s="184" t="n"/>
      <c r="F1656" s="184" t="n"/>
      <c r="G1656" s="185" t="n"/>
      <c r="J1656" s="183" t="n"/>
      <c r="K1656" s="184" t="n"/>
      <c r="L1656" s="184" t="n"/>
      <c r="M1656" s="184" t="n"/>
      <c r="N1656" s="184" t="n"/>
      <c r="O1656" s="185" t="n"/>
    </row>
    <row r="1657" ht="18.75" customHeight="1">
      <c r="B1657" s="186" t="n"/>
      <c r="G1657" s="187" t="n"/>
      <c r="J1657" s="186" t="n"/>
      <c r="O1657" s="187" t="n"/>
    </row>
    <row r="1658" ht="18.75" customHeight="1">
      <c r="B1658" s="186" t="n"/>
      <c r="G1658" s="187" t="n"/>
      <c r="J1658" s="186" t="n"/>
      <c r="O1658" s="187" t="n"/>
    </row>
    <row r="1659" ht="18.75" customHeight="1">
      <c r="B1659" s="186" t="n"/>
      <c r="G1659" s="187" t="n"/>
      <c r="J1659" s="186" t="n"/>
      <c r="O1659" s="187" t="n"/>
    </row>
    <row r="1660" ht="18.75" customHeight="1">
      <c r="B1660" s="186" t="n"/>
      <c r="G1660" s="187" t="n"/>
      <c r="J1660" s="186" t="n"/>
      <c r="O1660" s="187" t="n"/>
    </row>
    <row r="1661" ht="18.75" customHeight="1">
      <c r="B1661" s="186" t="n"/>
      <c r="G1661" s="187" t="n"/>
      <c r="J1661" s="186" t="n"/>
      <c r="O1661" s="187" t="n"/>
    </row>
    <row r="1662" ht="18.75" customHeight="1">
      <c r="B1662" s="188" t="n"/>
      <c r="C1662" s="189" t="n"/>
      <c r="D1662" s="189" t="n"/>
      <c r="E1662" s="189" t="n"/>
      <c r="F1662" s="189" t="n"/>
      <c r="G1662" s="190" t="n"/>
      <c r="J1662" s="188" t="n"/>
      <c r="K1662" s="189" t="n"/>
      <c r="L1662" s="189" t="n"/>
      <c r="M1662" s="189" t="n"/>
      <c r="N1662" s="189" t="n"/>
      <c r="O1662" s="190" t="n"/>
    </row>
    <row r="1663" ht="18.75" customHeight="1"/>
    <row r="1664" ht="18.75" customHeight="1">
      <c r="B1664" s="175">
        <f>IF('DADOS_RESTRICOES'!$K$24="","","⚠ "&amp;'DADOS_RESTRICOES'!$K$24)</f>
        <v/>
      </c>
      <c r="J1664" s="175">
        <f>IF('DADOS_RESTRICOES'!$K$25="","","⚠ "&amp;'DADOS_RESTRICOES'!$K$25)</f>
        <v/>
      </c>
    </row>
    <row r="1665" ht="18.75" customHeight="1"/>
    <row r="1666" ht="18.75" customHeight="1"/>
    <row r="1667" ht="18.75" customHeight="1"/>
    <row r="1668" ht="18.75" customHeight="1">
      <c r="B1668" s="176" t="inlineStr">
        <is>
          <t>RESTRIÇÃO · 25</t>
        </is>
      </c>
      <c r="J1668" s="176" t="inlineStr">
        <is>
          <t>RESTRIÇÃO · 26</t>
        </is>
      </c>
    </row>
    <row r="1669" ht="18.75" customHeight="1">
      <c r="B1669" s="177" t="inlineStr">
        <is>
          <t>TIPO</t>
        </is>
      </c>
      <c r="C1669" s="178" t="n"/>
      <c r="D1669" s="178" t="n"/>
      <c r="E1669" s="179" t="n"/>
      <c r="F1669" s="177" t="inlineStr">
        <is>
          <t>MESTRE VIU</t>
        </is>
      </c>
      <c r="G1669" s="179" t="n"/>
      <c r="J1669" s="177" t="inlineStr">
        <is>
          <t>TIPO</t>
        </is>
      </c>
      <c r="K1669" s="178" t="n"/>
      <c r="L1669" s="178" t="n"/>
      <c r="M1669" s="179" t="n"/>
      <c r="N1669" s="177" t="inlineStr">
        <is>
          <t>MESTRE VIU</t>
        </is>
      </c>
      <c r="O1669" s="179" t="n"/>
    </row>
    <row r="1670" ht="18.75" customHeight="1">
      <c r="B1670" s="181" t="inlineStr">
        <is>
          <t>Restrição</t>
        </is>
      </c>
      <c r="C1670" s="178" t="n"/>
      <c r="D1670" s="178" t="n"/>
      <c r="E1670" s="179" t="n"/>
      <c r="F1670" s="180" t="b">
        <v>0</v>
      </c>
      <c r="G1670" s="179" t="n"/>
      <c r="J1670" s="181" t="inlineStr">
        <is>
          <t>Restrição</t>
        </is>
      </c>
      <c r="K1670" s="178" t="n"/>
      <c r="L1670" s="178" t="n"/>
      <c r="M1670" s="179" t="n"/>
      <c r="N1670" s="180" t="b">
        <v>0</v>
      </c>
      <c r="O1670" s="179" t="n"/>
    </row>
    <row r="1671" ht="18.75" customHeight="1">
      <c r="B1671" s="177" t="inlineStr">
        <is>
          <t>NOME</t>
        </is>
      </c>
      <c r="C1671" s="178" t="n"/>
      <c r="D1671" s="178" t="n"/>
      <c r="E1671" s="178" t="n"/>
      <c r="F1671" s="178" t="n"/>
      <c r="G1671" s="179" t="n"/>
      <c r="J1671" s="177" t="inlineStr">
        <is>
          <t>NOME</t>
        </is>
      </c>
      <c r="K1671" s="178" t="n"/>
      <c r="L1671" s="178" t="n"/>
      <c r="M1671" s="178" t="n"/>
      <c r="N1671" s="178" t="n"/>
      <c r="O1671" s="179" t="n"/>
    </row>
    <row r="1672" ht="18.75" customHeight="1">
      <c r="B1672" s="181" t="n"/>
      <c r="C1672" s="178" t="n"/>
      <c r="D1672" s="178" t="n"/>
      <c r="E1672" s="178" t="n"/>
      <c r="F1672" s="178" t="n"/>
      <c r="G1672" s="179" t="n"/>
      <c r="J1672" s="181" t="n"/>
      <c r="K1672" s="178" t="n"/>
      <c r="L1672" s="178" t="n"/>
      <c r="M1672" s="178" t="n"/>
      <c r="N1672" s="178" t="n"/>
      <c r="O1672" s="179" t="n"/>
    </row>
    <row r="1673" ht="18.75" customHeight="1">
      <c r="B1673" s="177" t="inlineStr">
        <is>
          <t>BASE DO LIVRO</t>
        </is>
      </c>
      <c r="C1673" s="178" t="n"/>
      <c r="D1673" s="179" t="n"/>
      <c r="E1673" s="181" t="inlineStr">
        <is>
          <t>Nenhuma</t>
        </is>
      </c>
      <c r="F1673" s="178" t="n"/>
      <c r="G1673" s="179" t="n"/>
      <c r="J1673" s="177" t="inlineStr">
        <is>
          <t>BASE DO LIVRO</t>
        </is>
      </c>
      <c r="K1673" s="178" t="n"/>
      <c r="L1673" s="179" t="n"/>
      <c r="M1673" s="181" t="inlineStr">
        <is>
          <t>Nenhuma</t>
        </is>
      </c>
      <c r="N1673" s="178" t="n"/>
      <c r="O1673" s="179" t="n"/>
    </row>
    <row r="1674" ht="18.75" customHeight="1">
      <c r="B1674" s="177" t="inlineStr">
        <is>
          <t>DEVOLUÇÃO</t>
        </is>
      </c>
      <c r="C1674" s="178" t="n"/>
      <c r="D1674" s="179" t="n"/>
      <c r="E1674" s="181" t="n"/>
      <c r="F1674" s="178" t="n"/>
      <c r="G1674" s="179" t="n"/>
      <c r="J1674" s="177" t="inlineStr">
        <is>
          <t>DEVOLUÇÃO</t>
        </is>
      </c>
      <c r="K1674" s="178" t="n"/>
      <c r="L1674" s="179" t="n"/>
      <c r="M1674" s="181" t="n"/>
      <c r="N1674" s="178" t="n"/>
      <c r="O1674" s="179" t="n"/>
    </row>
    <row r="1675" ht="18.75" customHeight="1">
      <c r="B1675" s="177" t="inlineStr">
        <is>
          <t>FREQUÊNCIA</t>
        </is>
      </c>
      <c r="C1675" s="178" t="n"/>
      <c r="D1675" s="179" t="n"/>
      <c r="E1675" s="181" t="n"/>
      <c r="F1675" s="178" t="n"/>
      <c r="G1675" s="179" t="n"/>
      <c r="J1675" s="177" t="inlineStr">
        <is>
          <t>FREQUÊNCIA</t>
        </is>
      </c>
      <c r="K1675" s="178" t="n"/>
      <c r="L1675" s="179" t="n"/>
      <c r="M1675" s="181" t="n"/>
      <c r="N1675" s="178" t="n"/>
      <c r="O1675" s="179" t="n"/>
    </row>
    <row r="1676" ht="18.75" customHeight="1"/>
    <row r="1677" ht="18.75" customHeight="1">
      <c r="B1677" s="177" t="inlineStr">
        <is>
          <t>EFEITO E REQUISITOS</t>
        </is>
      </c>
      <c r="C1677" s="178" t="n"/>
      <c r="D1677" s="178" t="n"/>
      <c r="E1677" s="178" t="n"/>
      <c r="F1677" s="178" t="n"/>
      <c r="G1677" s="179" t="n"/>
      <c r="J1677" s="177" t="inlineStr">
        <is>
          <t>EFEITO E REQUISITOS</t>
        </is>
      </c>
      <c r="K1677" s="178" t="n"/>
      <c r="L1677" s="178" t="n"/>
      <c r="M1677" s="178" t="n"/>
      <c r="N1677" s="178" t="n"/>
      <c r="O1677" s="179" t="n"/>
    </row>
    <row r="1678" ht="18.75" customHeight="1">
      <c r="B1678" s="183" t="n"/>
      <c r="C1678" s="184" t="n"/>
      <c r="D1678" s="184" t="n"/>
      <c r="E1678" s="184" t="n"/>
      <c r="F1678" s="184" t="n"/>
      <c r="G1678" s="185" t="n"/>
      <c r="J1678" s="183" t="n"/>
      <c r="K1678" s="184" t="n"/>
      <c r="L1678" s="184" t="n"/>
      <c r="M1678" s="184" t="n"/>
      <c r="N1678" s="184" t="n"/>
      <c r="O1678" s="185" t="n"/>
    </row>
    <row r="1679" ht="18.75" customHeight="1">
      <c r="B1679" s="186" t="n"/>
      <c r="G1679" s="187" t="n"/>
      <c r="J1679" s="186" t="n"/>
      <c r="O1679" s="187" t="n"/>
    </row>
    <row r="1680" ht="18.75" customHeight="1">
      <c r="B1680" s="186" t="n"/>
      <c r="G1680" s="187" t="n"/>
      <c r="J1680" s="186" t="n"/>
      <c r="O1680" s="187" t="n"/>
    </row>
    <row r="1681" ht="18.75" customHeight="1">
      <c r="B1681" s="186" t="n"/>
      <c r="G1681" s="187" t="n"/>
      <c r="J1681" s="186" t="n"/>
      <c r="O1681" s="187" t="n"/>
    </row>
    <row r="1682" ht="18.75" customHeight="1">
      <c r="B1682" s="186" t="n"/>
      <c r="G1682" s="187" t="n"/>
      <c r="J1682" s="186" t="n"/>
      <c r="O1682" s="187" t="n"/>
    </row>
    <row r="1683" ht="18.75" customHeight="1">
      <c r="B1683" s="186" t="n"/>
      <c r="G1683" s="187" t="n"/>
      <c r="J1683" s="186" t="n"/>
      <c r="O1683" s="187" t="n"/>
    </row>
    <row r="1684" ht="18.75" customHeight="1">
      <c r="B1684" s="188" t="n"/>
      <c r="C1684" s="189" t="n"/>
      <c r="D1684" s="189" t="n"/>
      <c r="E1684" s="189" t="n"/>
      <c r="F1684" s="189" t="n"/>
      <c r="G1684" s="190" t="n"/>
      <c r="J1684" s="188" t="n"/>
      <c r="K1684" s="189" t="n"/>
      <c r="L1684" s="189" t="n"/>
      <c r="M1684" s="189" t="n"/>
      <c r="N1684" s="189" t="n"/>
      <c r="O1684" s="190" t="n"/>
    </row>
    <row r="1685" ht="18.75" customHeight="1"/>
    <row r="1686" ht="18.75" customHeight="1">
      <c r="B1686" s="175">
        <f>IF('DADOS_RESTRICOES'!$K$26="","","⚠ "&amp;'DADOS_RESTRICOES'!$K$26)</f>
        <v/>
      </c>
      <c r="J1686" s="175">
        <f>IF('DADOS_RESTRICOES'!$K$27="","","⚠ "&amp;'DADOS_RESTRICOES'!$K$27)</f>
        <v/>
      </c>
    </row>
    <row r="1687" ht="18.75" customHeight="1"/>
    <row r="1688" ht="18.75" customHeight="1"/>
    <row r="1689" ht="18.75" customHeight="1"/>
    <row r="1690" ht="18.75" customHeight="1">
      <c r="B1690" s="176" t="inlineStr">
        <is>
          <t>RESTRIÇÃO · 27</t>
        </is>
      </c>
      <c r="J1690" s="176" t="inlineStr">
        <is>
          <t>RESTRIÇÃO · 28</t>
        </is>
      </c>
    </row>
    <row r="1691" ht="18.75" customHeight="1">
      <c r="B1691" s="177" t="inlineStr">
        <is>
          <t>TIPO</t>
        </is>
      </c>
      <c r="C1691" s="178" t="n"/>
      <c r="D1691" s="178" t="n"/>
      <c r="E1691" s="179" t="n"/>
      <c r="F1691" s="177" t="inlineStr">
        <is>
          <t>MESTRE VIU</t>
        </is>
      </c>
      <c r="G1691" s="179" t="n"/>
      <c r="J1691" s="177" t="inlineStr">
        <is>
          <t>TIPO</t>
        </is>
      </c>
      <c r="K1691" s="178" t="n"/>
      <c r="L1691" s="178" t="n"/>
      <c r="M1691" s="179" t="n"/>
      <c r="N1691" s="177" t="inlineStr">
        <is>
          <t>MESTRE VIU</t>
        </is>
      </c>
      <c r="O1691" s="179" t="n"/>
    </row>
    <row r="1692" ht="18.75" customHeight="1">
      <c r="B1692" s="181" t="inlineStr">
        <is>
          <t>Restrição</t>
        </is>
      </c>
      <c r="C1692" s="178" t="n"/>
      <c r="D1692" s="178" t="n"/>
      <c r="E1692" s="179" t="n"/>
      <c r="F1692" s="180" t="b">
        <v>0</v>
      </c>
      <c r="G1692" s="179" t="n"/>
      <c r="J1692" s="181" t="inlineStr">
        <is>
          <t>Restrição</t>
        </is>
      </c>
      <c r="K1692" s="178" t="n"/>
      <c r="L1692" s="178" t="n"/>
      <c r="M1692" s="179" t="n"/>
      <c r="N1692" s="180" t="b">
        <v>0</v>
      </c>
      <c r="O1692" s="179" t="n"/>
    </row>
    <row r="1693" ht="18.75" customHeight="1">
      <c r="B1693" s="177" t="inlineStr">
        <is>
          <t>NOME</t>
        </is>
      </c>
      <c r="C1693" s="178" t="n"/>
      <c r="D1693" s="178" t="n"/>
      <c r="E1693" s="178" t="n"/>
      <c r="F1693" s="178" t="n"/>
      <c r="G1693" s="179" t="n"/>
      <c r="J1693" s="177" t="inlineStr">
        <is>
          <t>NOME</t>
        </is>
      </c>
      <c r="K1693" s="178" t="n"/>
      <c r="L1693" s="178" t="n"/>
      <c r="M1693" s="178" t="n"/>
      <c r="N1693" s="178" t="n"/>
      <c r="O1693" s="179" t="n"/>
    </row>
    <row r="1694" ht="18.75" customHeight="1">
      <c r="B1694" s="181" t="n"/>
      <c r="C1694" s="178" t="n"/>
      <c r="D1694" s="178" t="n"/>
      <c r="E1694" s="178" t="n"/>
      <c r="F1694" s="178" t="n"/>
      <c r="G1694" s="179" t="n"/>
      <c r="J1694" s="181" t="n"/>
      <c r="K1694" s="178" t="n"/>
      <c r="L1694" s="178" t="n"/>
      <c r="M1694" s="178" t="n"/>
      <c r="N1694" s="178" t="n"/>
      <c r="O1694" s="179" t="n"/>
    </row>
    <row r="1695" ht="18.75" customHeight="1">
      <c r="B1695" s="177" t="inlineStr">
        <is>
          <t>BASE DO LIVRO</t>
        </is>
      </c>
      <c r="C1695" s="178" t="n"/>
      <c r="D1695" s="179" t="n"/>
      <c r="E1695" s="181" t="inlineStr">
        <is>
          <t>Nenhuma</t>
        </is>
      </c>
      <c r="F1695" s="178" t="n"/>
      <c r="G1695" s="179" t="n"/>
      <c r="J1695" s="177" t="inlineStr">
        <is>
          <t>BASE DO LIVRO</t>
        </is>
      </c>
      <c r="K1695" s="178" t="n"/>
      <c r="L1695" s="179" t="n"/>
      <c r="M1695" s="181" t="inlineStr">
        <is>
          <t>Nenhuma</t>
        </is>
      </c>
      <c r="N1695" s="178" t="n"/>
      <c r="O1695" s="179" t="n"/>
    </row>
    <row r="1696" ht="18.75" customHeight="1">
      <c r="B1696" s="177" t="inlineStr">
        <is>
          <t>DEVOLUÇÃO</t>
        </is>
      </c>
      <c r="C1696" s="178" t="n"/>
      <c r="D1696" s="179" t="n"/>
      <c r="E1696" s="181" t="n"/>
      <c r="F1696" s="178" t="n"/>
      <c r="G1696" s="179" t="n"/>
      <c r="J1696" s="177" t="inlineStr">
        <is>
          <t>DEVOLUÇÃO</t>
        </is>
      </c>
      <c r="K1696" s="178" t="n"/>
      <c r="L1696" s="179" t="n"/>
      <c r="M1696" s="181" t="n"/>
      <c r="N1696" s="178" t="n"/>
      <c r="O1696" s="179" t="n"/>
    </row>
    <row r="1697" ht="18.75" customHeight="1">
      <c r="B1697" s="177" t="inlineStr">
        <is>
          <t>FREQUÊNCIA</t>
        </is>
      </c>
      <c r="C1697" s="178" t="n"/>
      <c r="D1697" s="179" t="n"/>
      <c r="E1697" s="181" t="n"/>
      <c r="F1697" s="178" t="n"/>
      <c r="G1697" s="179" t="n"/>
      <c r="J1697" s="177" t="inlineStr">
        <is>
          <t>FREQUÊNCIA</t>
        </is>
      </c>
      <c r="K1697" s="178" t="n"/>
      <c r="L1697" s="179" t="n"/>
      <c r="M1697" s="181" t="n"/>
      <c r="N1697" s="178" t="n"/>
      <c r="O1697" s="179" t="n"/>
    </row>
    <row r="1698" ht="18.75" customHeight="1"/>
    <row r="1699" ht="18.75" customHeight="1">
      <c r="B1699" s="177" t="inlineStr">
        <is>
          <t>EFEITO E REQUISITOS</t>
        </is>
      </c>
      <c r="C1699" s="178" t="n"/>
      <c r="D1699" s="178" t="n"/>
      <c r="E1699" s="178" t="n"/>
      <c r="F1699" s="178" t="n"/>
      <c r="G1699" s="179" t="n"/>
      <c r="J1699" s="177" t="inlineStr">
        <is>
          <t>EFEITO E REQUISITOS</t>
        </is>
      </c>
      <c r="K1699" s="178" t="n"/>
      <c r="L1699" s="178" t="n"/>
      <c r="M1699" s="178" t="n"/>
      <c r="N1699" s="178" t="n"/>
      <c r="O1699" s="179" t="n"/>
    </row>
    <row r="1700" ht="18.75" customHeight="1">
      <c r="B1700" s="183" t="n"/>
      <c r="C1700" s="184" t="n"/>
      <c r="D1700" s="184" t="n"/>
      <c r="E1700" s="184" t="n"/>
      <c r="F1700" s="184" t="n"/>
      <c r="G1700" s="185" t="n"/>
      <c r="J1700" s="183" t="n"/>
      <c r="K1700" s="184" t="n"/>
      <c r="L1700" s="184" t="n"/>
      <c r="M1700" s="184" t="n"/>
      <c r="N1700" s="184" t="n"/>
      <c r="O1700" s="185" t="n"/>
    </row>
    <row r="1701" ht="18.75" customHeight="1">
      <c r="B1701" s="186" t="n"/>
      <c r="G1701" s="187" t="n"/>
      <c r="J1701" s="186" t="n"/>
      <c r="O1701" s="187" t="n"/>
    </row>
    <row r="1702" ht="18.75" customHeight="1">
      <c r="B1702" s="186" t="n"/>
      <c r="G1702" s="187" t="n"/>
      <c r="J1702" s="186" t="n"/>
      <c r="O1702" s="187" t="n"/>
    </row>
    <row r="1703" ht="18.75" customHeight="1">
      <c r="B1703" s="186" t="n"/>
      <c r="G1703" s="187" t="n"/>
      <c r="J1703" s="186" t="n"/>
      <c r="O1703" s="187" t="n"/>
    </row>
    <row r="1704" ht="18.75" customHeight="1">
      <c r="B1704" s="186" t="n"/>
      <c r="G1704" s="187" t="n"/>
      <c r="J1704" s="186" t="n"/>
      <c r="O1704" s="187" t="n"/>
    </row>
    <row r="1705" ht="18.75" customHeight="1">
      <c r="B1705" s="186" t="n"/>
      <c r="G1705" s="187" t="n"/>
      <c r="J1705" s="186" t="n"/>
      <c r="O1705" s="187" t="n"/>
    </row>
    <row r="1706" ht="18.75" customHeight="1">
      <c r="B1706" s="188" t="n"/>
      <c r="C1706" s="189" t="n"/>
      <c r="D1706" s="189" t="n"/>
      <c r="E1706" s="189" t="n"/>
      <c r="F1706" s="189" t="n"/>
      <c r="G1706" s="190" t="n"/>
      <c r="J1706" s="188" t="n"/>
      <c r="K1706" s="189" t="n"/>
      <c r="L1706" s="189" t="n"/>
      <c r="M1706" s="189" t="n"/>
      <c r="N1706" s="189" t="n"/>
      <c r="O1706" s="190" t="n"/>
    </row>
    <row r="1707" ht="18.75" customHeight="1"/>
    <row r="1708" ht="18.75" customHeight="1">
      <c r="B1708" s="175">
        <f>IF('DADOS_RESTRICOES'!$K$28="","","⚠ "&amp;'DADOS_RESTRICOES'!$K$28)</f>
        <v/>
      </c>
      <c r="J1708" s="175">
        <f>IF('DADOS_RESTRICOES'!$K$29="","","⚠ "&amp;'DADOS_RESTRICOES'!$K$29)</f>
        <v/>
      </c>
    </row>
    <row r="1709" ht="18.75" customHeight="1"/>
    <row r="1710" ht="18.75" customHeight="1"/>
    <row r="1711" ht="18.75" customHeight="1"/>
    <row r="1712" ht="18.75" customHeight="1">
      <c r="B1712" s="176" t="inlineStr">
        <is>
          <t>RESTRIÇÃO · 29</t>
        </is>
      </c>
      <c r="J1712" s="176" t="inlineStr">
        <is>
          <t>RESTRIÇÃO · 30</t>
        </is>
      </c>
    </row>
    <row r="1713" ht="18.75" customHeight="1">
      <c r="B1713" s="177" t="inlineStr">
        <is>
          <t>TIPO</t>
        </is>
      </c>
      <c r="C1713" s="178" t="n"/>
      <c r="D1713" s="178" t="n"/>
      <c r="E1713" s="179" t="n"/>
      <c r="F1713" s="177" t="inlineStr">
        <is>
          <t>MESTRE VIU</t>
        </is>
      </c>
      <c r="G1713" s="179" t="n"/>
      <c r="J1713" s="177" t="inlineStr">
        <is>
          <t>TIPO</t>
        </is>
      </c>
      <c r="K1713" s="178" t="n"/>
      <c r="L1713" s="178" t="n"/>
      <c r="M1713" s="179" t="n"/>
      <c r="N1713" s="177" t="inlineStr">
        <is>
          <t>MESTRE VIU</t>
        </is>
      </c>
      <c r="O1713" s="179" t="n"/>
    </row>
    <row r="1714" ht="18.75" customHeight="1">
      <c r="B1714" s="181" t="inlineStr">
        <is>
          <t>Restrição</t>
        </is>
      </c>
      <c r="C1714" s="178" t="n"/>
      <c r="D1714" s="178" t="n"/>
      <c r="E1714" s="179" t="n"/>
      <c r="F1714" s="180" t="b">
        <v>0</v>
      </c>
      <c r="G1714" s="179" t="n"/>
      <c r="J1714" s="181" t="inlineStr">
        <is>
          <t>Restrição</t>
        </is>
      </c>
      <c r="K1714" s="178" t="n"/>
      <c r="L1714" s="178" t="n"/>
      <c r="M1714" s="179" t="n"/>
      <c r="N1714" s="180" t="b">
        <v>0</v>
      </c>
      <c r="O1714" s="179" t="n"/>
    </row>
    <row r="1715" ht="18.75" customHeight="1">
      <c r="B1715" s="177" t="inlineStr">
        <is>
          <t>NOME</t>
        </is>
      </c>
      <c r="C1715" s="178" t="n"/>
      <c r="D1715" s="178" t="n"/>
      <c r="E1715" s="178" t="n"/>
      <c r="F1715" s="178" t="n"/>
      <c r="G1715" s="179" t="n"/>
      <c r="J1715" s="177" t="inlineStr">
        <is>
          <t>NOME</t>
        </is>
      </c>
      <c r="K1715" s="178" t="n"/>
      <c r="L1715" s="178" t="n"/>
      <c r="M1715" s="178" t="n"/>
      <c r="N1715" s="178" t="n"/>
      <c r="O1715" s="179" t="n"/>
    </row>
    <row r="1716" ht="18.75" customHeight="1">
      <c r="B1716" s="181" t="n"/>
      <c r="C1716" s="178" t="n"/>
      <c r="D1716" s="178" t="n"/>
      <c r="E1716" s="178" t="n"/>
      <c r="F1716" s="178" t="n"/>
      <c r="G1716" s="179" t="n"/>
      <c r="J1716" s="181" t="n"/>
      <c r="K1716" s="178" t="n"/>
      <c r="L1716" s="178" t="n"/>
      <c r="M1716" s="178" t="n"/>
      <c r="N1716" s="178" t="n"/>
      <c r="O1716" s="179" t="n"/>
    </row>
    <row r="1717" ht="18.75" customHeight="1">
      <c r="B1717" s="177" t="inlineStr">
        <is>
          <t>BASE DO LIVRO</t>
        </is>
      </c>
      <c r="C1717" s="178" t="n"/>
      <c r="D1717" s="179" t="n"/>
      <c r="E1717" s="181" t="inlineStr">
        <is>
          <t>Nenhuma</t>
        </is>
      </c>
      <c r="F1717" s="178" t="n"/>
      <c r="G1717" s="179" t="n"/>
      <c r="J1717" s="177" t="inlineStr">
        <is>
          <t>BASE DO LIVRO</t>
        </is>
      </c>
      <c r="K1717" s="178" t="n"/>
      <c r="L1717" s="179" t="n"/>
      <c r="M1717" s="181" t="inlineStr">
        <is>
          <t>Nenhuma</t>
        </is>
      </c>
      <c r="N1717" s="178" t="n"/>
      <c r="O1717" s="179" t="n"/>
    </row>
    <row r="1718" ht="18.75" customHeight="1">
      <c r="B1718" s="177" t="inlineStr">
        <is>
          <t>DEVOLUÇÃO</t>
        </is>
      </c>
      <c r="C1718" s="178" t="n"/>
      <c r="D1718" s="179" t="n"/>
      <c r="E1718" s="181" t="n"/>
      <c r="F1718" s="178" t="n"/>
      <c r="G1718" s="179" t="n"/>
      <c r="J1718" s="177" t="inlineStr">
        <is>
          <t>DEVOLUÇÃO</t>
        </is>
      </c>
      <c r="K1718" s="178" t="n"/>
      <c r="L1718" s="179" t="n"/>
      <c r="M1718" s="181" t="n"/>
      <c r="N1718" s="178" t="n"/>
      <c r="O1718" s="179" t="n"/>
    </row>
    <row r="1719" ht="18.75" customHeight="1">
      <c r="B1719" s="177" t="inlineStr">
        <is>
          <t>FREQUÊNCIA</t>
        </is>
      </c>
      <c r="C1719" s="178" t="n"/>
      <c r="D1719" s="179" t="n"/>
      <c r="E1719" s="181" t="n"/>
      <c r="F1719" s="178" t="n"/>
      <c r="G1719" s="179" t="n"/>
      <c r="J1719" s="177" t="inlineStr">
        <is>
          <t>FREQUÊNCIA</t>
        </is>
      </c>
      <c r="K1719" s="178" t="n"/>
      <c r="L1719" s="179" t="n"/>
      <c r="M1719" s="181" t="n"/>
      <c r="N1719" s="178" t="n"/>
      <c r="O1719" s="179" t="n"/>
    </row>
    <row r="1720" ht="18.75" customHeight="1"/>
    <row r="1721" ht="18.75" customHeight="1">
      <c r="B1721" s="177" t="inlineStr">
        <is>
          <t>EFEITO E REQUISITOS</t>
        </is>
      </c>
      <c r="C1721" s="178" t="n"/>
      <c r="D1721" s="178" t="n"/>
      <c r="E1721" s="178" t="n"/>
      <c r="F1721" s="178" t="n"/>
      <c r="G1721" s="179" t="n"/>
      <c r="J1721" s="177" t="inlineStr">
        <is>
          <t>EFEITO E REQUISITOS</t>
        </is>
      </c>
      <c r="K1721" s="178" t="n"/>
      <c r="L1721" s="178" t="n"/>
      <c r="M1721" s="178" t="n"/>
      <c r="N1721" s="178" t="n"/>
      <c r="O1721" s="179" t="n"/>
    </row>
    <row r="1722" ht="18.75" customHeight="1">
      <c r="B1722" s="183" t="n"/>
      <c r="C1722" s="184" t="n"/>
      <c r="D1722" s="184" t="n"/>
      <c r="E1722" s="184" t="n"/>
      <c r="F1722" s="184" t="n"/>
      <c r="G1722" s="185" t="n"/>
      <c r="J1722" s="183" t="n"/>
      <c r="K1722" s="184" t="n"/>
      <c r="L1722" s="184" t="n"/>
      <c r="M1722" s="184" t="n"/>
      <c r="N1722" s="184" t="n"/>
      <c r="O1722" s="185" t="n"/>
    </row>
    <row r="1723" ht="18.75" customHeight="1">
      <c r="B1723" s="186" t="n"/>
      <c r="G1723" s="187" t="n"/>
      <c r="J1723" s="186" t="n"/>
      <c r="O1723" s="187" t="n"/>
    </row>
    <row r="1724" ht="18.75" customHeight="1">
      <c r="B1724" s="186" t="n"/>
      <c r="G1724" s="187" t="n"/>
      <c r="J1724" s="186" t="n"/>
      <c r="O1724" s="187" t="n"/>
    </row>
    <row r="1725" ht="18.75" customHeight="1">
      <c r="B1725" s="186" t="n"/>
      <c r="G1725" s="187" t="n"/>
      <c r="J1725" s="186" t="n"/>
      <c r="O1725" s="187" t="n"/>
    </row>
    <row r="1726" ht="18.75" customHeight="1">
      <c r="B1726" s="186" t="n"/>
      <c r="G1726" s="187" t="n"/>
      <c r="J1726" s="186" t="n"/>
      <c r="O1726" s="187" t="n"/>
    </row>
    <row r="1727" ht="18.75" customHeight="1">
      <c r="B1727" s="186" t="n"/>
      <c r="G1727" s="187" t="n"/>
      <c r="J1727" s="186" t="n"/>
      <c r="O1727" s="187" t="n"/>
    </row>
    <row r="1728" ht="18.75" customHeight="1">
      <c r="B1728" s="188" t="n"/>
      <c r="C1728" s="189" t="n"/>
      <c r="D1728" s="189" t="n"/>
      <c r="E1728" s="189" t="n"/>
      <c r="F1728" s="189" t="n"/>
      <c r="G1728" s="190" t="n"/>
      <c r="J1728" s="188" t="n"/>
      <c r="K1728" s="189" t="n"/>
      <c r="L1728" s="189" t="n"/>
      <c r="M1728" s="189" t="n"/>
      <c r="N1728" s="189" t="n"/>
      <c r="O1728" s="190" t="n"/>
    </row>
    <row r="1729" ht="18.75" customHeight="1"/>
    <row r="1730" ht="18.75" customHeight="1">
      <c r="B1730" s="175">
        <f>IF('DADOS_RESTRICOES'!$K$30="","","⚠ "&amp;'DADOS_RESTRICOES'!$K$30)</f>
        <v/>
      </c>
      <c r="J1730" s="175">
        <f>IF('DADOS_RESTRICOES'!$K$31="","","⚠ "&amp;'DADOS_RESTRICOES'!$K$31)</f>
        <v/>
      </c>
    </row>
    <row r="1731" ht="18.75" customHeight="1"/>
    <row r="1733" ht="18.75" customHeight="1">
      <c r="B1733" s="176" t="inlineStr">
        <is>
          <t>TIPOS DE DANO CUSTOM</t>
        </is>
      </c>
    </row>
    <row r="1734" ht="18.75" customHeight="1"/>
    <row r="1735" ht="18.75" customHeight="1">
      <c r="B1735" s="176" t="inlineStr">
        <is>
          <t>TIPO DE DANO · 1</t>
        </is>
      </c>
      <c r="J1735" s="176" t="inlineStr">
        <is>
          <t>TIPO DE DANO · 2</t>
        </is>
      </c>
    </row>
    <row r="1736" ht="18.75" customHeight="1">
      <c r="B1736" s="177" t="inlineStr">
        <is>
          <t>NOME</t>
        </is>
      </c>
      <c r="C1736" s="178" t="n"/>
      <c r="D1736" s="178" t="n"/>
      <c r="E1736" s="179" t="n"/>
      <c r="F1736" s="177" t="inlineStr">
        <is>
          <t>MESTRE VIU</t>
        </is>
      </c>
      <c r="G1736" s="179" t="n"/>
      <c r="J1736" s="177" t="inlineStr">
        <is>
          <t>NOME</t>
        </is>
      </c>
      <c r="K1736" s="178" t="n"/>
      <c r="L1736" s="178" t="n"/>
      <c r="M1736" s="179" t="n"/>
      <c r="N1736" s="177" t="inlineStr">
        <is>
          <t>MESTRE VIU</t>
        </is>
      </c>
      <c r="O1736" s="179" t="n"/>
    </row>
    <row r="1737" ht="18.75" customHeight="1">
      <c r="B1737" s="181" t="n"/>
      <c r="C1737" s="178" t="n"/>
      <c r="D1737" s="178" t="n"/>
      <c r="E1737" s="179" t="n"/>
      <c r="F1737" s="180" t="b">
        <v>0</v>
      </c>
      <c r="G1737" s="179" t="n"/>
      <c r="J1737" s="181" t="n"/>
      <c r="K1737" s="178" t="n"/>
      <c r="L1737" s="178" t="n"/>
      <c r="M1737" s="179" t="n"/>
      <c r="N1737" s="180" t="b">
        <v>0</v>
      </c>
      <c r="O1737" s="179" t="n"/>
    </row>
    <row r="1738" ht="18.75" customHeight="1"/>
    <row r="1739" ht="18.75" customHeight="1"/>
    <row r="1740" ht="18.75" customHeight="1">
      <c r="B1740" s="177" t="inlineStr">
        <is>
          <t>DEFINIÇÃO</t>
        </is>
      </c>
      <c r="C1740" s="178" t="n"/>
      <c r="D1740" s="178" t="n"/>
      <c r="E1740" s="178" t="n"/>
      <c r="F1740" s="178" t="n"/>
      <c r="G1740" s="179" t="n"/>
      <c r="J1740" s="177" t="inlineStr">
        <is>
          <t>DEFINIÇÃO</t>
        </is>
      </c>
      <c r="K1740" s="178" t="n"/>
      <c r="L1740" s="178" t="n"/>
      <c r="M1740" s="178" t="n"/>
      <c r="N1740" s="178" t="n"/>
      <c r="O1740" s="179" t="n"/>
    </row>
    <row r="1741" ht="18.75" customHeight="1">
      <c r="B1741" s="183" t="n"/>
      <c r="C1741" s="184" t="n"/>
      <c r="D1741" s="184" t="n"/>
      <c r="E1741" s="184" t="n"/>
      <c r="F1741" s="184" t="n"/>
      <c r="G1741" s="185" t="n"/>
      <c r="J1741" s="183" t="n"/>
      <c r="K1741" s="184" t="n"/>
      <c r="L1741" s="184" t="n"/>
      <c r="M1741" s="184" t="n"/>
      <c r="N1741" s="184" t="n"/>
      <c r="O1741" s="185" t="n"/>
    </row>
    <row r="1742" ht="18.75" customHeight="1">
      <c r="B1742" s="186" t="n"/>
      <c r="G1742" s="187" t="n"/>
      <c r="J1742" s="186" t="n"/>
      <c r="O1742" s="187" t="n"/>
    </row>
    <row r="1743" ht="18.75" customHeight="1">
      <c r="B1743" s="186" t="n"/>
      <c r="G1743" s="187" t="n"/>
      <c r="J1743" s="186" t="n"/>
      <c r="O1743" s="187" t="n"/>
    </row>
    <row r="1744" ht="18.75" customHeight="1">
      <c r="B1744" s="186" t="n"/>
      <c r="G1744" s="187" t="n"/>
      <c r="J1744" s="186" t="n"/>
      <c r="O1744" s="187" t="n"/>
    </row>
    <row r="1745" ht="18.75" customHeight="1">
      <c r="B1745" s="188" t="n"/>
      <c r="C1745" s="189" t="n"/>
      <c r="D1745" s="189" t="n"/>
      <c r="E1745" s="189" t="n"/>
      <c r="F1745" s="189" t="n"/>
      <c r="G1745" s="190" t="n"/>
      <c r="J1745" s="188" t="n"/>
      <c r="K1745" s="189" t="n"/>
      <c r="L1745" s="189" t="n"/>
      <c r="M1745" s="189" t="n"/>
      <c r="N1745" s="189" t="n"/>
      <c r="O1745" s="190" t="n"/>
    </row>
    <row r="1746" ht="18.75" customHeight="1"/>
    <row r="1747" ht="18.75" customHeight="1">
      <c r="B1747" s="177" t="inlineStr">
        <is>
          <t>EFEITO E REQUISITOS</t>
        </is>
      </c>
      <c r="C1747" s="178" t="n"/>
      <c r="D1747" s="178" t="n"/>
      <c r="E1747" s="178" t="n"/>
      <c r="F1747" s="178" t="n"/>
      <c r="G1747" s="179" t="n"/>
      <c r="J1747" s="177" t="inlineStr">
        <is>
          <t>EFEITO E REQUISITOS</t>
        </is>
      </c>
      <c r="K1747" s="178" t="n"/>
      <c r="L1747" s="178" t="n"/>
      <c r="M1747" s="178" t="n"/>
      <c r="N1747" s="178" t="n"/>
      <c r="O1747" s="179" t="n"/>
    </row>
    <row r="1748" ht="18.75" customHeight="1">
      <c r="B1748" s="183" t="n"/>
      <c r="C1748" s="184" t="n"/>
      <c r="D1748" s="184" t="n"/>
      <c r="E1748" s="184" t="n"/>
      <c r="F1748" s="184" t="n"/>
      <c r="G1748" s="185" t="n"/>
      <c r="J1748" s="183" t="n"/>
      <c r="K1748" s="184" t="n"/>
      <c r="L1748" s="184" t="n"/>
      <c r="M1748" s="184" t="n"/>
      <c r="N1748" s="184" t="n"/>
      <c r="O1748" s="185" t="n"/>
    </row>
    <row r="1749" ht="18.75" customHeight="1">
      <c r="B1749" s="186" t="n"/>
      <c r="G1749" s="187" t="n"/>
      <c r="J1749" s="186" t="n"/>
      <c r="O1749" s="187" t="n"/>
    </row>
    <row r="1750" ht="18.75" customHeight="1">
      <c r="B1750" s="186" t="n"/>
      <c r="G1750" s="187" t="n"/>
      <c r="J1750" s="186" t="n"/>
      <c r="O1750" s="187" t="n"/>
    </row>
    <row r="1751" ht="18.75" customHeight="1">
      <c r="B1751" s="186" t="n"/>
      <c r="G1751" s="187" t="n"/>
      <c r="J1751" s="186" t="n"/>
      <c r="O1751" s="187" t="n"/>
    </row>
    <row r="1752" ht="18.75" customHeight="1">
      <c r="B1752" s="186" t="n"/>
      <c r="G1752" s="187" t="n"/>
      <c r="J1752" s="186" t="n"/>
      <c r="O1752" s="187" t="n"/>
    </row>
    <row r="1753" ht="18.75" customHeight="1">
      <c r="B1753" s="186" t="n"/>
      <c r="G1753" s="187" t="n"/>
      <c r="J1753" s="186" t="n"/>
      <c r="O1753" s="187" t="n"/>
    </row>
    <row r="1754" ht="18.75" customHeight="1">
      <c r="B1754" s="186" t="n"/>
      <c r="G1754" s="187" t="n"/>
      <c r="J1754" s="186" t="n"/>
      <c r="O1754" s="187" t="n"/>
    </row>
    <row r="1755" ht="18.75" customHeight="1">
      <c r="B1755" s="186" t="n"/>
      <c r="G1755" s="187" t="n"/>
      <c r="J1755" s="186" t="n"/>
      <c r="O1755" s="187" t="n"/>
    </row>
    <row r="1756" ht="18.75" customHeight="1">
      <c r="B1756" s="186" t="n"/>
      <c r="G1756" s="187" t="n"/>
      <c r="J1756" s="186" t="n"/>
      <c r="O1756" s="187" t="n"/>
    </row>
    <row r="1757" ht="18.75" customHeight="1">
      <c r="B1757" s="186" t="n"/>
      <c r="G1757" s="187" t="n"/>
      <c r="J1757" s="186" t="n"/>
      <c r="O1757" s="187" t="n"/>
    </row>
    <row r="1758" ht="18.75" customHeight="1">
      <c r="B1758" s="186" t="n"/>
      <c r="G1758" s="187" t="n"/>
      <c r="J1758" s="186" t="n"/>
      <c r="O1758" s="187" t="n"/>
    </row>
    <row r="1759" ht="18.75" customHeight="1">
      <c r="B1759" s="188" t="n"/>
      <c r="C1759" s="189" t="n"/>
      <c r="D1759" s="189" t="n"/>
      <c r="E1759" s="189" t="n"/>
      <c r="F1759" s="189" t="n"/>
      <c r="G1759" s="190" t="n"/>
      <c r="J1759" s="188" t="n"/>
      <c r="K1759" s="189" t="n"/>
      <c r="L1759" s="189" t="n"/>
      <c r="M1759" s="189" t="n"/>
      <c r="N1759" s="189" t="n"/>
      <c r="O1759" s="190" t="n"/>
    </row>
    <row r="1760" ht="18.75" customHeight="1">
      <c r="B1760" s="175">
        <f>IF('DADOS_DANOS'!$H$2="","","⚠ "&amp;'DADOS_DANOS'!$H$2)</f>
        <v/>
      </c>
      <c r="J1760" s="175">
        <f>IF('DADOS_DANOS'!$H$3="","","⚠ "&amp;'DADOS_DANOS'!$H$3)</f>
        <v/>
      </c>
    </row>
    <row r="1761" ht="18.75" customHeight="1"/>
    <row r="1762" ht="18.75" customHeight="1"/>
    <row r="1763" ht="18.75" customHeight="1">
      <c r="B1763" s="176" t="inlineStr">
        <is>
          <t>TIPO DE DANO · 3</t>
        </is>
      </c>
      <c r="J1763" s="176" t="inlineStr">
        <is>
          <t>TIPO DE DANO · 4</t>
        </is>
      </c>
    </row>
    <row r="1764" ht="18.75" customHeight="1">
      <c r="B1764" s="177" t="inlineStr">
        <is>
          <t>NOME</t>
        </is>
      </c>
      <c r="C1764" s="178" t="n"/>
      <c r="D1764" s="178" t="n"/>
      <c r="E1764" s="179" t="n"/>
      <c r="F1764" s="177" t="inlineStr">
        <is>
          <t>MESTRE VIU</t>
        </is>
      </c>
      <c r="G1764" s="179" t="n"/>
      <c r="J1764" s="177" t="inlineStr">
        <is>
          <t>NOME</t>
        </is>
      </c>
      <c r="K1764" s="178" t="n"/>
      <c r="L1764" s="178" t="n"/>
      <c r="M1764" s="179" t="n"/>
      <c r="N1764" s="177" t="inlineStr">
        <is>
          <t>MESTRE VIU</t>
        </is>
      </c>
      <c r="O1764" s="179" t="n"/>
    </row>
    <row r="1765" ht="18.75" customHeight="1">
      <c r="B1765" s="181" t="n"/>
      <c r="C1765" s="178" t="n"/>
      <c r="D1765" s="178" t="n"/>
      <c r="E1765" s="179" t="n"/>
      <c r="F1765" s="180" t="b">
        <v>0</v>
      </c>
      <c r="G1765" s="179" t="n"/>
      <c r="J1765" s="181" t="n"/>
      <c r="K1765" s="178" t="n"/>
      <c r="L1765" s="178" t="n"/>
      <c r="M1765" s="179" t="n"/>
      <c r="N1765" s="180" t="b">
        <v>0</v>
      </c>
      <c r="O1765" s="179" t="n"/>
    </row>
    <row r="1766" ht="18.75" customHeight="1"/>
    <row r="1767" ht="18.75" customHeight="1"/>
    <row r="1768" ht="18.75" customHeight="1">
      <c r="B1768" s="177" t="inlineStr">
        <is>
          <t>DEFINIÇÃO</t>
        </is>
      </c>
      <c r="C1768" s="178" t="n"/>
      <c r="D1768" s="178" t="n"/>
      <c r="E1768" s="178" t="n"/>
      <c r="F1768" s="178" t="n"/>
      <c r="G1768" s="179" t="n"/>
      <c r="J1768" s="177" t="inlineStr">
        <is>
          <t>DEFINIÇÃO</t>
        </is>
      </c>
      <c r="K1768" s="178" t="n"/>
      <c r="L1768" s="178" t="n"/>
      <c r="M1768" s="178" t="n"/>
      <c r="N1768" s="178" t="n"/>
      <c r="O1768" s="179" t="n"/>
    </row>
    <row r="1769" ht="18.75" customHeight="1">
      <c r="B1769" s="183" t="n"/>
      <c r="C1769" s="184" t="n"/>
      <c r="D1769" s="184" t="n"/>
      <c r="E1769" s="184" t="n"/>
      <c r="F1769" s="184" t="n"/>
      <c r="G1769" s="185" t="n"/>
      <c r="J1769" s="183" t="n"/>
      <c r="K1769" s="184" t="n"/>
      <c r="L1769" s="184" t="n"/>
      <c r="M1769" s="184" t="n"/>
      <c r="N1769" s="184" t="n"/>
      <c r="O1769" s="185" t="n"/>
    </row>
    <row r="1770" ht="18.75" customHeight="1">
      <c r="B1770" s="186" t="n"/>
      <c r="G1770" s="187" t="n"/>
      <c r="J1770" s="186" t="n"/>
      <c r="O1770" s="187" t="n"/>
    </row>
    <row r="1771" ht="18.75" customHeight="1">
      <c r="B1771" s="186" t="n"/>
      <c r="G1771" s="187" t="n"/>
      <c r="J1771" s="186" t="n"/>
      <c r="O1771" s="187" t="n"/>
    </row>
    <row r="1772" ht="18.75" customHeight="1">
      <c r="B1772" s="186" t="n"/>
      <c r="G1772" s="187" t="n"/>
      <c r="J1772" s="186" t="n"/>
      <c r="O1772" s="187" t="n"/>
    </row>
    <row r="1773" ht="18.75" customHeight="1">
      <c r="B1773" s="188" t="n"/>
      <c r="C1773" s="189" t="n"/>
      <c r="D1773" s="189" t="n"/>
      <c r="E1773" s="189" t="n"/>
      <c r="F1773" s="189" t="n"/>
      <c r="G1773" s="190" t="n"/>
      <c r="J1773" s="188" t="n"/>
      <c r="K1773" s="189" t="n"/>
      <c r="L1773" s="189" t="n"/>
      <c r="M1773" s="189" t="n"/>
      <c r="N1773" s="189" t="n"/>
      <c r="O1773" s="190" t="n"/>
    </row>
    <row r="1774" ht="18.75" customHeight="1"/>
    <row r="1775" ht="18.75" customHeight="1">
      <c r="B1775" s="177" t="inlineStr">
        <is>
          <t>EFEITO E REQUISITOS</t>
        </is>
      </c>
      <c r="C1775" s="178" t="n"/>
      <c r="D1775" s="178" t="n"/>
      <c r="E1775" s="178" t="n"/>
      <c r="F1775" s="178" t="n"/>
      <c r="G1775" s="179" t="n"/>
      <c r="J1775" s="177" t="inlineStr">
        <is>
          <t>EFEITO E REQUISITOS</t>
        </is>
      </c>
      <c r="K1775" s="178" t="n"/>
      <c r="L1775" s="178" t="n"/>
      <c r="M1775" s="178" t="n"/>
      <c r="N1775" s="178" t="n"/>
      <c r="O1775" s="179" t="n"/>
    </row>
    <row r="1776" ht="18.75" customHeight="1">
      <c r="B1776" s="183" t="n"/>
      <c r="C1776" s="184" t="n"/>
      <c r="D1776" s="184" t="n"/>
      <c r="E1776" s="184" t="n"/>
      <c r="F1776" s="184" t="n"/>
      <c r="G1776" s="185" t="n"/>
      <c r="J1776" s="183" t="n"/>
      <c r="K1776" s="184" t="n"/>
      <c r="L1776" s="184" t="n"/>
      <c r="M1776" s="184" t="n"/>
      <c r="N1776" s="184" t="n"/>
      <c r="O1776" s="185" t="n"/>
    </row>
    <row r="1777" ht="18.75" customHeight="1">
      <c r="B1777" s="186" t="n"/>
      <c r="G1777" s="187" t="n"/>
      <c r="J1777" s="186" t="n"/>
      <c r="O1777" s="187" t="n"/>
    </row>
    <row r="1778" ht="18.75" customHeight="1">
      <c r="B1778" s="186" t="n"/>
      <c r="G1778" s="187" t="n"/>
      <c r="J1778" s="186" t="n"/>
      <c r="O1778" s="187" t="n"/>
    </row>
    <row r="1779" ht="18.75" customHeight="1">
      <c r="B1779" s="186" t="n"/>
      <c r="G1779" s="187" t="n"/>
      <c r="J1779" s="186" t="n"/>
      <c r="O1779" s="187" t="n"/>
    </row>
    <row r="1780" ht="18.75" customHeight="1">
      <c r="B1780" s="186" t="n"/>
      <c r="G1780" s="187" t="n"/>
      <c r="J1780" s="186" t="n"/>
      <c r="O1780" s="187" t="n"/>
    </row>
    <row r="1781" ht="18.75" customHeight="1">
      <c r="B1781" s="186" t="n"/>
      <c r="G1781" s="187" t="n"/>
      <c r="J1781" s="186" t="n"/>
      <c r="O1781" s="187" t="n"/>
    </row>
    <row r="1782" ht="18.75" customHeight="1">
      <c r="B1782" s="186" t="n"/>
      <c r="G1782" s="187" t="n"/>
      <c r="J1782" s="186" t="n"/>
      <c r="O1782" s="187" t="n"/>
    </row>
    <row r="1783" ht="18.75" customHeight="1">
      <c r="B1783" s="186" t="n"/>
      <c r="G1783" s="187" t="n"/>
      <c r="J1783" s="186" t="n"/>
      <c r="O1783" s="187" t="n"/>
    </row>
    <row r="1784" ht="18.75" customHeight="1">
      <c r="B1784" s="186" t="n"/>
      <c r="G1784" s="187" t="n"/>
      <c r="J1784" s="186" t="n"/>
      <c r="O1784" s="187" t="n"/>
    </row>
    <row r="1785" ht="18.75" customHeight="1">
      <c r="B1785" s="186" t="n"/>
      <c r="G1785" s="187" t="n"/>
      <c r="J1785" s="186" t="n"/>
      <c r="O1785" s="187" t="n"/>
    </row>
    <row r="1786" ht="18.75" customHeight="1">
      <c r="B1786" s="186" t="n"/>
      <c r="G1786" s="187" t="n"/>
      <c r="J1786" s="186" t="n"/>
      <c r="O1786" s="187" t="n"/>
    </row>
    <row r="1787" ht="18.75" customHeight="1">
      <c r="B1787" s="188" t="n"/>
      <c r="C1787" s="189" t="n"/>
      <c r="D1787" s="189" t="n"/>
      <c r="E1787" s="189" t="n"/>
      <c r="F1787" s="189" t="n"/>
      <c r="G1787" s="190" t="n"/>
      <c r="J1787" s="188" t="n"/>
      <c r="K1787" s="189" t="n"/>
      <c r="L1787" s="189" t="n"/>
      <c r="M1787" s="189" t="n"/>
      <c r="N1787" s="189" t="n"/>
      <c r="O1787" s="190" t="n"/>
    </row>
    <row r="1788" ht="18.75" customHeight="1">
      <c r="B1788" s="175">
        <f>IF('DADOS_DANOS'!$H$4="","","⚠ "&amp;'DADOS_DANOS'!$H$4)</f>
        <v/>
      </c>
      <c r="J1788" s="175">
        <f>IF('DADOS_DANOS'!$H$5="","","⚠ "&amp;'DADOS_DANOS'!$H$5)</f>
        <v/>
      </c>
    </row>
    <row r="1789" ht="18.75" customHeight="1"/>
    <row r="1790" ht="18.75" customHeight="1"/>
    <row r="1791" ht="18.75" customHeight="1">
      <c r="B1791" s="176" t="inlineStr">
        <is>
          <t>TIPO DE DANO · 5</t>
        </is>
      </c>
      <c r="J1791" s="176" t="inlineStr">
        <is>
          <t>TIPO DE DANO · 6</t>
        </is>
      </c>
    </row>
    <row r="1792" ht="18.75" customHeight="1">
      <c r="B1792" s="177" t="inlineStr">
        <is>
          <t>NOME</t>
        </is>
      </c>
      <c r="C1792" s="178" t="n"/>
      <c r="D1792" s="178" t="n"/>
      <c r="E1792" s="179" t="n"/>
      <c r="F1792" s="177" t="inlineStr">
        <is>
          <t>MESTRE VIU</t>
        </is>
      </c>
      <c r="G1792" s="179" t="n"/>
      <c r="J1792" s="177" t="inlineStr">
        <is>
          <t>NOME</t>
        </is>
      </c>
      <c r="K1792" s="178" t="n"/>
      <c r="L1792" s="178" t="n"/>
      <c r="M1792" s="179" t="n"/>
      <c r="N1792" s="177" t="inlineStr">
        <is>
          <t>MESTRE VIU</t>
        </is>
      </c>
      <c r="O1792" s="179" t="n"/>
    </row>
    <row r="1793" ht="18.75" customHeight="1">
      <c r="B1793" s="181" t="n"/>
      <c r="C1793" s="178" t="n"/>
      <c r="D1793" s="178" t="n"/>
      <c r="E1793" s="179" t="n"/>
      <c r="F1793" s="180" t="b">
        <v>0</v>
      </c>
      <c r="G1793" s="179" t="n"/>
      <c r="J1793" s="181" t="n"/>
      <c r="K1793" s="178" t="n"/>
      <c r="L1793" s="178" t="n"/>
      <c r="M1793" s="179" t="n"/>
      <c r="N1793" s="180" t="b">
        <v>0</v>
      </c>
      <c r="O1793" s="179" t="n"/>
    </row>
    <row r="1794" ht="18.75" customHeight="1"/>
    <row r="1795" ht="18.75" customHeight="1"/>
    <row r="1796" ht="18.75" customHeight="1">
      <c r="B1796" s="177" t="inlineStr">
        <is>
          <t>DEFINIÇÃO</t>
        </is>
      </c>
      <c r="C1796" s="178" t="n"/>
      <c r="D1796" s="178" t="n"/>
      <c r="E1796" s="178" t="n"/>
      <c r="F1796" s="178" t="n"/>
      <c r="G1796" s="179" t="n"/>
      <c r="J1796" s="177" t="inlineStr">
        <is>
          <t>DEFINIÇÃO</t>
        </is>
      </c>
      <c r="K1796" s="178" t="n"/>
      <c r="L1796" s="178" t="n"/>
      <c r="M1796" s="178" t="n"/>
      <c r="N1796" s="178" t="n"/>
      <c r="O1796" s="179" t="n"/>
    </row>
    <row r="1797" ht="18.75" customHeight="1">
      <c r="B1797" s="183" t="n"/>
      <c r="C1797" s="184" t="n"/>
      <c r="D1797" s="184" t="n"/>
      <c r="E1797" s="184" t="n"/>
      <c r="F1797" s="184" t="n"/>
      <c r="G1797" s="185" t="n"/>
      <c r="J1797" s="183" t="n"/>
      <c r="K1797" s="184" t="n"/>
      <c r="L1797" s="184" t="n"/>
      <c r="M1797" s="184" t="n"/>
      <c r="N1797" s="184" t="n"/>
      <c r="O1797" s="185" t="n"/>
    </row>
    <row r="1798" ht="18.75" customHeight="1">
      <c r="B1798" s="186" t="n"/>
      <c r="G1798" s="187" t="n"/>
      <c r="J1798" s="186" t="n"/>
      <c r="O1798" s="187" t="n"/>
    </row>
    <row r="1799" ht="18.75" customHeight="1">
      <c r="B1799" s="186" t="n"/>
      <c r="G1799" s="187" t="n"/>
      <c r="J1799" s="186" t="n"/>
      <c r="O1799" s="187" t="n"/>
    </row>
    <row r="1800" ht="18.75" customHeight="1">
      <c r="B1800" s="186" t="n"/>
      <c r="G1800" s="187" t="n"/>
      <c r="J1800" s="186" t="n"/>
      <c r="O1800" s="187" t="n"/>
    </row>
    <row r="1801" ht="18.75" customHeight="1">
      <c r="B1801" s="188" t="n"/>
      <c r="C1801" s="189" t="n"/>
      <c r="D1801" s="189" t="n"/>
      <c r="E1801" s="189" t="n"/>
      <c r="F1801" s="189" t="n"/>
      <c r="G1801" s="190" t="n"/>
      <c r="J1801" s="188" t="n"/>
      <c r="K1801" s="189" t="n"/>
      <c r="L1801" s="189" t="n"/>
      <c r="M1801" s="189" t="n"/>
      <c r="N1801" s="189" t="n"/>
      <c r="O1801" s="190" t="n"/>
    </row>
    <row r="1802" ht="18.75" customHeight="1"/>
    <row r="1803" ht="18.75" customHeight="1">
      <c r="B1803" s="177" t="inlineStr">
        <is>
          <t>EFEITO E REQUISITOS</t>
        </is>
      </c>
      <c r="C1803" s="178" t="n"/>
      <c r="D1803" s="178" t="n"/>
      <c r="E1803" s="178" t="n"/>
      <c r="F1803" s="178" t="n"/>
      <c r="G1803" s="179" t="n"/>
      <c r="J1803" s="177" t="inlineStr">
        <is>
          <t>EFEITO E REQUISITOS</t>
        </is>
      </c>
      <c r="K1803" s="178" t="n"/>
      <c r="L1803" s="178" t="n"/>
      <c r="M1803" s="178" t="n"/>
      <c r="N1803" s="178" t="n"/>
      <c r="O1803" s="179" t="n"/>
    </row>
    <row r="1804" ht="18.75" customHeight="1">
      <c r="B1804" s="183" t="n"/>
      <c r="C1804" s="184" t="n"/>
      <c r="D1804" s="184" t="n"/>
      <c r="E1804" s="184" t="n"/>
      <c r="F1804" s="184" t="n"/>
      <c r="G1804" s="185" t="n"/>
      <c r="J1804" s="183" t="n"/>
      <c r="K1804" s="184" t="n"/>
      <c r="L1804" s="184" t="n"/>
      <c r="M1804" s="184" t="n"/>
      <c r="N1804" s="184" t="n"/>
      <c r="O1804" s="185" t="n"/>
    </row>
    <row r="1805" ht="18.75" customHeight="1">
      <c r="B1805" s="186" t="n"/>
      <c r="G1805" s="187" t="n"/>
      <c r="J1805" s="186" t="n"/>
      <c r="O1805" s="187" t="n"/>
    </row>
    <row r="1806" ht="18.75" customHeight="1">
      <c r="B1806" s="186" t="n"/>
      <c r="G1806" s="187" t="n"/>
      <c r="J1806" s="186" t="n"/>
      <c r="O1806" s="187" t="n"/>
    </row>
    <row r="1807" ht="18.75" customHeight="1">
      <c r="B1807" s="186" t="n"/>
      <c r="G1807" s="187" t="n"/>
      <c r="J1807" s="186" t="n"/>
      <c r="O1807" s="187" t="n"/>
    </row>
    <row r="1808" ht="18.75" customHeight="1">
      <c r="B1808" s="186" t="n"/>
      <c r="G1808" s="187" t="n"/>
      <c r="J1808" s="186" t="n"/>
      <c r="O1808" s="187" t="n"/>
    </row>
    <row r="1809" ht="18.75" customHeight="1">
      <c r="B1809" s="186" t="n"/>
      <c r="G1809" s="187" t="n"/>
      <c r="J1809" s="186" t="n"/>
      <c r="O1809" s="187" t="n"/>
    </row>
    <row r="1810" ht="18.75" customHeight="1">
      <c r="B1810" s="186" t="n"/>
      <c r="G1810" s="187" t="n"/>
      <c r="J1810" s="186" t="n"/>
      <c r="O1810" s="187" t="n"/>
    </row>
    <row r="1811" ht="18.75" customHeight="1">
      <c r="B1811" s="186" t="n"/>
      <c r="G1811" s="187" t="n"/>
      <c r="J1811" s="186" t="n"/>
      <c r="O1811" s="187" t="n"/>
    </row>
    <row r="1812" ht="18.75" customHeight="1">
      <c r="B1812" s="186" t="n"/>
      <c r="G1812" s="187" t="n"/>
      <c r="J1812" s="186" t="n"/>
      <c r="O1812" s="187" t="n"/>
    </row>
    <row r="1813" ht="18.75" customHeight="1">
      <c r="B1813" s="186" t="n"/>
      <c r="G1813" s="187" t="n"/>
      <c r="J1813" s="186" t="n"/>
      <c r="O1813" s="187" t="n"/>
    </row>
    <row r="1814" ht="18.75" customHeight="1">
      <c r="B1814" s="186" t="n"/>
      <c r="G1814" s="187" t="n"/>
      <c r="J1814" s="186" t="n"/>
      <c r="O1814" s="187" t="n"/>
    </row>
    <row r="1815" ht="18.75" customHeight="1">
      <c r="B1815" s="188" t="n"/>
      <c r="C1815" s="189" t="n"/>
      <c r="D1815" s="189" t="n"/>
      <c r="E1815" s="189" t="n"/>
      <c r="F1815" s="189" t="n"/>
      <c r="G1815" s="190" t="n"/>
      <c r="J1815" s="188" t="n"/>
      <c r="K1815" s="189" t="n"/>
      <c r="L1815" s="189" t="n"/>
      <c r="M1815" s="189" t="n"/>
      <c r="N1815" s="189" t="n"/>
      <c r="O1815" s="190" t="n"/>
    </row>
    <row r="1816" ht="18.75" customHeight="1">
      <c r="B1816" s="175">
        <f>IF('DADOS_DANOS'!$H$6="","","⚠ "&amp;'DADOS_DANOS'!$H$6)</f>
        <v/>
      </c>
      <c r="J1816" s="175">
        <f>IF('DADOS_DANOS'!$H$7="","","⚠ "&amp;'DADOS_DANOS'!$H$7)</f>
        <v/>
      </c>
    </row>
    <row r="1817" ht="18.75" customHeight="1"/>
    <row r="1818" ht="18.75" customHeight="1"/>
    <row r="1819" ht="18.75" customHeight="1">
      <c r="B1819" s="176" t="inlineStr">
        <is>
          <t>TIPO DE DANO · 7</t>
        </is>
      </c>
      <c r="J1819" s="176" t="inlineStr">
        <is>
          <t>TIPO DE DANO · 8</t>
        </is>
      </c>
    </row>
    <row r="1820" ht="18.75" customHeight="1">
      <c r="B1820" s="177" t="inlineStr">
        <is>
          <t>NOME</t>
        </is>
      </c>
      <c r="C1820" s="178" t="n"/>
      <c r="D1820" s="178" t="n"/>
      <c r="E1820" s="179" t="n"/>
      <c r="F1820" s="177" t="inlineStr">
        <is>
          <t>MESTRE VIU</t>
        </is>
      </c>
      <c r="G1820" s="179" t="n"/>
      <c r="J1820" s="177" t="inlineStr">
        <is>
          <t>NOME</t>
        </is>
      </c>
      <c r="K1820" s="178" t="n"/>
      <c r="L1820" s="178" t="n"/>
      <c r="M1820" s="179" t="n"/>
      <c r="N1820" s="177" t="inlineStr">
        <is>
          <t>MESTRE VIU</t>
        </is>
      </c>
      <c r="O1820" s="179" t="n"/>
    </row>
    <row r="1821" ht="18.75" customHeight="1">
      <c r="B1821" s="181" t="n"/>
      <c r="C1821" s="178" t="n"/>
      <c r="D1821" s="178" t="n"/>
      <c r="E1821" s="179" t="n"/>
      <c r="F1821" s="180" t="b">
        <v>0</v>
      </c>
      <c r="G1821" s="179" t="n"/>
      <c r="J1821" s="181" t="n"/>
      <c r="K1821" s="178" t="n"/>
      <c r="L1821" s="178" t="n"/>
      <c r="M1821" s="179" t="n"/>
      <c r="N1821" s="180" t="b">
        <v>0</v>
      </c>
      <c r="O1821" s="179" t="n"/>
    </row>
    <row r="1822" ht="18.75" customHeight="1"/>
    <row r="1823" ht="18.75" customHeight="1"/>
    <row r="1824" ht="18.75" customHeight="1">
      <c r="B1824" s="177" t="inlineStr">
        <is>
          <t>DEFINIÇÃO</t>
        </is>
      </c>
      <c r="C1824" s="178" t="n"/>
      <c r="D1824" s="178" t="n"/>
      <c r="E1824" s="178" t="n"/>
      <c r="F1824" s="178" t="n"/>
      <c r="G1824" s="179" t="n"/>
      <c r="J1824" s="177" t="inlineStr">
        <is>
          <t>DEFINIÇÃO</t>
        </is>
      </c>
      <c r="K1824" s="178" t="n"/>
      <c r="L1824" s="178" t="n"/>
      <c r="M1824" s="178" t="n"/>
      <c r="N1824" s="178" t="n"/>
      <c r="O1824" s="179" t="n"/>
    </row>
    <row r="1825" ht="18.75" customHeight="1">
      <c r="B1825" s="183" t="n"/>
      <c r="C1825" s="184" t="n"/>
      <c r="D1825" s="184" t="n"/>
      <c r="E1825" s="184" t="n"/>
      <c r="F1825" s="184" t="n"/>
      <c r="G1825" s="185" t="n"/>
      <c r="J1825" s="183" t="n"/>
      <c r="K1825" s="184" t="n"/>
      <c r="L1825" s="184" t="n"/>
      <c r="M1825" s="184" t="n"/>
      <c r="N1825" s="184" t="n"/>
      <c r="O1825" s="185" t="n"/>
    </row>
    <row r="1826" ht="18.75" customHeight="1">
      <c r="B1826" s="186" t="n"/>
      <c r="G1826" s="187" t="n"/>
      <c r="J1826" s="186" t="n"/>
      <c r="O1826" s="187" t="n"/>
    </row>
    <row r="1827" ht="18.75" customHeight="1">
      <c r="B1827" s="186" t="n"/>
      <c r="G1827" s="187" t="n"/>
      <c r="J1827" s="186" t="n"/>
      <c r="O1827" s="187" t="n"/>
    </row>
    <row r="1828" ht="18.75" customHeight="1">
      <c r="B1828" s="186" t="n"/>
      <c r="G1828" s="187" t="n"/>
      <c r="J1828" s="186" t="n"/>
      <c r="O1828" s="187" t="n"/>
    </row>
    <row r="1829" ht="18.75" customHeight="1">
      <c r="B1829" s="188" t="n"/>
      <c r="C1829" s="189" t="n"/>
      <c r="D1829" s="189" t="n"/>
      <c r="E1829" s="189" t="n"/>
      <c r="F1829" s="189" t="n"/>
      <c r="G1829" s="190" t="n"/>
      <c r="J1829" s="188" t="n"/>
      <c r="K1829" s="189" t="n"/>
      <c r="L1829" s="189" t="n"/>
      <c r="M1829" s="189" t="n"/>
      <c r="N1829" s="189" t="n"/>
      <c r="O1829" s="190" t="n"/>
    </row>
    <row r="1830" ht="18.75" customHeight="1"/>
    <row r="1831" ht="18.75" customHeight="1">
      <c r="B1831" s="177" t="inlineStr">
        <is>
          <t>EFEITO E REQUISITOS</t>
        </is>
      </c>
      <c r="C1831" s="178" t="n"/>
      <c r="D1831" s="178" t="n"/>
      <c r="E1831" s="178" t="n"/>
      <c r="F1831" s="178" t="n"/>
      <c r="G1831" s="179" t="n"/>
      <c r="J1831" s="177" t="inlineStr">
        <is>
          <t>EFEITO E REQUISITOS</t>
        </is>
      </c>
      <c r="K1831" s="178" t="n"/>
      <c r="L1831" s="178" t="n"/>
      <c r="M1831" s="178" t="n"/>
      <c r="N1831" s="178" t="n"/>
      <c r="O1831" s="179" t="n"/>
    </row>
    <row r="1832" ht="18.75" customHeight="1">
      <c r="B1832" s="183" t="n"/>
      <c r="C1832" s="184" t="n"/>
      <c r="D1832" s="184" t="n"/>
      <c r="E1832" s="184" t="n"/>
      <c r="F1832" s="184" t="n"/>
      <c r="G1832" s="185" t="n"/>
      <c r="J1832" s="183" t="n"/>
      <c r="K1832" s="184" t="n"/>
      <c r="L1832" s="184" t="n"/>
      <c r="M1832" s="184" t="n"/>
      <c r="N1832" s="184" t="n"/>
      <c r="O1832" s="185" t="n"/>
    </row>
    <row r="1833" ht="18.75" customHeight="1">
      <c r="B1833" s="186" t="n"/>
      <c r="G1833" s="187" t="n"/>
      <c r="J1833" s="186" t="n"/>
      <c r="O1833" s="187" t="n"/>
    </row>
    <row r="1834" ht="18.75" customHeight="1">
      <c r="B1834" s="186" t="n"/>
      <c r="G1834" s="187" t="n"/>
      <c r="J1834" s="186" t="n"/>
      <c r="O1834" s="187" t="n"/>
    </row>
    <row r="1835" ht="18.75" customHeight="1">
      <c r="B1835" s="186" t="n"/>
      <c r="G1835" s="187" t="n"/>
      <c r="J1835" s="186" t="n"/>
      <c r="O1835" s="187" t="n"/>
    </row>
    <row r="1836" ht="18.75" customHeight="1">
      <c r="B1836" s="186" t="n"/>
      <c r="G1836" s="187" t="n"/>
      <c r="J1836" s="186" t="n"/>
      <c r="O1836" s="187" t="n"/>
    </row>
    <row r="1837" ht="18.75" customHeight="1">
      <c r="B1837" s="186" t="n"/>
      <c r="G1837" s="187" t="n"/>
      <c r="J1837" s="186" t="n"/>
      <c r="O1837" s="187" t="n"/>
    </row>
    <row r="1838" ht="18.75" customHeight="1">
      <c r="B1838" s="186" t="n"/>
      <c r="G1838" s="187" t="n"/>
      <c r="J1838" s="186" t="n"/>
      <c r="O1838" s="187" t="n"/>
    </row>
    <row r="1839" ht="18.75" customHeight="1">
      <c r="B1839" s="186" t="n"/>
      <c r="G1839" s="187" t="n"/>
      <c r="J1839" s="186" t="n"/>
      <c r="O1839" s="187" t="n"/>
    </row>
    <row r="1840" ht="18.75" customHeight="1">
      <c r="B1840" s="186" t="n"/>
      <c r="G1840" s="187" t="n"/>
      <c r="J1840" s="186" t="n"/>
      <c r="O1840" s="187" t="n"/>
    </row>
    <row r="1841" ht="18.75" customHeight="1">
      <c r="B1841" s="186" t="n"/>
      <c r="G1841" s="187" t="n"/>
      <c r="J1841" s="186" t="n"/>
      <c r="O1841" s="187" t="n"/>
    </row>
    <row r="1842" ht="18.75" customHeight="1">
      <c r="B1842" s="186" t="n"/>
      <c r="G1842" s="187" t="n"/>
      <c r="J1842" s="186" t="n"/>
      <c r="O1842" s="187" t="n"/>
    </row>
    <row r="1843" ht="18.75" customHeight="1">
      <c r="B1843" s="188" t="n"/>
      <c r="C1843" s="189" t="n"/>
      <c r="D1843" s="189" t="n"/>
      <c r="E1843" s="189" t="n"/>
      <c r="F1843" s="189" t="n"/>
      <c r="G1843" s="190" t="n"/>
      <c r="J1843" s="188" t="n"/>
      <c r="K1843" s="189" t="n"/>
      <c r="L1843" s="189" t="n"/>
      <c r="M1843" s="189" t="n"/>
      <c r="N1843" s="189" t="n"/>
      <c r="O1843" s="190" t="n"/>
    </row>
    <row r="1844" ht="18.75" customHeight="1">
      <c r="B1844" s="175">
        <f>IF('DADOS_DANOS'!$H$8="","","⚠ "&amp;'DADOS_DANOS'!$H$8)</f>
        <v/>
      </c>
      <c r="J1844" s="175">
        <f>IF('DADOS_DANOS'!$H$9="","","⚠ "&amp;'DADOS_DANOS'!$H$9)</f>
        <v/>
      </c>
    </row>
    <row r="1845" ht="18.75" customHeight="1"/>
    <row r="1846" ht="18.75" customHeight="1"/>
    <row r="1847" ht="18.75" customHeight="1">
      <c r="B1847" s="176" t="inlineStr">
        <is>
          <t>TIPO DE DANO · 9</t>
        </is>
      </c>
      <c r="J1847" s="176" t="inlineStr">
        <is>
          <t>TIPO DE DANO · 10</t>
        </is>
      </c>
    </row>
    <row r="1848" ht="18.75" customHeight="1">
      <c r="B1848" s="177" t="inlineStr">
        <is>
          <t>NOME</t>
        </is>
      </c>
      <c r="C1848" s="178" t="n"/>
      <c r="D1848" s="178" t="n"/>
      <c r="E1848" s="179" t="n"/>
      <c r="F1848" s="177" t="inlineStr">
        <is>
          <t>MESTRE VIU</t>
        </is>
      </c>
      <c r="G1848" s="179" t="n"/>
      <c r="J1848" s="177" t="inlineStr">
        <is>
          <t>NOME</t>
        </is>
      </c>
      <c r="K1848" s="178" t="n"/>
      <c r="L1848" s="178" t="n"/>
      <c r="M1848" s="179" t="n"/>
      <c r="N1848" s="177" t="inlineStr">
        <is>
          <t>MESTRE VIU</t>
        </is>
      </c>
      <c r="O1848" s="179" t="n"/>
    </row>
    <row r="1849" ht="18.75" customHeight="1">
      <c r="B1849" s="181" t="n"/>
      <c r="C1849" s="178" t="n"/>
      <c r="D1849" s="178" t="n"/>
      <c r="E1849" s="179" t="n"/>
      <c r="F1849" s="180" t="b">
        <v>0</v>
      </c>
      <c r="G1849" s="179" t="n"/>
      <c r="J1849" s="181" t="n"/>
      <c r="K1849" s="178" t="n"/>
      <c r="L1849" s="178" t="n"/>
      <c r="M1849" s="179" t="n"/>
      <c r="N1849" s="180" t="b">
        <v>0</v>
      </c>
      <c r="O1849" s="179" t="n"/>
    </row>
    <row r="1850" ht="18.75" customHeight="1"/>
    <row r="1851" ht="18.75" customHeight="1"/>
    <row r="1852" ht="18.75" customHeight="1">
      <c r="B1852" s="177" t="inlineStr">
        <is>
          <t>DEFINIÇÃO</t>
        </is>
      </c>
      <c r="C1852" s="178" t="n"/>
      <c r="D1852" s="178" t="n"/>
      <c r="E1852" s="178" t="n"/>
      <c r="F1852" s="178" t="n"/>
      <c r="G1852" s="179" t="n"/>
      <c r="J1852" s="177" t="inlineStr">
        <is>
          <t>DEFINIÇÃO</t>
        </is>
      </c>
      <c r="K1852" s="178" t="n"/>
      <c r="L1852" s="178" t="n"/>
      <c r="M1852" s="178" t="n"/>
      <c r="N1852" s="178" t="n"/>
      <c r="O1852" s="179" t="n"/>
    </row>
    <row r="1853" ht="18.75" customHeight="1">
      <c r="B1853" s="183" t="n"/>
      <c r="C1853" s="184" t="n"/>
      <c r="D1853" s="184" t="n"/>
      <c r="E1853" s="184" t="n"/>
      <c r="F1853" s="184" t="n"/>
      <c r="G1853" s="185" t="n"/>
      <c r="J1853" s="183" t="n"/>
      <c r="K1853" s="184" t="n"/>
      <c r="L1853" s="184" t="n"/>
      <c r="M1853" s="184" t="n"/>
      <c r="N1853" s="184" t="n"/>
      <c r="O1853" s="185" t="n"/>
    </row>
    <row r="1854" ht="18.75" customHeight="1">
      <c r="B1854" s="186" t="n"/>
      <c r="G1854" s="187" t="n"/>
      <c r="J1854" s="186" t="n"/>
      <c r="O1854" s="187" t="n"/>
    </row>
    <row r="1855" ht="18.75" customHeight="1">
      <c r="B1855" s="186" t="n"/>
      <c r="G1855" s="187" t="n"/>
      <c r="J1855" s="186" t="n"/>
      <c r="O1855" s="187" t="n"/>
    </row>
    <row r="1856" ht="18.75" customHeight="1">
      <c r="B1856" s="186" t="n"/>
      <c r="G1856" s="187" t="n"/>
      <c r="J1856" s="186" t="n"/>
      <c r="O1856" s="187" t="n"/>
    </row>
    <row r="1857" ht="18.75" customHeight="1">
      <c r="B1857" s="188" t="n"/>
      <c r="C1857" s="189" t="n"/>
      <c r="D1857" s="189" t="n"/>
      <c r="E1857" s="189" t="n"/>
      <c r="F1857" s="189" t="n"/>
      <c r="G1857" s="190" t="n"/>
      <c r="J1857" s="188" t="n"/>
      <c r="K1857" s="189" t="n"/>
      <c r="L1857" s="189" t="n"/>
      <c r="M1857" s="189" t="n"/>
      <c r="N1857" s="189" t="n"/>
      <c r="O1857" s="190" t="n"/>
    </row>
    <row r="1858" ht="18.75" customHeight="1"/>
    <row r="1859" ht="18.75" customHeight="1">
      <c r="B1859" s="177" t="inlineStr">
        <is>
          <t>EFEITO E REQUISITOS</t>
        </is>
      </c>
      <c r="C1859" s="178" t="n"/>
      <c r="D1859" s="178" t="n"/>
      <c r="E1859" s="178" t="n"/>
      <c r="F1859" s="178" t="n"/>
      <c r="G1859" s="179" t="n"/>
      <c r="J1859" s="177" t="inlineStr">
        <is>
          <t>EFEITO E REQUISITOS</t>
        </is>
      </c>
      <c r="K1859" s="178" t="n"/>
      <c r="L1859" s="178" t="n"/>
      <c r="M1859" s="178" t="n"/>
      <c r="N1859" s="178" t="n"/>
      <c r="O1859" s="179" t="n"/>
    </row>
    <row r="1860" ht="18.75" customHeight="1">
      <c r="B1860" s="183" t="n"/>
      <c r="C1860" s="184" t="n"/>
      <c r="D1860" s="184" t="n"/>
      <c r="E1860" s="184" t="n"/>
      <c r="F1860" s="184" t="n"/>
      <c r="G1860" s="185" t="n"/>
      <c r="J1860" s="183" t="n"/>
      <c r="K1860" s="184" t="n"/>
      <c r="L1860" s="184" t="n"/>
      <c r="M1860" s="184" t="n"/>
      <c r="N1860" s="184" t="n"/>
      <c r="O1860" s="185" t="n"/>
    </row>
    <row r="1861" ht="18.75" customHeight="1">
      <c r="B1861" s="186" t="n"/>
      <c r="G1861" s="187" t="n"/>
      <c r="J1861" s="186" t="n"/>
      <c r="O1861" s="187" t="n"/>
    </row>
    <row r="1862" ht="18.75" customHeight="1">
      <c r="B1862" s="186" t="n"/>
      <c r="G1862" s="187" t="n"/>
      <c r="J1862" s="186" t="n"/>
      <c r="O1862" s="187" t="n"/>
    </row>
    <row r="1863" ht="18.75" customHeight="1">
      <c r="B1863" s="186" t="n"/>
      <c r="G1863" s="187" t="n"/>
      <c r="J1863" s="186" t="n"/>
      <c r="O1863" s="187" t="n"/>
    </row>
    <row r="1864" ht="18.75" customHeight="1">
      <c r="B1864" s="186" t="n"/>
      <c r="G1864" s="187" t="n"/>
      <c r="J1864" s="186" t="n"/>
      <c r="O1864" s="187" t="n"/>
    </row>
    <row r="1865" ht="18.75" customHeight="1">
      <c r="B1865" s="186" t="n"/>
      <c r="G1865" s="187" t="n"/>
      <c r="J1865" s="186" t="n"/>
      <c r="O1865" s="187" t="n"/>
    </row>
    <row r="1866" ht="18.75" customHeight="1">
      <c r="B1866" s="186" t="n"/>
      <c r="G1866" s="187" t="n"/>
      <c r="J1866" s="186" t="n"/>
      <c r="O1866" s="187" t="n"/>
    </row>
    <row r="1867" ht="18.75" customHeight="1">
      <c r="B1867" s="186" t="n"/>
      <c r="G1867" s="187" t="n"/>
      <c r="J1867" s="186" t="n"/>
      <c r="O1867" s="187" t="n"/>
    </row>
    <row r="1868" ht="18.75" customHeight="1">
      <c r="B1868" s="186" t="n"/>
      <c r="G1868" s="187" t="n"/>
      <c r="J1868" s="186" t="n"/>
      <c r="O1868" s="187" t="n"/>
    </row>
    <row r="1869" ht="18.75" customHeight="1">
      <c r="B1869" s="186" t="n"/>
      <c r="G1869" s="187" t="n"/>
      <c r="J1869" s="186" t="n"/>
      <c r="O1869" s="187" t="n"/>
    </row>
    <row r="1870" ht="18.75" customHeight="1">
      <c r="B1870" s="186" t="n"/>
      <c r="G1870" s="187" t="n"/>
      <c r="J1870" s="186" t="n"/>
      <c r="O1870" s="187" t="n"/>
    </row>
    <row r="1871" ht="18.75" customHeight="1">
      <c r="B1871" s="188" t="n"/>
      <c r="C1871" s="189" t="n"/>
      <c r="D1871" s="189" t="n"/>
      <c r="E1871" s="189" t="n"/>
      <c r="F1871" s="189" t="n"/>
      <c r="G1871" s="190" t="n"/>
      <c r="J1871" s="188" t="n"/>
      <c r="K1871" s="189" t="n"/>
      <c r="L1871" s="189" t="n"/>
      <c r="M1871" s="189" t="n"/>
      <c r="N1871" s="189" t="n"/>
      <c r="O1871" s="190" t="n"/>
    </row>
    <row r="1872" ht="18.75" customHeight="1">
      <c r="B1872" s="175">
        <f>IF('DADOS_DANOS'!$H$10="","","⚠ "&amp;'DADOS_DANOS'!$H$10)</f>
        <v/>
      </c>
      <c r="J1872" s="175">
        <f>IF('DADOS_DANOS'!$H$11="","","⚠ "&amp;'DADOS_DANOS'!$H$11)</f>
        <v/>
      </c>
    </row>
    <row r="1873" ht="18.75" customHeight="1"/>
    <row r="1877" ht="18.75" customHeight="1">
      <c r="B1877" s="176" t="inlineStr">
        <is>
          <t>FORMAS CUSTOM</t>
        </is>
      </c>
    </row>
    <row r="1878" ht="18.75" customHeight="1"/>
    <row r="1879" ht="18.75" customHeight="1"/>
    <row r="1880" ht="18.75" customHeight="1">
      <c r="B1880" s="176" t="inlineStr">
        <is>
          <t>FORMAS · 1</t>
        </is>
      </c>
      <c r="J1880" s="176" t="inlineStr">
        <is>
          <t>FORMAS · 2</t>
        </is>
      </c>
    </row>
    <row r="1881" ht="18.75" customHeight="1">
      <c r="B1881" s="177" t="inlineStr">
        <is>
          <t>TIPO</t>
        </is>
      </c>
      <c r="C1881" s="178" t="n"/>
      <c r="D1881" s="178" t="n"/>
      <c r="E1881" s="179" t="n"/>
      <c r="F1881" s="177" t="inlineStr">
        <is>
          <t>MESTRE VIU</t>
        </is>
      </c>
      <c r="G1881" s="179" t="n"/>
      <c r="J1881" s="177" t="inlineStr">
        <is>
          <t>TIPO</t>
        </is>
      </c>
      <c r="K1881" s="178" t="n"/>
      <c r="L1881" s="178" t="n"/>
      <c r="M1881" s="179" t="n"/>
      <c r="N1881" s="177" t="inlineStr">
        <is>
          <t>MESTRE VIU</t>
        </is>
      </c>
      <c r="O1881" s="179" t="n"/>
    </row>
    <row r="1882" ht="18.75" customHeight="1">
      <c r="B1882" s="181" t="inlineStr">
        <is>
          <t>Forma</t>
        </is>
      </c>
      <c r="C1882" s="178" t="n"/>
      <c r="D1882" s="178" t="n"/>
      <c r="E1882" s="179" t="n"/>
      <c r="F1882" s="180" t="b">
        <v>0</v>
      </c>
      <c r="G1882" s="179" t="n"/>
      <c r="J1882" s="181" t="inlineStr">
        <is>
          <t>Forma</t>
        </is>
      </c>
      <c r="K1882" s="178" t="n"/>
      <c r="L1882" s="178" t="n"/>
      <c r="M1882" s="179" t="n"/>
      <c r="N1882" s="180" t="b">
        <v>0</v>
      </c>
      <c r="O1882" s="179" t="n"/>
    </row>
    <row r="1883" ht="18.75" customHeight="1">
      <c r="B1883" s="177" t="inlineStr">
        <is>
          <t>NOME</t>
        </is>
      </c>
      <c r="C1883" s="178" t="n"/>
      <c r="D1883" s="178" t="n"/>
      <c r="E1883" s="178" t="n"/>
      <c r="F1883" s="178" t="n"/>
      <c r="G1883" s="179" t="n"/>
      <c r="J1883" s="177" t="inlineStr">
        <is>
          <t>NOME</t>
        </is>
      </c>
      <c r="K1883" s="178" t="n"/>
      <c r="L1883" s="178" t="n"/>
      <c r="M1883" s="178" t="n"/>
      <c r="N1883" s="178" t="n"/>
      <c r="O1883" s="179" t="n"/>
    </row>
    <row r="1884" ht="18.75" customHeight="1">
      <c r="B1884" s="181" t="n"/>
      <c r="C1884" s="178" t="n"/>
      <c r="D1884" s="178" t="n"/>
      <c r="E1884" s="178" t="n"/>
      <c r="F1884" s="178" t="n"/>
      <c r="G1884" s="179" t="n"/>
      <c r="J1884" s="181" t="n"/>
      <c r="K1884" s="178" t="n"/>
      <c r="L1884" s="178" t="n"/>
      <c r="M1884" s="178" t="n"/>
      <c r="N1884" s="178" t="n"/>
      <c r="O1884" s="179" t="n"/>
    </row>
    <row r="1885" ht="18.75" customHeight="1">
      <c r="B1885" s="177" t="inlineStr">
        <is>
          <t>BASE DO LIVRO</t>
        </is>
      </c>
      <c r="C1885" s="178" t="n"/>
      <c r="D1885" s="179" t="n"/>
      <c r="E1885" s="181" t="n"/>
      <c r="F1885" s="178" t="n"/>
      <c r="G1885" s="179" t="n"/>
      <c r="J1885" s="177" t="inlineStr">
        <is>
          <t>BASE DO LIVRO</t>
        </is>
      </c>
      <c r="K1885" s="178" t="n"/>
      <c r="L1885" s="179" t="n"/>
      <c r="M1885" s="181" t="n"/>
      <c r="N1885" s="178" t="n"/>
      <c r="O1885" s="179" t="n"/>
    </row>
    <row r="1886" ht="18.75" customHeight="1">
      <c r="B1886" s="177" t="inlineStr">
        <is>
          <t>FAMÍLIA</t>
        </is>
      </c>
      <c r="C1886" s="178" t="n"/>
      <c r="D1886" s="179" t="n"/>
      <c r="E1886" s="181" t="n"/>
      <c r="F1886" s="178" t="n"/>
      <c r="G1886" s="179" t="n"/>
      <c r="J1886" s="177" t="inlineStr">
        <is>
          <t>FAMÍLIA</t>
        </is>
      </c>
      <c r="K1886" s="178" t="n"/>
      <c r="L1886" s="179" t="n"/>
      <c r="M1886" s="181" t="n"/>
      <c r="N1886" s="178" t="n"/>
      <c r="O1886" s="179" t="n"/>
    </row>
    <row r="1887" ht="18.75" customHeight="1">
      <c r="B1887" s="177" t="inlineStr">
        <is>
          <t>PESO</t>
        </is>
      </c>
      <c r="C1887" s="178" t="n"/>
      <c r="D1887" s="179" t="n"/>
      <c r="E1887" s="181" t="n"/>
      <c r="F1887" s="178" t="n"/>
      <c r="G1887" s="179" t="n"/>
      <c r="J1887" s="177" t="inlineStr">
        <is>
          <t>PESO</t>
        </is>
      </c>
      <c r="K1887" s="178" t="n"/>
      <c r="L1887" s="179" t="n"/>
      <c r="M1887" s="181" t="n"/>
      <c r="N1887" s="178" t="n"/>
      <c r="O1887" s="179" t="n"/>
    </row>
    <row r="1888" ht="18.75" customHeight="1">
      <c r="B1888" s="177" t="inlineStr">
        <is>
          <t>RESOLUÇÃO</t>
        </is>
      </c>
      <c r="C1888" s="178" t="n"/>
      <c r="D1888" s="179" t="n"/>
      <c r="E1888" s="181" t="n"/>
      <c r="F1888" s="178" t="n"/>
      <c r="G1888" s="179" t="n"/>
      <c r="J1888" s="177" t="inlineStr">
        <is>
          <t>RESOLUÇÃO</t>
        </is>
      </c>
      <c r="K1888" s="178" t="n"/>
      <c r="L1888" s="179" t="n"/>
      <c r="M1888" s="181" t="n"/>
      <c r="N1888" s="178" t="n"/>
      <c r="O1888" s="179" t="n"/>
    </row>
    <row r="1889" ht="18.75" customHeight="1">
      <c r="B1889" s="177" t="inlineStr">
        <is>
          <t>RESULTADO</t>
        </is>
      </c>
      <c r="C1889" s="178" t="n"/>
      <c r="D1889" s="179" t="n"/>
      <c r="E1889" s="181" t="n"/>
      <c r="F1889" s="178" t="n"/>
      <c r="G1889" s="179" t="n"/>
      <c r="J1889" s="177" t="inlineStr">
        <is>
          <t>RESULTADO</t>
        </is>
      </c>
      <c r="K1889" s="178" t="n"/>
      <c r="L1889" s="179" t="n"/>
      <c r="M1889" s="181" t="n"/>
      <c r="N1889" s="178" t="n"/>
      <c r="O1889" s="179" t="n"/>
    </row>
    <row r="1890" ht="18.75" customHeight="1">
      <c r="B1890" s="177" t="inlineStr">
        <is>
          <t>EXIGE TR</t>
        </is>
      </c>
      <c r="C1890" s="178" t="n"/>
      <c r="D1890" s="179" t="n"/>
      <c r="E1890" s="181" t="n"/>
      <c r="F1890" s="178" t="n"/>
      <c r="G1890" s="179" t="n"/>
      <c r="J1890" s="177" t="inlineStr">
        <is>
          <t>EXIGE TR</t>
        </is>
      </c>
      <c r="K1890" s="178" t="n"/>
      <c r="L1890" s="179" t="n"/>
      <c r="M1890" s="181" t="n"/>
      <c r="N1890" s="178" t="n"/>
      <c r="O1890" s="179" t="n"/>
    </row>
    <row r="1891" ht="18.75" customHeight="1">
      <c r="B1891" s="177" t="inlineStr">
        <is>
          <t>CLASSE 0</t>
        </is>
      </c>
      <c r="C1891" s="178" t="n"/>
      <c r="D1891" s="179" t="n"/>
      <c r="E1891" s="181" t="n"/>
      <c r="F1891" s="178" t="n"/>
      <c r="G1891" s="179" t="n"/>
      <c r="J1891" s="177" t="inlineStr">
        <is>
          <t>CLASSE 0</t>
        </is>
      </c>
      <c r="K1891" s="178" t="n"/>
      <c r="L1891" s="179" t="n"/>
      <c r="M1891" s="181" t="n"/>
      <c r="N1891" s="178" t="n"/>
      <c r="O1891" s="179" t="n"/>
    </row>
    <row r="1892" ht="18.75" customHeight="1">
      <c r="B1892" s="177" t="inlineStr">
        <is>
          <t>RESTRIÇÃO EMBUTIDA</t>
        </is>
      </c>
      <c r="C1892" s="178" t="n"/>
      <c r="D1892" s="179" t="n"/>
      <c r="E1892" s="181" t="n"/>
      <c r="F1892" s="178" t="n"/>
      <c r="G1892" s="179" t="n"/>
      <c r="J1892" s="177" t="inlineStr">
        <is>
          <t>RESTRIÇÃO EMBUTIDA</t>
        </is>
      </c>
      <c r="K1892" s="178" t="n"/>
      <c r="L1892" s="179" t="n"/>
      <c r="M1892" s="181" t="n"/>
      <c r="N1892" s="178" t="n"/>
      <c r="O1892" s="179" t="n"/>
    </row>
    <row r="1893" ht="18.75" customHeight="1">
      <c r="B1893" s="177" t="inlineStr">
        <is>
          <t>ESCADA DE ALCANCE</t>
        </is>
      </c>
      <c r="C1893" s="178" t="n"/>
      <c r="D1893" s="179" t="n"/>
      <c r="E1893" s="181" t="n"/>
      <c r="F1893" s="178" t="n"/>
      <c r="G1893" s="179" t="n"/>
      <c r="J1893" s="177" t="inlineStr">
        <is>
          <t>ESCADA DE ALCANCE</t>
        </is>
      </c>
      <c r="K1893" s="178" t="n"/>
      <c r="L1893" s="179" t="n"/>
      <c r="M1893" s="181" t="n"/>
      <c r="N1893" s="178" t="n"/>
      <c r="O1893" s="179" t="n"/>
    </row>
    <row r="1894" ht="18.75" customHeight="1">
      <c r="B1894" s="177" t="inlineStr">
        <is>
          <t>ESCADA DE ÁREA</t>
        </is>
      </c>
      <c r="C1894" s="178" t="n"/>
      <c r="D1894" s="179" t="n"/>
      <c r="E1894" s="181" t="n"/>
      <c r="F1894" s="178" t="n"/>
      <c r="G1894" s="179" t="n"/>
      <c r="J1894" s="177" t="inlineStr">
        <is>
          <t>ESCADA DE ÁREA</t>
        </is>
      </c>
      <c r="K1894" s="178" t="n"/>
      <c r="L1894" s="179" t="n"/>
      <c r="M1894" s="181" t="n"/>
      <c r="N1894" s="178" t="n"/>
      <c r="O1894" s="179" t="n"/>
    </row>
    <row r="1895" ht="18.75" customHeight="1">
      <c r="B1895" s="177" t="inlineStr">
        <is>
          <t>ALC · P · 0</t>
        </is>
      </c>
      <c r="C1895" s="178" t="n"/>
      <c r="D1895" s="179" t="n"/>
      <c r="E1895" s="181" t="n"/>
      <c r="F1895" s="178" t="n"/>
      <c r="G1895" s="179" t="n"/>
      <c r="J1895" s="177" t="inlineStr">
        <is>
          <t>ALC · P · 0</t>
        </is>
      </c>
      <c r="K1895" s="178" t="n"/>
      <c r="L1895" s="179" t="n"/>
      <c r="M1895" s="181" t="n"/>
      <c r="N1895" s="178" t="n"/>
      <c r="O1895" s="179" t="n"/>
    </row>
    <row r="1896" ht="18.75" customHeight="1">
      <c r="B1896" s="177" t="inlineStr">
        <is>
          <t>ALC · P · 1 a 5</t>
        </is>
      </c>
      <c r="C1896" s="178" t="n"/>
      <c r="D1896" s="179" t="n"/>
      <c r="E1896" s="181" t="n"/>
      <c r="F1896" s="178" t="n"/>
      <c r="G1896" s="179" t="n"/>
      <c r="J1896" s="177" t="inlineStr">
        <is>
          <t>ALC · P · 1 a 5</t>
        </is>
      </c>
      <c r="K1896" s="178" t="n"/>
      <c r="L1896" s="179" t="n"/>
      <c r="M1896" s="181" t="n"/>
      <c r="N1896" s="178" t="n"/>
      <c r="O1896" s="179" t="n"/>
    </row>
    <row r="1897" ht="18.75" customHeight="1">
      <c r="B1897" s="177" t="inlineStr">
        <is>
          <t>ALC · P · 6 e 7</t>
        </is>
      </c>
      <c r="C1897" s="178" t="n"/>
      <c r="D1897" s="179" t="n"/>
      <c r="E1897" s="181" t="n"/>
      <c r="F1897" s="178" t="n"/>
      <c r="G1897" s="179" t="n"/>
      <c r="J1897" s="177" t="inlineStr">
        <is>
          <t>ALC · P · 6 e 7</t>
        </is>
      </c>
      <c r="K1897" s="178" t="n"/>
      <c r="L1897" s="179" t="n"/>
      <c r="M1897" s="181" t="n"/>
      <c r="N1897" s="178" t="n"/>
      <c r="O1897" s="179" t="n"/>
    </row>
    <row r="1898" ht="18.75" customHeight="1">
      <c r="B1898" s="177" t="inlineStr">
        <is>
          <t>ALC · E · 0</t>
        </is>
      </c>
      <c r="C1898" s="178" t="n"/>
      <c r="D1898" s="179" t="n"/>
      <c r="E1898" s="181" t="n"/>
      <c r="F1898" s="178" t="n"/>
      <c r="G1898" s="179" t="n"/>
      <c r="J1898" s="177" t="inlineStr">
        <is>
          <t>ALC · E · 0</t>
        </is>
      </c>
      <c r="K1898" s="178" t="n"/>
      <c r="L1898" s="179" t="n"/>
      <c r="M1898" s="181" t="n"/>
      <c r="N1898" s="178" t="n"/>
      <c r="O1898" s="179" t="n"/>
    </row>
    <row r="1899" ht="18.75" customHeight="1">
      <c r="B1899" s="177" t="inlineStr">
        <is>
          <t>ALC · E · 1 a 5</t>
        </is>
      </c>
      <c r="C1899" s="178" t="n"/>
      <c r="D1899" s="179" t="n"/>
      <c r="E1899" s="181" t="n"/>
      <c r="F1899" s="178" t="n"/>
      <c r="G1899" s="179" t="n"/>
      <c r="J1899" s="177" t="inlineStr">
        <is>
          <t>ALC · E · 1 a 5</t>
        </is>
      </c>
      <c r="K1899" s="178" t="n"/>
      <c r="L1899" s="179" t="n"/>
      <c r="M1899" s="181" t="n"/>
      <c r="N1899" s="178" t="n"/>
      <c r="O1899" s="179" t="n"/>
    </row>
    <row r="1900" ht="18.75" customHeight="1">
      <c r="B1900" s="177" t="inlineStr">
        <is>
          <t>ALC · E · 6</t>
        </is>
      </c>
      <c r="C1900" s="178" t="n"/>
      <c r="D1900" s="179" t="n"/>
      <c r="E1900" s="181" t="n"/>
      <c r="F1900" s="178" t="n"/>
      <c r="G1900" s="179" t="n"/>
      <c r="J1900" s="177" t="inlineStr">
        <is>
          <t>ALC · E · 6</t>
        </is>
      </c>
      <c r="K1900" s="178" t="n"/>
      <c r="L1900" s="179" t="n"/>
      <c r="M1900" s="181" t="n"/>
      <c r="N1900" s="178" t="n"/>
      <c r="O1900" s="179" t="n"/>
    </row>
    <row r="1901" ht="18.75" customHeight="1">
      <c r="B1901" s="177" t="inlineStr">
        <is>
          <t>ALC · E · 7</t>
        </is>
      </c>
      <c r="C1901" s="178" t="n"/>
      <c r="D1901" s="179" t="n"/>
      <c r="E1901" s="181" t="n"/>
      <c r="F1901" s="178" t="n"/>
      <c r="G1901" s="179" t="n"/>
      <c r="J1901" s="177" t="inlineStr">
        <is>
          <t>ALC · E · 7</t>
        </is>
      </c>
      <c r="K1901" s="178" t="n"/>
      <c r="L1901" s="179" t="n"/>
      <c r="M1901" s="181" t="n"/>
      <c r="N1901" s="178" t="n"/>
      <c r="O1901" s="179" t="n"/>
    </row>
    <row r="1902" ht="18.75" customHeight="1">
      <c r="B1902" s="177" t="inlineStr">
        <is>
          <t>ÁREA · P · 0</t>
        </is>
      </c>
      <c r="C1902" s="178" t="n"/>
      <c r="D1902" s="179" t="n"/>
      <c r="E1902" s="181" t="n"/>
      <c r="F1902" s="178" t="n"/>
      <c r="G1902" s="179" t="n"/>
      <c r="J1902" s="177" t="inlineStr">
        <is>
          <t>ÁREA · P · 0</t>
        </is>
      </c>
      <c r="K1902" s="178" t="n"/>
      <c r="L1902" s="179" t="n"/>
      <c r="M1902" s="181" t="n"/>
      <c r="N1902" s="178" t="n"/>
      <c r="O1902" s="179" t="n"/>
    </row>
    <row r="1903" ht="18.75" customHeight="1">
      <c r="B1903" s="177" t="inlineStr">
        <is>
          <t>ÁREA · P · 1 a 5</t>
        </is>
      </c>
      <c r="C1903" s="178" t="n"/>
      <c r="D1903" s="179" t="n"/>
      <c r="E1903" s="181" t="n"/>
      <c r="F1903" s="178" t="n"/>
      <c r="G1903" s="179" t="n"/>
      <c r="J1903" s="177" t="inlineStr">
        <is>
          <t>ÁREA · P · 1 a 5</t>
        </is>
      </c>
      <c r="K1903" s="178" t="n"/>
      <c r="L1903" s="179" t="n"/>
      <c r="M1903" s="181" t="n"/>
      <c r="N1903" s="178" t="n"/>
      <c r="O1903" s="179" t="n"/>
    </row>
    <row r="1904" ht="18.75" customHeight="1">
      <c r="B1904" s="177" t="inlineStr">
        <is>
          <t>ÁREA · P · 6 e 7</t>
        </is>
      </c>
      <c r="C1904" s="178" t="n"/>
      <c r="D1904" s="179" t="n"/>
      <c r="E1904" s="181" t="n"/>
      <c r="F1904" s="178" t="n"/>
      <c r="G1904" s="179" t="n"/>
      <c r="J1904" s="177" t="inlineStr">
        <is>
          <t>ÁREA · P · 6 e 7</t>
        </is>
      </c>
      <c r="K1904" s="178" t="n"/>
      <c r="L1904" s="179" t="n"/>
      <c r="M1904" s="181" t="n"/>
      <c r="N1904" s="178" t="n"/>
      <c r="O1904" s="179" t="n"/>
    </row>
    <row r="1905" ht="18.75" customHeight="1">
      <c r="B1905" s="177" t="inlineStr">
        <is>
          <t>ÁREA · E · 0</t>
        </is>
      </c>
      <c r="C1905" s="178" t="n"/>
      <c r="D1905" s="179" t="n"/>
      <c r="E1905" s="181" t="n"/>
      <c r="F1905" s="178" t="n"/>
      <c r="G1905" s="179" t="n"/>
      <c r="J1905" s="177" t="inlineStr">
        <is>
          <t>ÁREA · E · 0</t>
        </is>
      </c>
      <c r="K1905" s="178" t="n"/>
      <c r="L1905" s="179" t="n"/>
      <c r="M1905" s="181" t="n"/>
      <c r="N1905" s="178" t="n"/>
      <c r="O1905" s="179" t="n"/>
    </row>
    <row r="1906" ht="18.75" customHeight="1">
      <c r="B1906" s="177" t="inlineStr">
        <is>
          <t>ÁREA · E · 1 a 5</t>
        </is>
      </c>
      <c r="C1906" s="178" t="n"/>
      <c r="D1906" s="179" t="n"/>
      <c r="E1906" s="181" t="n"/>
      <c r="F1906" s="178" t="n"/>
      <c r="G1906" s="179" t="n"/>
      <c r="J1906" s="177" t="inlineStr">
        <is>
          <t>ÁREA · E · 1 a 5</t>
        </is>
      </c>
      <c r="K1906" s="178" t="n"/>
      <c r="L1906" s="179" t="n"/>
      <c r="M1906" s="181" t="n"/>
      <c r="N1906" s="178" t="n"/>
      <c r="O1906" s="179" t="n"/>
    </row>
    <row r="1907" ht="18.75" customHeight="1">
      <c r="B1907" s="177" t="inlineStr">
        <is>
          <t>ÁREA · E · 6</t>
        </is>
      </c>
      <c r="C1907" s="178" t="n"/>
      <c r="D1907" s="179" t="n"/>
      <c r="E1907" s="181" t="n"/>
      <c r="F1907" s="178" t="n"/>
      <c r="G1907" s="179" t="n"/>
      <c r="J1907" s="177" t="inlineStr">
        <is>
          <t>ÁREA · E · 6</t>
        </is>
      </c>
      <c r="K1907" s="178" t="n"/>
      <c r="L1907" s="179" t="n"/>
      <c r="M1907" s="181" t="n"/>
      <c r="N1907" s="178" t="n"/>
      <c r="O1907" s="179" t="n"/>
    </row>
    <row r="1908" ht="18.75" customHeight="1">
      <c r="B1908" s="177" t="inlineStr">
        <is>
          <t>ÁREA · E · 7</t>
        </is>
      </c>
      <c r="C1908" s="178" t="n"/>
      <c r="D1908" s="179" t="n"/>
      <c r="E1908" s="181" t="n"/>
      <c r="F1908" s="178" t="n"/>
      <c r="G1908" s="179" t="n"/>
      <c r="J1908" s="177" t="inlineStr">
        <is>
          <t>ÁREA · E · 7</t>
        </is>
      </c>
      <c r="K1908" s="178" t="n"/>
      <c r="L1908" s="179" t="n"/>
      <c r="M1908" s="181" t="n"/>
      <c r="N1908" s="178" t="n"/>
      <c r="O1908" s="179" t="n"/>
    </row>
    <row r="1909" ht="18.75" customHeight="1"/>
    <row r="1910" ht="18.75" customHeight="1">
      <c r="B1910" s="177" t="inlineStr">
        <is>
          <t>REQUISITOS</t>
        </is>
      </c>
      <c r="C1910" s="178" t="n"/>
      <c r="D1910" s="178" t="n"/>
      <c r="E1910" s="178" t="n"/>
      <c r="F1910" s="178" t="n"/>
      <c r="G1910" s="179" t="n"/>
      <c r="J1910" s="177" t="inlineStr">
        <is>
          <t>REQUISITOS</t>
        </is>
      </c>
      <c r="K1910" s="178" t="n"/>
      <c r="L1910" s="178" t="n"/>
      <c r="M1910" s="178" t="n"/>
      <c r="N1910" s="178" t="n"/>
      <c r="O1910" s="179" t="n"/>
    </row>
    <row r="1911" ht="18.75" customHeight="1">
      <c r="B1911" s="183" t="n"/>
      <c r="C1911" s="184" t="n"/>
      <c r="D1911" s="184" t="n"/>
      <c r="E1911" s="184" t="n"/>
      <c r="F1911" s="184" t="n"/>
      <c r="G1911" s="185" t="n"/>
      <c r="J1911" s="183" t="n"/>
      <c r="K1911" s="184" t="n"/>
      <c r="L1911" s="184" t="n"/>
      <c r="M1911" s="184" t="n"/>
      <c r="N1911" s="184" t="n"/>
      <c r="O1911" s="185" t="n"/>
    </row>
    <row r="1912" ht="18.75" customHeight="1">
      <c r="B1912" s="186" t="n"/>
      <c r="G1912" s="187" t="n"/>
      <c r="J1912" s="186" t="n"/>
      <c r="O1912" s="187" t="n"/>
    </row>
    <row r="1913" ht="18.75" customHeight="1">
      <c r="B1913" s="186" t="n"/>
      <c r="G1913" s="187" t="n"/>
      <c r="J1913" s="186" t="n"/>
      <c r="O1913" s="187" t="n"/>
    </row>
    <row r="1914" ht="18.75" customHeight="1">
      <c r="B1914" s="188" t="n"/>
      <c r="C1914" s="189" t="n"/>
      <c r="D1914" s="189" t="n"/>
      <c r="E1914" s="189" t="n"/>
      <c r="F1914" s="189" t="n"/>
      <c r="G1914" s="190" t="n"/>
      <c r="J1914" s="188" t="n"/>
      <c r="K1914" s="189" t="n"/>
      <c r="L1914" s="189" t="n"/>
      <c r="M1914" s="189" t="n"/>
      <c r="N1914" s="189" t="n"/>
      <c r="O1914" s="190" t="n"/>
    </row>
    <row r="1915" ht="18.75" customHeight="1"/>
    <row r="1916" ht="18.75" customHeight="1">
      <c r="B1916" s="177" t="inlineStr">
        <is>
          <t>EFEITO</t>
        </is>
      </c>
      <c r="C1916" s="178" t="n"/>
      <c r="D1916" s="178" t="n"/>
      <c r="E1916" s="178" t="n"/>
      <c r="F1916" s="178" t="n"/>
      <c r="G1916" s="179" t="n"/>
      <c r="J1916" s="177" t="inlineStr">
        <is>
          <t>EFEITO</t>
        </is>
      </c>
      <c r="K1916" s="178" t="n"/>
      <c r="L1916" s="178" t="n"/>
      <c r="M1916" s="178" t="n"/>
      <c r="N1916" s="178" t="n"/>
      <c r="O1916" s="179" t="n"/>
    </row>
    <row r="1917" ht="18.75" customHeight="1">
      <c r="B1917" s="183" t="n"/>
      <c r="C1917" s="184" t="n"/>
      <c r="D1917" s="184" t="n"/>
      <c r="E1917" s="184" t="n"/>
      <c r="F1917" s="184" t="n"/>
      <c r="G1917" s="185" t="n"/>
      <c r="J1917" s="183" t="n"/>
      <c r="K1917" s="184" t="n"/>
      <c r="L1917" s="184" t="n"/>
      <c r="M1917" s="184" t="n"/>
      <c r="N1917" s="184" t="n"/>
      <c r="O1917" s="185" t="n"/>
    </row>
    <row r="1918" ht="18.75" customHeight="1">
      <c r="B1918" s="186" t="n"/>
      <c r="G1918" s="187" t="n"/>
      <c r="J1918" s="186" t="n"/>
      <c r="O1918" s="187" t="n"/>
    </row>
    <row r="1919" ht="18.75" customHeight="1">
      <c r="B1919" s="186" t="n"/>
      <c r="G1919" s="187" t="n"/>
      <c r="J1919" s="186" t="n"/>
      <c r="O1919" s="187" t="n"/>
    </row>
    <row r="1920" ht="18.75" customHeight="1">
      <c r="B1920" s="188" t="n"/>
      <c r="C1920" s="189" t="n"/>
      <c r="D1920" s="189" t="n"/>
      <c r="E1920" s="189" t="n"/>
      <c r="F1920" s="189" t="n"/>
      <c r="G1920" s="190" t="n"/>
      <c r="J1920" s="188" t="n"/>
      <c r="K1920" s="189" t="n"/>
      <c r="L1920" s="189" t="n"/>
      <c r="M1920" s="189" t="n"/>
      <c r="N1920" s="189" t="n"/>
      <c r="O1920" s="190" t="n"/>
    </row>
    <row r="1921" ht="18.75" customHeight="1"/>
    <row r="1922" ht="18.75" customHeight="1"/>
    <row r="1923" ht="18.75" customHeight="1">
      <c r="B1923" s="175">
        <f>IF('DADOS_FORMAS'!$AD2="","","⚠ "&amp;'DADOS_FORMAS'!$AD2)</f>
        <v/>
      </c>
      <c r="J1923" s="175">
        <f>IF('DADOS_FORMAS'!$AD3="","","⚠ "&amp;'DADOS_FORMAS'!$AD3)</f>
        <v/>
      </c>
    </row>
    <row r="1924" ht="18.75" customHeight="1"/>
    <row r="1925" ht="18.75" customHeight="1"/>
    <row r="1926" ht="18.75" customHeight="1">
      <c r="B1926" s="176" t="inlineStr">
        <is>
          <t>FORMAS · 3</t>
        </is>
      </c>
      <c r="J1926" s="176" t="inlineStr">
        <is>
          <t>FORMAS · 4</t>
        </is>
      </c>
    </row>
    <row r="1927" ht="18.75" customHeight="1">
      <c r="B1927" s="177" t="inlineStr">
        <is>
          <t>TIPO</t>
        </is>
      </c>
      <c r="C1927" s="178" t="n"/>
      <c r="D1927" s="178" t="n"/>
      <c r="E1927" s="179" t="n"/>
      <c r="F1927" s="177" t="inlineStr">
        <is>
          <t>MESTRE VIU</t>
        </is>
      </c>
      <c r="G1927" s="179" t="n"/>
      <c r="J1927" s="177" t="inlineStr">
        <is>
          <t>TIPO</t>
        </is>
      </c>
      <c r="K1927" s="178" t="n"/>
      <c r="L1927" s="178" t="n"/>
      <c r="M1927" s="179" t="n"/>
      <c r="N1927" s="177" t="inlineStr">
        <is>
          <t>MESTRE VIU</t>
        </is>
      </c>
      <c r="O1927" s="179" t="n"/>
    </row>
    <row r="1928" ht="18.75" customHeight="1">
      <c r="B1928" s="181" t="inlineStr">
        <is>
          <t>Forma</t>
        </is>
      </c>
      <c r="C1928" s="178" t="n"/>
      <c r="D1928" s="178" t="n"/>
      <c r="E1928" s="179" t="n"/>
      <c r="F1928" s="180" t="b">
        <v>0</v>
      </c>
      <c r="G1928" s="179" t="n"/>
      <c r="J1928" s="181" t="inlineStr">
        <is>
          <t>Forma</t>
        </is>
      </c>
      <c r="K1928" s="178" t="n"/>
      <c r="L1928" s="178" t="n"/>
      <c r="M1928" s="179" t="n"/>
      <c r="N1928" s="180" t="b">
        <v>0</v>
      </c>
      <c r="O1928" s="179" t="n"/>
    </row>
    <row r="1929" ht="18.75" customHeight="1">
      <c r="B1929" s="177" t="inlineStr">
        <is>
          <t>NOME</t>
        </is>
      </c>
      <c r="C1929" s="178" t="n"/>
      <c r="D1929" s="178" t="n"/>
      <c r="E1929" s="178" t="n"/>
      <c r="F1929" s="178" t="n"/>
      <c r="G1929" s="179" t="n"/>
      <c r="J1929" s="177" t="inlineStr">
        <is>
          <t>NOME</t>
        </is>
      </c>
      <c r="K1929" s="178" t="n"/>
      <c r="L1929" s="178" t="n"/>
      <c r="M1929" s="178" t="n"/>
      <c r="N1929" s="178" t="n"/>
      <c r="O1929" s="179" t="n"/>
    </row>
    <row r="1930" ht="18.75" customHeight="1">
      <c r="B1930" s="181" t="n"/>
      <c r="C1930" s="178" t="n"/>
      <c r="D1930" s="178" t="n"/>
      <c r="E1930" s="178" t="n"/>
      <c r="F1930" s="178" t="n"/>
      <c r="G1930" s="179" t="n"/>
      <c r="J1930" s="181" t="n"/>
      <c r="K1930" s="178" t="n"/>
      <c r="L1930" s="178" t="n"/>
      <c r="M1930" s="178" t="n"/>
      <c r="N1930" s="178" t="n"/>
      <c r="O1930" s="179" t="n"/>
    </row>
    <row r="1931" ht="18.75" customHeight="1">
      <c r="B1931" s="177" t="inlineStr">
        <is>
          <t>BASE DO LIVRO</t>
        </is>
      </c>
      <c r="C1931" s="178" t="n"/>
      <c r="D1931" s="179" t="n"/>
      <c r="E1931" s="181" t="n"/>
      <c r="F1931" s="178" t="n"/>
      <c r="G1931" s="179" t="n"/>
      <c r="J1931" s="177" t="inlineStr">
        <is>
          <t>BASE DO LIVRO</t>
        </is>
      </c>
      <c r="K1931" s="178" t="n"/>
      <c r="L1931" s="179" t="n"/>
      <c r="M1931" s="181" t="n"/>
      <c r="N1931" s="178" t="n"/>
      <c r="O1931" s="179" t="n"/>
    </row>
    <row r="1932" ht="18.75" customHeight="1">
      <c r="B1932" s="177" t="inlineStr">
        <is>
          <t>FAMÍLIA</t>
        </is>
      </c>
      <c r="C1932" s="178" t="n"/>
      <c r="D1932" s="179" t="n"/>
      <c r="E1932" s="181" t="n"/>
      <c r="F1932" s="178" t="n"/>
      <c r="G1932" s="179" t="n"/>
      <c r="J1932" s="177" t="inlineStr">
        <is>
          <t>FAMÍLIA</t>
        </is>
      </c>
      <c r="K1932" s="178" t="n"/>
      <c r="L1932" s="179" t="n"/>
      <c r="M1932" s="181" t="n"/>
      <c r="N1932" s="178" t="n"/>
      <c r="O1932" s="179" t="n"/>
    </row>
    <row r="1933" ht="18.75" customHeight="1">
      <c r="B1933" s="177" t="inlineStr">
        <is>
          <t>PESO</t>
        </is>
      </c>
      <c r="C1933" s="178" t="n"/>
      <c r="D1933" s="179" t="n"/>
      <c r="E1933" s="181" t="n"/>
      <c r="F1933" s="178" t="n"/>
      <c r="G1933" s="179" t="n"/>
      <c r="J1933" s="177" t="inlineStr">
        <is>
          <t>PESO</t>
        </is>
      </c>
      <c r="K1933" s="178" t="n"/>
      <c r="L1933" s="179" t="n"/>
      <c r="M1933" s="181" t="n"/>
      <c r="N1933" s="178" t="n"/>
      <c r="O1933" s="179" t="n"/>
    </row>
    <row r="1934" ht="18.75" customHeight="1">
      <c r="B1934" s="177" t="inlineStr">
        <is>
          <t>RESOLUÇÃO</t>
        </is>
      </c>
      <c r="C1934" s="178" t="n"/>
      <c r="D1934" s="179" t="n"/>
      <c r="E1934" s="181" t="n"/>
      <c r="F1934" s="178" t="n"/>
      <c r="G1934" s="179" t="n"/>
      <c r="J1934" s="177" t="inlineStr">
        <is>
          <t>RESOLUÇÃO</t>
        </is>
      </c>
      <c r="K1934" s="178" t="n"/>
      <c r="L1934" s="179" t="n"/>
      <c r="M1934" s="181" t="n"/>
      <c r="N1934" s="178" t="n"/>
      <c r="O1934" s="179" t="n"/>
    </row>
    <row r="1935" ht="18.75" customHeight="1">
      <c r="B1935" s="177" t="inlineStr">
        <is>
          <t>RESULTADO</t>
        </is>
      </c>
      <c r="C1935" s="178" t="n"/>
      <c r="D1935" s="179" t="n"/>
      <c r="E1935" s="181" t="n"/>
      <c r="F1935" s="178" t="n"/>
      <c r="G1935" s="179" t="n"/>
      <c r="J1935" s="177" t="inlineStr">
        <is>
          <t>RESULTADO</t>
        </is>
      </c>
      <c r="K1935" s="178" t="n"/>
      <c r="L1935" s="179" t="n"/>
      <c r="M1935" s="181" t="n"/>
      <c r="N1935" s="178" t="n"/>
      <c r="O1935" s="179" t="n"/>
    </row>
    <row r="1936" ht="18.75" customHeight="1">
      <c r="B1936" s="177" t="inlineStr">
        <is>
          <t>EXIGE TR</t>
        </is>
      </c>
      <c r="C1936" s="178" t="n"/>
      <c r="D1936" s="179" t="n"/>
      <c r="E1936" s="181" t="n"/>
      <c r="F1936" s="178" t="n"/>
      <c r="G1936" s="179" t="n"/>
      <c r="J1936" s="177" t="inlineStr">
        <is>
          <t>EXIGE TR</t>
        </is>
      </c>
      <c r="K1936" s="178" t="n"/>
      <c r="L1936" s="179" t="n"/>
      <c r="M1936" s="181" t="n"/>
      <c r="N1936" s="178" t="n"/>
      <c r="O1936" s="179" t="n"/>
    </row>
    <row r="1937" ht="18.75" customHeight="1">
      <c r="B1937" s="177" t="inlineStr">
        <is>
          <t>CLASSE 0</t>
        </is>
      </c>
      <c r="C1937" s="178" t="n"/>
      <c r="D1937" s="179" t="n"/>
      <c r="E1937" s="181" t="n"/>
      <c r="F1937" s="178" t="n"/>
      <c r="G1937" s="179" t="n"/>
      <c r="J1937" s="177" t="inlineStr">
        <is>
          <t>CLASSE 0</t>
        </is>
      </c>
      <c r="K1937" s="178" t="n"/>
      <c r="L1937" s="179" t="n"/>
      <c r="M1937" s="181" t="n"/>
      <c r="N1937" s="178" t="n"/>
      <c r="O1937" s="179" t="n"/>
    </row>
    <row r="1938" ht="18.75" customHeight="1">
      <c r="B1938" s="177" t="inlineStr">
        <is>
          <t>RESTRIÇÃO EMBUTIDA</t>
        </is>
      </c>
      <c r="C1938" s="178" t="n"/>
      <c r="D1938" s="179" t="n"/>
      <c r="E1938" s="181" t="n"/>
      <c r="F1938" s="178" t="n"/>
      <c r="G1938" s="179" t="n"/>
      <c r="J1938" s="177" t="inlineStr">
        <is>
          <t>RESTRIÇÃO EMBUTIDA</t>
        </is>
      </c>
      <c r="K1938" s="178" t="n"/>
      <c r="L1938" s="179" t="n"/>
      <c r="M1938" s="181" t="n"/>
      <c r="N1938" s="178" t="n"/>
      <c r="O1938" s="179" t="n"/>
    </row>
    <row r="1939" ht="18.75" customHeight="1">
      <c r="B1939" s="177" t="inlineStr">
        <is>
          <t>ESCADA DE ALCANCE</t>
        </is>
      </c>
      <c r="C1939" s="178" t="n"/>
      <c r="D1939" s="179" t="n"/>
      <c r="E1939" s="181" t="n"/>
      <c r="F1939" s="178" t="n"/>
      <c r="G1939" s="179" t="n"/>
      <c r="J1939" s="177" t="inlineStr">
        <is>
          <t>ESCADA DE ALCANCE</t>
        </is>
      </c>
      <c r="K1939" s="178" t="n"/>
      <c r="L1939" s="179" t="n"/>
      <c r="M1939" s="181" t="n"/>
      <c r="N1939" s="178" t="n"/>
      <c r="O1939" s="179" t="n"/>
    </row>
    <row r="1940" ht="18.75" customHeight="1">
      <c r="B1940" s="177" t="inlineStr">
        <is>
          <t>ESCADA DE ÁREA</t>
        </is>
      </c>
      <c r="C1940" s="178" t="n"/>
      <c r="D1940" s="179" t="n"/>
      <c r="E1940" s="181" t="n"/>
      <c r="F1940" s="178" t="n"/>
      <c r="G1940" s="179" t="n"/>
      <c r="J1940" s="177" t="inlineStr">
        <is>
          <t>ESCADA DE ÁREA</t>
        </is>
      </c>
      <c r="K1940" s="178" t="n"/>
      <c r="L1940" s="179" t="n"/>
      <c r="M1940" s="181" t="n"/>
      <c r="N1940" s="178" t="n"/>
      <c r="O1940" s="179" t="n"/>
    </row>
    <row r="1941" ht="18.75" customHeight="1">
      <c r="B1941" s="177" t="inlineStr">
        <is>
          <t>ALC · P · 0</t>
        </is>
      </c>
      <c r="C1941" s="178" t="n"/>
      <c r="D1941" s="179" t="n"/>
      <c r="E1941" s="181" t="n"/>
      <c r="F1941" s="178" t="n"/>
      <c r="G1941" s="179" t="n"/>
      <c r="J1941" s="177" t="inlineStr">
        <is>
          <t>ALC · P · 0</t>
        </is>
      </c>
      <c r="K1941" s="178" t="n"/>
      <c r="L1941" s="179" t="n"/>
      <c r="M1941" s="181" t="n"/>
      <c r="N1941" s="178" t="n"/>
      <c r="O1941" s="179" t="n"/>
    </row>
    <row r="1942" ht="18.75" customHeight="1">
      <c r="B1942" s="177" t="inlineStr">
        <is>
          <t>ALC · P · 1 a 5</t>
        </is>
      </c>
      <c r="C1942" s="178" t="n"/>
      <c r="D1942" s="179" t="n"/>
      <c r="E1942" s="181" t="n"/>
      <c r="F1942" s="178" t="n"/>
      <c r="G1942" s="179" t="n"/>
      <c r="J1942" s="177" t="inlineStr">
        <is>
          <t>ALC · P · 1 a 5</t>
        </is>
      </c>
      <c r="K1942" s="178" t="n"/>
      <c r="L1942" s="179" t="n"/>
      <c r="M1942" s="181" t="n"/>
      <c r="N1942" s="178" t="n"/>
      <c r="O1942" s="179" t="n"/>
    </row>
    <row r="1943" ht="18.75" customHeight="1">
      <c r="B1943" s="177" t="inlineStr">
        <is>
          <t>ALC · P · 6 e 7</t>
        </is>
      </c>
      <c r="C1943" s="178" t="n"/>
      <c r="D1943" s="179" t="n"/>
      <c r="E1943" s="181" t="n"/>
      <c r="F1943" s="178" t="n"/>
      <c r="G1943" s="179" t="n"/>
      <c r="J1943" s="177" t="inlineStr">
        <is>
          <t>ALC · P · 6 e 7</t>
        </is>
      </c>
      <c r="K1943" s="178" t="n"/>
      <c r="L1943" s="179" t="n"/>
      <c r="M1943" s="181" t="n"/>
      <c r="N1943" s="178" t="n"/>
      <c r="O1943" s="179" t="n"/>
    </row>
    <row r="1944" ht="18.75" customHeight="1">
      <c r="B1944" s="177" t="inlineStr">
        <is>
          <t>ALC · E · 0</t>
        </is>
      </c>
      <c r="C1944" s="178" t="n"/>
      <c r="D1944" s="179" t="n"/>
      <c r="E1944" s="181" t="n"/>
      <c r="F1944" s="178" t="n"/>
      <c r="G1944" s="179" t="n"/>
      <c r="J1944" s="177" t="inlineStr">
        <is>
          <t>ALC · E · 0</t>
        </is>
      </c>
      <c r="K1944" s="178" t="n"/>
      <c r="L1944" s="179" t="n"/>
      <c r="M1944" s="181" t="n"/>
      <c r="N1944" s="178" t="n"/>
      <c r="O1944" s="179" t="n"/>
    </row>
    <row r="1945" ht="18.75" customHeight="1">
      <c r="B1945" s="177" t="inlineStr">
        <is>
          <t>ALC · E · 1 a 5</t>
        </is>
      </c>
      <c r="C1945" s="178" t="n"/>
      <c r="D1945" s="179" t="n"/>
      <c r="E1945" s="181" t="n"/>
      <c r="F1945" s="178" t="n"/>
      <c r="G1945" s="179" t="n"/>
      <c r="J1945" s="177" t="inlineStr">
        <is>
          <t>ALC · E · 1 a 5</t>
        </is>
      </c>
      <c r="K1945" s="178" t="n"/>
      <c r="L1945" s="179" t="n"/>
      <c r="M1945" s="181" t="n"/>
      <c r="N1945" s="178" t="n"/>
      <c r="O1945" s="179" t="n"/>
    </row>
    <row r="1946" ht="18.75" customHeight="1">
      <c r="B1946" s="177" t="inlineStr">
        <is>
          <t>ALC · E · 6</t>
        </is>
      </c>
      <c r="C1946" s="178" t="n"/>
      <c r="D1946" s="179" t="n"/>
      <c r="E1946" s="181" t="n"/>
      <c r="F1946" s="178" t="n"/>
      <c r="G1946" s="179" t="n"/>
      <c r="J1946" s="177" t="inlineStr">
        <is>
          <t>ALC · E · 6</t>
        </is>
      </c>
      <c r="K1946" s="178" t="n"/>
      <c r="L1946" s="179" t="n"/>
      <c r="M1946" s="181" t="n"/>
      <c r="N1946" s="178" t="n"/>
      <c r="O1946" s="179" t="n"/>
    </row>
    <row r="1947" ht="18.75" customHeight="1">
      <c r="B1947" s="177" t="inlineStr">
        <is>
          <t>ALC · E · 7</t>
        </is>
      </c>
      <c r="C1947" s="178" t="n"/>
      <c r="D1947" s="179" t="n"/>
      <c r="E1947" s="181" t="n"/>
      <c r="F1947" s="178" t="n"/>
      <c r="G1947" s="179" t="n"/>
      <c r="J1947" s="177" t="inlineStr">
        <is>
          <t>ALC · E · 7</t>
        </is>
      </c>
      <c r="K1947" s="178" t="n"/>
      <c r="L1947" s="179" t="n"/>
      <c r="M1947" s="181" t="n"/>
      <c r="N1947" s="178" t="n"/>
      <c r="O1947" s="179" t="n"/>
    </row>
    <row r="1948" ht="18.75" customHeight="1">
      <c r="B1948" s="177" t="inlineStr">
        <is>
          <t>ÁREA · P · 0</t>
        </is>
      </c>
      <c r="C1948" s="178" t="n"/>
      <c r="D1948" s="179" t="n"/>
      <c r="E1948" s="181" t="n"/>
      <c r="F1948" s="178" t="n"/>
      <c r="G1948" s="179" t="n"/>
      <c r="J1948" s="177" t="inlineStr">
        <is>
          <t>ÁREA · P · 0</t>
        </is>
      </c>
      <c r="K1948" s="178" t="n"/>
      <c r="L1948" s="179" t="n"/>
      <c r="M1948" s="181" t="n"/>
      <c r="N1948" s="178" t="n"/>
      <c r="O1948" s="179" t="n"/>
    </row>
    <row r="1949" ht="18.75" customHeight="1">
      <c r="B1949" s="177" t="inlineStr">
        <is>
          <t>ÁREA · P · 1 a 5</t>
        </is>
      </c>
      <c r="C1949" s="178" t="n"/>
      <c r="D1949" s="179" t="n"/>
      <c r="E1949" s="181" t="n"/>
      <c r="F1949" s="178" t="n"/>
      <c r="G1949" s="179" t="n"/>
      <c r="J1949" s="177" t="inlineStr">
        <is>
          <t>ÁREA · P · 1 a 5</t>
        </is>
      </c>
      <c r="K1949" s="178" t="n"/>
      <c r="L1949" s="179" t="n"/>
      <c r="M1949" s="181" t="n"/>
      <c r="N1949" s="178" t="n"/>
      <c r="O1949" s="179" t="n"/>
    </row>
    <row r="1950" ht="18.75" customHeight="1">
      <c r="B1950" s="177" t="inlineStr">
        <is>
          <t>ÁREA · P · 6 e 7</t>
        </is>
      </c>
      <c r="C1950" s="178" t="n"/>
      <c r="D1950" s="179" t="n"/>
      <c r="E1950" s="181" t="n"/>
      <c r="F1950" s="178" t="n"/>
      <c r="G1950" s="179" t="n"/>
      <c r="J1950" s="177" t="inlineStr">
        <is>
          <t>ÁREA · P · 6 e 7</t>
        </is>
      </c>
      <c r="K1950" s="178" t="n"/>
      <c r="L1950" s="179" t="n"/>
      <c r="M1950" s="181" t="n"/>
      <c r="N1950" s="178" t="n"/>
      <c r="O1950" s="179" t="n"/>
    </row>
    <row r="1951" ht="18.75" customHeight="1">
      <c r="B1951" s="177" t="inlineStr">
        <is>
          <t>ÁREA · E · 0</t>
        </is>
      </c>
      <c r="C1951" s="178" t="n"/>
      <c r="D1951" s="179" t="n"/>
      <c r="E1951" s="181" t="n"/>
      <c r="F1951" s="178" t="n"/>
      <c r="G1951" s="179" t="n"/>
      <c r="J1951" s="177" t="inlineStr">
        <is>
          <t>ÁREA · E · 0</t>
        </is>
      </c>
      <c r="K1951" s="178" t="n"/>
      <c r="L1951" s="179" t="n"/>
      <c r="M1951" s="181" t="n"/>
      <c r="N1951" s="178" t="n"/>
      <c r="O1951" s="179" t="n"/>
    </row>
    <row r="1952" ht="18.75" customHeight="1">
      <c r="B1952" s="177" t="inlineStr">
        <is>
          <t>ÁREA · E · 1 a 5</t>
        </is>
      </c>
      <c r="C1952" s="178" t="n"/>
      <c r="D1952" s="179" t="n"/>
      <c r="E1952" s="181" t="n"/>
      <c r="F1952" s="178" t="n"/>
      <c r="G1952" s="179" t="n"/>
      <c r="J1952" s="177" t="inlineStr">
        <is>
          <t>ÁREA · E · 1 a 5</t>
        </is>
      </c>
      <c r="K1952" s="178" t="n"/>
      <c r="L1952" s="179" t="n"/>
      <c r="M1952" s="181" t="n"/>
      <c r="N1952" s="178" t="n"/>
      <c r="O1952" s="179" t="n"/>
    </row>
    <row r="1953" ht="18.75" customHeight="1">
      <c r="B1953" s="177" t="inlineStr">
        <is>
          <t>ÁREA · E · 6</t>
        </is>
      </c>
      <c r="C1953" s="178" t="n"/>
      <c r="D1953" s="179" t="n"/>
      <c r="E1953" s="181" t="n"/>
      <c r="F1953" s="178" t="n"/>
      <c r="G1953" s="179" t="n"/>
      <c r="J1953" s="177" t="inlineStr">
        <is>
          <t>ÁREA · E · 6</t>
        </is>
      </c>
      <c r="K1953" s="178" t="n"/>
      <c r="L1953" s="179" t="n"/>
      <c r="M1953" s="181" t="n"/>
      <c r="N1953" s="178" t="n"/>
      <c r="O1953" s="179" t="n"/>
    </row>
    <row r="1954" ht="18.75" customHeight="1">
      <c r="B1954" s="177" t="inlineStr">
        <is>
          <t>ÁREA · E · 7</t>
        </is>
      </c>
      <c r="C1954" s="178" t="n"/>
      <c r="D1954" s="179" t="n"/>
      <c r="E1954" s="181" t="n"/>
      <c r="F1954" s="178" t="n"/>
      <c r="G1954" s="179" t="n"/>
      <c r="J1954" s="177" t="inlineStr">
        <is>
          <t>ÁREA · E · 7</t>
        </is>
      </c>
      <c r="K1954" s="178" t="n"/>
      <c r="L1954" s="179" t="n"/>
      <c r="M1954" s="181" t="n"/>
      <c r="N1954" s="178" t="n"/>
      <c r="O1954" s="179" t="n"/>
    </row>
    <row r="1955" ht="18.75" customHeight="1"/>
    <row r="1956" ht="18.75" customHeight="1">
      <c r="B1956" s="177" t="inlineStr">
        <is>
          <t>REQUISITOS</t>
        </is>
      </c>
      <c r="C1956" s="178" t="n"/>
      <c r="D1956" s="178" t="n"/>
      <c r="E1956" s="178" t="n"/>
      <c r="F1956" s="178" t="n"/>
      <c r="G1956" s="179" t="n"/>
      <c r="J1956" s="177" t="inlineStr">
        <is>
          <t>REQUISITOS</t>
        </is>
      </c>
      <c r="K1956" s="178" t="n"/>
      <c r="L1956" s="178" t="n"/>
      <c r="M1956" s="178" t="n"/>
      <c r="N1956" s="178" t="n"/>
      <c r="O1956" s="179" t="n"/>
    </row>
    <row r="1957" ht="18.75" customHeight="1">
      <c r="B1957" s="183" t="n"/>
      <c r="C1957" s="184" t="n"/>
      <c r="D1957" s="184" t="n"/>
      <c r="E1957" s="184" t="n"/>
      <c r="F1957" s="184" t="n"/>
      <c r="G1957" s="185" t="n"/>
      <c r="J1957" s="183" t="n"/>
      <c r="K1957" s="184" t="n"/>
      <c r="L1957" s="184" t="n"/>
      <c r="M1957" s="184" t="n"/>
      <c r="N1957" s="184" t="n"/>
      <c r="O1957" s="185" t="n"/>
    </row>
    <row r="1958" ht="18.75" customHeight="1">
      <c r="B1958" s="186" t="n"/>
      <c r="G1958" s="187" t="n"/>
      <c r="J1958" s="186" t="n"/>
      <c r="O1958" s="187" t="n"/>
    </row>
    <row r="1959" ht="18.75" customHeight="1">
      <c r="B1959" s="186" t="n"/>
      <c r="G1959" s="187" t="n"/>
      <c r="J1959" s="186" t="n"/>
      <c r="O1959" s="187" t="n"/>
    </row>
    <row r="1960" ht="18.75" customHeight="1">
      <c r="B1960" s="188" t="n"/>
      <c r="C1960" s="189" t="n"/>
      <c r="D1960" s="189" t="n"/>
      <c r="E1960" s="189" t="n"/>
      <c r="F1960" s="189" t="n"/>
      <c r="G1960" s="190" t="n"/>
      <c r="J1960" s="188" t="n"/>
      <c r="K1960" s="189" t="n"/>
      <c r="L1960" s="189" t="n"/>
      <c r="M1960" s="189" t="n"/>
      <c r="N1960" s="189" t="n"/>
      <c r="O1960" s="190" t="n"/>
    </row>
    <row r="1961" ht="18.75" customHeight="1"/>
    <row r="1962" ht="18.75" customHeight="1">
      <c r="B1962" s="177" t="inlineStr">
        <is>
          <t>EFEITO</t>
        </is>
      </c>
      <c r="C1962" s="178" t="n"/>
      <c r="D1962" s="178" t="n"/>
      <c r="E1962" s="178" t="n"/>
      <c r="F1962" s="178" t="n"/>
      <c r="G1962" s="179" t="n"/>
      <c r="J1962" s="177" t="inlineStr">
        <is>
          <t>EFEITO</t>
        </is>
      </c>
      <c r="K1962" s="178" t="n"/>
      <c r="L1962" s="178" t="n"/>
      <c r="M1962" s="178" t="n"/>
      <c r="N1962" s="178" t="n"/>
      <c r="O1962" s="179" t="n"/>
    </row>
    <row r="1963" ht="18.75" customHeight="1">
      <c r="B1963" s="183" t="n"/>
      <c r="C1963" s="184" t="n"/>
      <c r="D1963" s="184" t="n"/>
      <c r="E1963" s="184" t="n"/>
      <c r="F1963" s="184" t="n"/>
      <c r="G1963" s="185" t="n"/>
      <c r="J1963" s="183" t="n"/>
      <c r="K1963" s="184" t="n"/>
      <c r="L1963" s="184" t="n"/>
      <c r="M1963" s="184" t="n"/>
      <c r="N1963" s="184" t="n"/>
      <c r="O1963" s="185" t="n"/>
    </row>
    <row r="1964" ht="18.75" customHeight="1">
      <c r="B1964" s="186" t="n"/>
      <c r="G1964" s="187" t="n"/>
      <c r="J1964" s="186" t="n"/>
      <c r="O1964" s="187" t="n"/>
    </row>
    <row r="1965" ht="18.75" customHeight="1">
      <c r="B1965" s="186" t="n"/>
      <c r="G1965" s="187" t="n"/>
      <c r="J1965" s="186" t="n"/>
      <c r="O1965" s="187" t="n"/>
    </row>
    <row r="1966" ht="18.75" customHeight="1">
      <c r="B1966" s="188" t="n"/>
      <c r="C1966" s="189" t="n"/>
      <c r="D1966" s="189" t="n"/>
      <c r="E1966" s="189" t="n"/>
      <c r="F1966" s="189" t="n"/>
      <c r="G1966" s="190" t="n"/>
      <c r="J1966" s="188" t="n"/>
      <c r="K1966" s="189" t="n"/>
      <c r="L1966" s="189" t="n"/>
      <c r="M1966" s="189" t="n"/>
      <c r="N1966" s="189" t="n"/>
      <c r="O1966" s="190" t="n"/>
    </row>
    <row r="1967" ht="18.75" customHeight="1"/>
    <row r="1968" ht="18.75" customHeight="1"/>
    <row r="1969" ht="18.75" customHeight="1">
      <c r="B1969" s="175">
        <f>IF('DADOS_FORMAS'!$AD4="","","⚠ "&amp;'DADOS_FORMAS'!$AD4)</f>
        <v/>
      </c>
      <c r="J1969" s="175">
        <f>IF('DADOS_FORMAS'!$AD5="","","⚠ "&amp;'DADOS_FORMAS'!$AD5)</f>
        <v/>
      </c>
    </row>
    <row r="1970" ht="18.75" customHeight="1"/>
    <row r="1971" ht="18.75" customHeight="1"/>
    <row r="1972" ht="18.75" customHeight="1">
      <c r="B1972" s="176" t="inlineStr">
        <is>
          <t>FORMAS · 5</t>
        </is>
      </c>
      <c r="J1972" s="176" t="inlineStr">
        <is>
          <t>FORMAS · 6</t>
        </is>
      </c>
    </row>
    <row r="1973" ht="18.75" customHeight="1">
      <c r="B1973" s="177" t="inlineStr">
        <is>
          <t>TIPO</t>
        </is>
      </c>
      <c r="C1973" s="178" t="n"/>
      <c r="D1973" s="178" t="n"/>
      <c r="E1973" s="179" t="n"/>
      <c r="F1973" s="177" t="inlineStr">
        <is>
          <t>MESTRE VIU</t>
        </is>
      </c>
      <c r="G1973" s="179" t="n"/>
      <c r="J1973" s="177" t="inlineStr">
        <is>
          <t>TIPO</t>
        </is>
      </c>
      <c r="K1973" s="178" t="n"/>
      <c r="L1973" s="178" t="n"/>
      <c r="M1973" s="179" t="n"/>
      <c r="N1973" s="177" t="inlineStr">
        <is>
          <t>MESTRE VIU</t>
        </is>
      </c>
      <c r="O1973" s="179" t="n"/>
    </row>
    <row r="1974" ht="18.75" customHeight="1">
      <c r="B1974" s="181" t="inlineStr">
        <is>
          <t>Forma</t>
        </is>
      </c>
      <c r="C1974" s="178" t="n"/>
      <c r="D1974" s="178" t="n"/>
      <c r="E1974" s="179" t="n"/>
      <c r="F1974" s="180" t="b">
        <v>0</v>
      </c>
      <c r="G1974" s="179" t="n"/>
      <c r="J1974" s="181" t="inlineStr">
        <is>
          <t>Forma</t>
        </is>
      </c>
      <c r="K1974" s="178" t="n"/>
      <c r="L1974" s="178" t="n"/>
      <c r="M1974" s="179" t="n"/>
      <c r="N1974" s="180" t="b">
        <v>0</v>
      </c>
      <c r="O1974" s="179" t="n"/>
    </row>
    <row r="1975" ht="18.75" customHeight="1">
      <c r="B1975" s="177" t="inlineStr">
        <is>
          <t>NOME</t>
        </is>
      </c>
      <c r="C1975" s="178" t="n"/>
      <c r="D1975" s="178" t="n"/>
      <c r="E1975" s="178" t="n"/>
      <c r="F1975" s="178" t="n"/>
      <c r="G1975" s="179" t="n"/>
      <c r="J1975" s="177" t="inlineStr">
        <is>
          <t>NOME</t>
        </is>
      </c>
      <c r="K1975" s="178" t="n"/>
      <c r="L1975" s="178" t="n"/>
      <c r="M1975" s="178" t="n"/>
      <c r="N1975" s="178" t="n"/>
      <c r="O1975" s="179" t="n"/>
    </row>
    <row r="1976" ht="18.75" customHeight="1">
      <c r="B1976" s="181" t="n"/>
      <c r="C1976" s="178" t="n"/>
      <c r="D1976" s="178" t="n"/>
      <c r="E1976" s="178" t="n"/>
      <c r="F1976" s="178" t="n"/>
      <c r="G1976" s="179" t="n"/>
      <c r="J1976" s="181" t="n"/>
      <c r="K1976" s="178" t="n"/>
      <c r="L1976" s="178" t="n"/>
      <c r="M1976" s="178" t="n"/>
      <c r="N1976" s="178" t="n"/>
      <c r="O1976" s="179" t="n"/>
    </row>
    <row r="1977" ht="18.75" customHeight="1">
      <c r="B1977" s="177" t="inlineStr">
        <is>
          <t>BASE DO LIVRO</t>
        </is>
      </c>
      <c r="C1977" s="178" t="n"/>
      <c r="D1977" s="179" t="n"/>
      <c r="E1977" s="181" t="n"/>
      <c r="F1977" s="178" t="n"/>
      <c r="G1977" s="179" t="n"/>
      <c r="J1977" s="177" t="inlineStr">
        <is>
          <t>BASE DO LIVRO</t>
        </is>
      </c>
      <c r="K1977" s="178" t="n"/>
      <c r="L1977" s="179" t="n"/>
      <c r="M1977" s="181" t="n"/>
      <c r="N1977" s="178" t="n"/>
      <c r="O1977" s="179" t="n"/>
    </row>
    <row r="1978" ht="18.75" customHeight="1">
      <c r="B1978" s="177" t="inlineStr">
        <is>
          <t>FAMÍLIA</t>
        </is>
      </c>
      <c r="C1978" s="178" t="n"/>
      <c r="D1978" s="179" t="n"/>
      <c r="E1978" s="181" t="n"/>
      <c r="F1978" s="178" t="n"/>
      <c r="G1978" s="179" t="n"/>
      <c r="J1978" s="177" t="inlineStr">
        <is>
          <t>FAMÍLIA</t>
        </is>
      </c>
      <c r="K1978" s="178" t="n"/>
      <c r="L1978" s="179" t="n"/>
      <c r="M1978" s="181" t="n"/>
      <c r="N1978" s="178" t="n"/>
      <c r="O1978" s="179" t="n"/>
    </row>
    <row r="1979" ht="18.75" customHeight="1">
      <c r="B1979" s="177" t="inlineStr">
        <is>
          <t>PESO</t>
        </is>
      </c>
      <c r="C1979" s="178" t="n"/>
      <c r="D1979" s="179" t="n"/>
      <c r="E1979" s="181" t="n"/>
      <c r="F1979" s="178" t="n"/>
      <c r="G1979" s="179" t="n"/>
      <c r="J1979" s="177" t="inlineStr">
        <is>
          <t>PESO</t>
        </is>
      </c>
      <c r="K1979" s="178" t="n"/>
      <c r="L1979" s="179" t="n"/>
      <c r="M1979" s="181" t="n"/>
      <c r="N1979" s="178" t="n"/>
      <c r="O1979" s="179" t="n"/>
    </row>
    <row r="1980" ht="18.75" customHeight="1">
      <c r="B1980" s="177" t="inlineStr">
        <is>
          <t>RESOLUÇÃO</t>
        </is>
      </c>
      <c r="C1980" s="178" t="n"/>
      <c r="D1980" s="179" t="n"/>
      <c r="E1980" s="181" t="n"/>
      <c r="F1980" s="178" t="n"/>
      <c r="G1980" s="179" t="n"/>
      <c r="J1980" s="177" t="inlineStr">
        <is>
          <t>RESOLUÇÃO</t>
        </is>
      </c>
      <c r="K1980" s="178" t="n"/>
      <c r="L1980" s="179" t="n"/>
      <c r="M1980" s="181" t="n"/>
      <c r="N1980" s="178" t="n"/>
      <c r="O1980" s="179" t="n"/>
    </row>
    <row r="1981" ht="18.75" customHeight="1">
      <c r="B1981" s="177" t="inlineStr">
        <is>
          <t>RESULTADO</t>
        </is>
      </c>
      <c r="C1981" s="178" t="n"/>
      <c r="D1981" s="179" t="n"/>
      <c r="E1981" s="181" t="n"/>
      <c r="F1981" s="178" t="n"/>
      <c r="G1981" s="179" t="n"/>
      <c r="J1981" s="177" t="inlineStr">
        <is>
          <t>RESULTADO</t>
        </is>
      </c>
      <c r="K1981" s="178" t="n"/>
      <c r="L1981" s="179" t="n"/>
      <c r="M1981" s="181" t="n"/>
      <c r="N1981" s="178" t="n"/>
      <c r="O1981" s="179" t="n"/>
    </row>
    <row r="1982" ht="18.75" customHeight="1">
      <c r="B1982" s="177" t="inlineStr">
        <is>
          <t>EXIGE TR</t>
        </is>
      </c>
      <c r="C1982" s="178" t="n"/>
      <c r="D1982" s="179" t="n"/>
      <c r="E1982" s="181" t="n"/>
      <c r="F1982" s="178" t="n"/>
      <c r="G1982" s="179" t="n"/>
      <c r="J1982" s="177" t="inlineStr">
        <is>
          <t>EXIGE TR</t>
        </is>
      </c>
      <c r="K1982" s="178" t="n"/>
      <c r="L1982" s="179" t="n"/>
      <c r="M1982" s="181" t="n"/>
      <c r="N1982" s="178" t="n"/>
      <c r="O1982" s="179" t="n"/>
    </row>
    <row r="1983" ht="18.75" customHeight="1">
      <c r="B1983" s="177" t="inlineStr">
        <is>
          <t>CLASSE 0</t>
        </is>
      </c>
      <c r="C1983" s="178" t="n"/>
      <c r="D1983" s="179" t="n"/>
      <c r="E1983" s="181" t="n"/>
      <c r="F1983" s="178" t="n"/>
      <c r="G1983" s="179" t="n"/>
      <c r="J1983" s="177" t="inlineStr">
        <is>
          <t>CLASSE 0</t>
        </is>
      </c>
      <c r="K1983" s="178" t="n"/>
      <c r="L1983" s="179" t="n"/>
      <c r="M1983" s="181" t="n"/>
      <c r="N1983" s="178" t="n"/>
      <c r="O1983" s="179" t="n"/>
    </row>
    <row r="1984" ht="18.75" customHeight="1">
      <c r="B1984" s="177" t="inlineStr">
        <is>
          <t>RESTRIÇÃO EMBUTIDA</t>
        </is>
      </c>
      <c r="C1984" s="178" t="n"/>
      <c r="D1984" s="179" t="n"/>
      <c r="E1984" s="181" t="n"/>
      <c r="F1984" s="178" t="n"/>
      <c r="G1984" s="179" t="n"/>
      <c r="J1984" s="177" t="inlineStr">
        <is>
          <t>RESTRIÇÃO EMBUTIDA</t>
        </is>
      </c>
      <c r="K1984" s="178" t="n"/>
      <c r="L1984" s="179" t="n"/>
      <c r="M1984" s="181" t="n"/>
      <c r="N1984" s="178" t="n"/>
      <c r="O1984" s="179" t="n"/>
    </row>
    <row r="1985" ht="18.75" customHeight="1">
      <c r="B1985" s="177" t="inlineStr">
        <is>
          <t>ESCADA DE ALCANCE</t>
        </is>
      </c>
      <c r="C1985" s="178" t="n"/>
      <c r="D1985" s="179" t="n"/>
      <c r="E1985" s="181" t="n"/>
      <c r="F1985" s="178" t="n"/>
      <c r="G1985" s="179" t="n"/>
      <c r="J1985" s="177" t="inlineStr">
        <is>
          <t>ESCADA DE ALCANCE</t>
        </is>
      </c>
      <c r="K1985" s="178" t="n"/>
      <c r="L1985" s="179" t="n"/>
      <c r="M1985" s="181" t="n"/>
      <c r="N1985" s="178" t="n"/>
      <c r="O1985" s="179" t="n"/>
    </row>
    <row r="1986" ht="18.75" customHeight="1">
      <c r="B1986" s="177" t="inlineStr">
        <is>
          <t>ESCADA DE ÁREA</t>
        </is>
      </c>
      <c r="C1986" s="178" t="n"/>
      <c r="D1986" s="179" t="n"/>
      <c r="E1986" s="181" t="n"/>
      <c r="F1986" s="178" t="n"/>
      <c r="G1986" s="179" t="n"/>
      <c r="J1986" s="177" t="inlineStr">
        <is>
          <t>ESCADA DE ÁREA</t>
        </is>
      </c>
      <c r="K1986" s="178" t="n"/>
      <c r="L1986" s="179" t="n"/>
      <c r="M1986" s="181" t="n"/>
      <c r="N1986" s="178" t="n"/>
      <c r="O1986" s="179" t="n"/>
    </row>
    <row r="1987" ht="18.75" customHeight="1">
      <c r="B1987" s="177" t="inlineStr">
        <is>
          <t>ALC · P · 0</t>
        </is>
      </c>
      <c r="C1987" s="178" t="n"/>
      <c r="D1987" s="179" t="n"/>
      <c r="E1987" s="181" t="n"/>
      <c r="F1987" s="178" t="n"/>
      <c r="G1987" s="179" t="n"/>
      <c r="J1987" s="177" t="inlineStr">
        <is>
          <t>ALC · P · 0</t>
        </is>
      </c>
      <c r="K1987" s="178" t="n"/>
      <c r="L1987" s="179" t="n"/>
      <c r="M1987" s="181" t="n"/>
      <c r="N1987" s="178" t="n"/>
      <c r="O1987" s="179" t="n"/>
    </row>
    <row r="1988" ht="18.75" customHeight="1">
      <c r="B1988" s="177" t="inlineStr">
        <is>
          <t>ALC · P · 1 a 5</t>
        </is>
      </c>
      <c r="C1988" s="178" t="n"/>
      <c r="D1988" s="179" t="n"/>
      <c r="E1988" s="181" t="n"/>
      <c r="F1988" s="178" t="n"/>
      <c r="G1988" s="179" t="n"/>
      <c r="J1988" s="177" t="inlineStr">
        <is>
          <t>ALC · P · 1 a 5</t>
        </is>
      </c>
      <c r="K1988" s="178" t="n"/>
      <c r="L1988" s="179" t="n"/>
      <c r="M1988" s="181" t="n"/>
      <c r="N1988" s="178" t="n"/>
      <c r="O1988" s="179" t="n"/>
    </row>
    <row r="1989" ht="18.75" customHeight="1">
      <c r="B1989" s="177" t="inlineStr">
        <is>
          <t>ALC · P · 6 e 7</t>
        </is>
      </c>
      <c r="C1989" s="178" t="n"/>
      <c r="D1989" s="179" t="n"/>
      <c r="E1989" s="181" t="n"/>
      <c r="F1989" s="178" t="n"/>
      <c r="G1989" s="179" t="n"/>
      <c r="J1989" s="177" t="inlineStr">
        <is>
          <t>ALC · P · 6 e 7</t>
        </is>
      </c>
      <c r="K1989" s="178" t="n"/>
      <c r="L1989" s="179" t="n"/>
      <c r="M1989" s="181" t="n"/>
      <c r="N1989" s="178" t="n"/>
      <c r="O1989" s="179" t="n"/>
    </row>
    <row r="1990" ht="18.75" customHeight="1">
      <c r="B1990" s="177" t="inlineStr">
        <is>
          <t>ALC · E · 0</t>
        </is>
      </c>
      <c r="C1990" s="178" t="n"/>
      <c r="D1990" s="179" t="n"/>
      <c r="E1990" s="181" t="n"/>
      <c r="F1990" s="178" t="n"/>
      <c r="G1990" s="179" t="n"/>
      <c r="J1990" s="177" t="inlineStr">
        <is>
          <t>ALC · E · 0</t>
        </is>
      </c>
      <c r="K1990" s="178" t="n"/>
      <c r="L1990" s="179" t="n"/>
      <c r="M1990" s="181" t="n"/>
      <c r="N1990" s="178" t="n"/>
      <c r="O1990" s="179" t="n"/>
    </row>
    <row r="1991" ht="18.75" customHeight="1">
      <c r="B1991" s="177" t="inlineStr">
        <is>
          <t>ALC · E · 1 a 5</t>
        </is>
      </c>
      <c r="C1991" s="178" t="n"/>
      <c r="D1991" s="179" t="n"/>
      <c r="E1991" s="181" t="n"/>
      <c r="F1991" s="178" t="n"/>
      <c r="G1991" s="179" t="n"/>
      <c r="J1991" s="177" t="inlineStr">
        <is>
          <t>ALC · E · 1 a 5</t>
        </is>
      </c>
      <c r="K1991" s="178" t="n"/>
      <c r="L1991" s="179" t="n"/>
      <c r="M1991" s="181" t="n"/>
      <c r="N1991" s="178" t="n"/>
      <c r="O1991" s="179" t="n"/>
    </row>
    <row r="1992" ht="18.75" customHeight="1">
      <c r="B1992" s="177" t="inlineStr">
        <is>
          <t>ALC · E · 6</t>
        </is>
      </c>
      <c r="C1992" s="178" t="n"/>
      <c r="D1992" s="179" t="n"/>
      <c r="E1992" s="181" t="n"/>
      <c r="F1992" s="178" t="n"/>
      <c r="G1992" s="179" t="n"/>
      <c r="J1992" s="177" t="inlineStr">
        <is>
          <t>ALC · E · 6</t>
        </is>
      </c>
      <c r="K1992" s="178" t="n"/>
      <c r="L1992" s="179" t="n"/>
      <c r="M1992" s="181" t="n"/>
      <c r="N1992" s="178" t="n"/>
      <c r="O1992" s="179" t="n"/>
    </row>
    <row r="1993" ht="18.75" customHeight="1">
      <c r="B1993" s="177" t="inlineStr">
        <is>
          <t>ALC · E · 7</t>
        </is>
      </c>
      <c r="C1993" s="178" t="n"/>
      <c r="D1993" s="179" t="n"/>
      <c r="E1993" s="181" t="n"/>
      <c r="F1993" s="178" t="n"/>
      <c r="G1993" s="179" t="n"/>
      <c r="J1993" s="177" t="inlineStr">
        <is>
          <t>ALC · E · 7</t>
        </is>
      </c>
      <c r="K1993" s="178" t="n"/>
      <c r="L1993" s="179" t="n"/>
      <c r="M1993" s="181" t="n"/>
      <c r="N1993" s="178" t="n"/>
      <c r="O1993" s="179" t="n"/>
    </row>
    <row r="1994" ht="18.75" customHeight="1">
      <c r="B1994" s="177" t="inlineStr">
        <is>
          <t>ÁREA · P · 0</t>
        </is>
      </c>
      <c r="C1994" s="178" t="n"/>
      <c r="D1994" s="179" t="n"/>
      <c r="E1994" s="181" t="n"/>
      <c r="F1994" s="178" t="n"/>
      <c r="G1994" s="179" t="n"/>
      <c r="J1994" s="177" t="inlineStr">
        <is>
          <t>ÁREA · P · 0</t>
        </is>
      </c>
      <c r="K1994" s="178" t="n"/>
      <c r="L1994" s="179" t="n"/>
      <c r="M1994" s="181" t="n"/>
      <c r="N1994" s="178" t="n"/>
      <c r="O1994" s="179" t="n"/>
    </row>
    <row r="1995" ht="18.75" customHeight="1">
      <c r="B1995" s="177" t="inlineStr">
        <is>
          <t>ÁREA · P · 1 a 5</t>
        </is>
      </c>
      <c r="C1995" s="178" t="n"/>
      <c r="D1995" s="179" t="n"/>
      <c r="E1995" s="181" t="n"/>
      <c r="F1995" s="178" t="n"/>
      <c r="G1995" s="179" t="n"/>
      <c r="J1995" s="177" t="inlineStr">
        <is>
          <t>ÁREA · P · 1 a 5</t>
        </is>
      </c>
      <c r="K1995" s="178" t="n"/>
      <c r="L1995" s="179" t="n"/>
      <c r="M1995" s="181" t="n"/>
      <c r="N1995" s="178" t="n"/>
      <c r="O1995" s="179" t="n"/>
    </row>
    <row r="1996" ht="18.75" customHeight="1">
      <c r="B1996" s="177" t="inlineStr">
        <is>
          <t>ÁREA · P · 6 e 7</t>
        </is>
      </c>
      <c r="C1996" s="178" t="n"/>
      <c r="D1996" s="179" t="n"/>
      <c r="E1996" s="181" t="n"/>
      <c r="F1996" s="178" t="n"/>
      <c r="G1996" s="179" t="n"/>
      <c r="J1996" s="177" t="inlineStr">
        <is>
          <t>ÁREA · P · 6 e 7</t>
        </is>
      </c>
      <c r="K1996" s="178" t="n"/>
      <c r="L1996" s="179" t="n"/>
      <c r="M1996" s="181" t="n"/>
      <c r="N1996" s="178" t="n"/>
      <c r="O1996" s="179" t="n"/>
    </row>
    <row r="1997" ht="18.75" customHeight="1">
      <c r="B1997" s="177" t="inlineStr">
        <is>
          <t>ÁREA · E · 0</t>
        </is>
      </c>
      <c r="C1997" s="178" t="n"/>
      <c r="D1997" s="179" t="n"/>
      <c r="E1997" s="181" t="n"/>
      <c r="F1997" s="178" t="n"/>
      <c r="G1997" s="179" t="n"/>
      <c r="J1997" s="177" t="inlineStr">
        <is>
          <t>ÁREA · E · 0</t>
        </is>
      </c>
      <c r="K1997" s="178" t="n"/>
      <c r="L1997" s="179" t="n"/>
      <c r="M1997" s="181" t="n"/>
      <c r="N1997" s="178" t="n"/>
      <c r="O1997" s="179" t="n"/>
    </row>
    <row r="1998" ht="18.75" customHeight="1">
      <c r="B1998" s="177" t="inlineStr">
        <is>
          <t>ÁREA · E · 1 a 5</t>
        </is>
      </c>
      <c r="C1998" s="178" t="n"/>
      <c r="D1998" s="179" t="n"/>
      <c r="E1998" s="181" t="n"/>
      <c r="F1998" s="178" t="n"/>
      <c r="G1998" s="179" t="n"/>
      <c r="J1998" s="177" t="inlineStr">
        <is>
          <t>ÁREA · E · 1 a 5</t>
        </is>
      </c>
      <c r="K1998" s="178" t="n"/>
      <c r="L1998" s="179" t="n"/>
      <c r="M1998" s="181" t="n"/>
      <c r="N1998" s="178" t="n"/>
      <c r="O1998" s="179" t="n"/>
    </row>
    <row r="1999" ht="18.75" customHeight="1">
      <c r="B1999" s="177" t="inlineStr">
        <is>
          <t>ÁREA · E · 6</t>
        </is>
      </c>
      <c r="C1999" s="178" t="n"/>
      <c r="D1999" s="179" t="n"/>
      <c r="E1999" s="181" t="n"/>
      <c r="F1999" s="178" t="n"/>
      <c r="G1999" s="179" t="n"/>
      <c r="J1999" s="177" t="inlineStr">
        <is>
          <t>ÁREA · E · 6</t>
        </is>
      </c>
      <c r="K1999" s="178" t="n"/>
      <c r="L1999" s="179" t="n"/>
      <c r="M1999" s="181" t="n"/>
      <c r="N1999" s="178" t="n"/>
      <c r="O1999" s="179" t="n"/>
    </row>
    <row r="2000" ht="18.75" customHeight="1">
      <c r="B2000" s="177" t="inlineStr">
        <is>
          <t>ÁREA · E · 7</t>
        </is>
      </c>
      <c r="C2000" s="178" t="n"/>
      <c r="D2000" s="179" t="n"/>
      <c r="E2000" s="181" t="n"/>
      <c r="F2000" s="178" t="n"/>
      <c r="G2000" s="179" t="n"/>
      <c r="J2000" s="177" t="inlineStr">
        <is>
          <t>ÁREA · E · 7</t>
        </is>
      </c>
      <c r="K2000" s="178" t="n"/>
      <c r="L2000" s="179" t="n"/>
      <c r="M2000" s="181" t="n"/>
      <c r="N2000" s="178" t="n"/>
      <c r="O2000" s="179" t="n"/>
    </row>
    <row r="2001" ht="18.75" customHeight="1"/>
    <row r="2002" ht="18.75" customHeight="1">
      <c r="B2002" s="177" t="inlineStr">
        <is>
          <t>REQUISITOS</t>
        </is>
      </c>
      <c r="C2002" s="178" t="n"/>
      <c r="D2002" s="178" t="n"/>
      <c r="E2002" s="178" t="n"/>
      <c r="F2002" s="178" t="n"/>
      <c r="G2002" s="179" t="n"/>
      <c r="J2002" s="177" t="inlineStr">
        <is>
          <t>REQUISITOS</t>
        </is>
      </c>
      <c r="K2002" s="178" t="n"/>
      <c r="L2002" s="178" t="n"/>
      <c r="M2002" s="178" t="n"/>
      <c r="N2002" s="178" t="n"/>
      <c r="O2002" s="179" t="n"/>
    </row>
    <row r="2003" ht="18.75" customHeight="1">
      <c r="B2003" s="183" t="n"/>
      <c r="C2003" s="184" t="n"/>
      <c r="D2003" s="184" t="n"/>
      <c r="E2003" s="184" t="n"/>
      <c r="F2003" s="184" t="n"/>
      <c r="G2003" s="185" t="n"/>
      <c r="J2003" s="183" t="n"/>
      <c r="K2003" s="184" t="n"/>
      <c r="L2003" s="184" t="n"/>
      <c r="M2003" s="184" t="n"/>
      <c r="N2003" s="184" t="n"/>
      <c r="O2003" s="185" t="n"/>
    </row>
    <row r="2004" ht="18.75" customHeight="1">
      <c r="B2004" s="186" t="n"/>
      <c r="G2004" s="187" t="n"/>
      <c r="J2004" s="186" t="n"/>
      <c r="O2004" s="187" t="n"/>
    </row>
    <row r="2005" ht="18.75" customHeight="1">
      <c r="B2005" s="186" t="n"/>
      <c r="G2005" s="187" t="n"/>
      <c r="J2005" s="186" t="n"/>
      <c r="O2005" s="187" t="n"/>
    </row>
    <row r="2006" ht="18.75" customHeight="1">
      <c r="B2006" s="188" t="n"/>
      <c r="C2006" s="189" t="n"/>
      <c r="D2006" s="189" t="n"/>
      <c r="E2006" s="189" t="n"/>
      <c r="F2006" s="189" t="n"/>
      <c r="G2006" s="190" t="n"/>
      <c r="J2006" s="188" t="n"/>
      <c r="K2006" s="189" t="n"/>
      <c r="L2006" s="189" t="n"/>
      <c r="M2006" s="189" t="n"/>
      <c r="N2006" s="189" t="n"/>
      <c r="O2006" s="190" t="n"/>
    </row>
    <row r="2007" ht="18.75" customHeight="1"/>
    <row r="2008" ht="18.75" customHeight="1">
      <c r="B2008" s="177" t="inlineStr">
        <is>
          <t>EFEITO</t>
        </is>
      </c>
      <c r="C2008" s="178" t="n"/>
      <c r="D2008" s="178" t="n"/>
      <c r="E2008" s="178" t="n"/>
      <c r="F2008" s="178" t="n"/>
      <c r="G2008" s="179" t="n"/>
      <c r="J2008" s="177" t="inlineStr">
        <is>
          <t>EFEITO</t>
        </is>
      </c>
      <c r="K2008" s="178" t="n"/>
      <c r="L2008" s="178" t="n"/>
      <c r="M2008" s="178" t="n"/>
      <c r="N2008" s="178" t="n"/>
      <c r="O2008" s="179" t="n"/>
    </row>
    <row r="2009" ht="18.75" customHeight="1">
      <c r="B2009" s="183" t="n"/>
      <c r="C2009" s="184" t="n"/>
      <c r="D2009" s="184" t="n"/>
      <c r="E2009" s="184" t="n"/>
      <c r="F2009" s="184" t="n"/>
      <c r="G2009" s="185" t="n"/>
      <c r="J2009" s="183" t="n"/>
      <c r="K2009" s="184" t="n"/>
      <c r="L2009" s="184" t="n"/>
      <c r="M2009" s="184" t="n"/>
      <c r="N2009" s="184" t="n"/>
      <c r="O2009" s="185" t="n"/>
    </row>
    <row r="2010" ht="18.75" customHeight="1">
      <c r="B2010" s="186" t="n"/>
      <c r="G2010" s="187" t="n"/>
      <c r="J2010" s="186" t="n"/>
      <c r="O2010" s="187" t="n"/>
    </row>
    <row r="2011" ht="18.75" customHeight="1">
      <c r="B2011" s="186" t="n"/>
      <c r="G2011" s="187" t="n"/>
      <c r="J2011" s="186" t="n"/>
      <c r="O2011" s="187" t="n"/>
    </row>
    <row r="2012" ht="18.75" customHeight="1">
      <c r="B2012" s="188" t="n"/>
      <c r="C2012" s="189" t="n"/>
      <c r="D2012" s="189" t="n"/>
      <c r="E2012" s="189" t="n"/>
      <c r="F2012" s="189" t="n"/>
      <c r="G2012" s="190" t="n"/>
      <c r="J2012" s="188" t="n"/>
      <c r="K2012" s="189" t="n"/>
      <c r="L2012" s="189" t="n"/>
      <c r="M2012" s="189" t="n"/>
      <c r="N2012" s="189" t="n"/>
      <c r="O2012" s="190" t="n"/>
    </row>
    <row r="2013" ht="18.75" customHeight="1"/>
    <row r="2014" ht="18.75" customHeight="1"/>
    <row r="2015" ht="18.75" customHeight="1">
      <c r="B2015" s="175">
        <f>IF('DADOS_FORMAS'!$AD6="","","⚠ "&amp;'DADOS_FORMAS'!$AD6)</f>
        <v/>
      </c>
      <c r="J2015" s="175">
        <f>IF('DADOS_FORMAS'!$AD7="","","⚠ "&amp;'DADOS_FORMAS'!$AD7)</f>
        <v/>
      </c>
    </row>
    <row r="2016" ht="18.75" customHeight="1"/>
    <row r="2017" ht="18.75" customHeight="1"/>
    <row r="2018" ht="18.75" customHeight="1">
      <c r="B2018" s="176" t="inlineStr">
        <is>
          <t>FORMAS · 7</t>
        </is>
      </c>
      <c r="J2018" s="176" t="inlineStr">
        <is>
          <t>FORMAS · 8</t>
        </is>
      </c>
    </row>
    <row r="2019" ht="18.75" customHeight="1">
      <c r="B2019" s="177" t="inlineStr">
        <is>
          <t>TIPO</t>
        </is>
      </c>
      <c r="C2019" s="178" t="n"/>
      <c r="D2019" s="178" t="n"/>
      <c r="E2019" s="179" t="n"/>
      <c r="F2019" s="177" t="inlineStr">
        <is>
          <t>MESTRE VIU</t>
        </is>
      </c>
      <c r="G2019" s="179" t="n"/>
      <c r="J2019" s="177" t="inlineStr">
        <is>
          <t>TIPO</t>
        </is>
      </c>
      <c r="K2019" s="178" t="n"/>
      <c r="L2019" s="178" t="n"/>
      <c r="M2019" s="179" t="n"/>
      <c r="N2019" s="177" t="inlineStr">
        <is>
          <t>MESTRE VIU</t>
        </is>
      </c>
      <c r="O2019" s="179" t="n"/>
    </row>
    <row r="2020" ht="18.75" customHeight="1">
      <c r="B2020" s="181" t="inlineStr">
        <is>
          <t>Forma</t>
        </is>
      </c>
      <c r="C2020" s="178" t="n"/>
      <c r="D2020" s="178" t="n"/>
      <c r="E2020" s="179" t="n"/>
      <c r="F2020" s="180" t="b">
        <v>0</v>
      </c>
      <c r="G2020" s="179" t="n"/>
      <c r="J2020" s="181" t="inlineStr">
        <is>
          <t>Forma</t>
        </is>
      </c>
      <c r="K2020" s="178" t="n"/>
      <c r="L2020" s="178" t="n"/>
      <c r="M2020" s="179" t="n"/>
      <c r="N2020" s="180" t="b">
        <v>0</v>
      </c>
      <c r="O2020" s="179" t="n"/>
    </row>
    <row r="2021" ht="18.75" customHeight="1">
      <c r="B2021" s="177" t="inlineStr">
        <is>
          <t>NOME</t>
        </is>
      </c>
      <c r="C2021" s="178" t="n"/>
      <c r="D2021" s="178" t="n"/>
      <c r="E2021" s="178" t="n"/>
      <c r="F2021" s="178" t="n"/>
      <c r="G2021" s="179" t="n"/>
      <c r="J2021" s="177" t="inlineStr">
        <is>
          <t>NOME</t>
        </is>
      </c>
      <c r="K2021" s="178" t="n"/>
      <c r="L2021" s="178" t="n"/>
      <c r="M2021" s="178" t="n"/>
      <c r="N2021" s="178" t="n"/>
      <c r="O2021" s="179" t="n"/>
    </row>
    <row r="2022" ht="18.75" customHeight="1">
      <c r="B2022" s="181" t="n"/>
      <c r="C2022" s="178" t="n"/>
      <c r="D2022" s="178" t="n"/>
      <c r="E2022" s="178" t="n"/>
      <c r="F2022" s="178" t="n"/>
      <c r="G2022" s="179" t="n"/>
      <c r="J2022" s="181" t="n"/>
      <c r="K2022" s="178" t="n"/>
      <c r="L2022" s="178" t="n"/>
      <c r="M2022" s="178" t="n"/>
      <c r="N2022" s="178" t="n"/>
      <c r="O2022" s="179" t="n"/>
    </row>
    <row r="2023" ht="18.75" customHeight="1">
      <c r="B2023" s="177" t="inlineStr">
        <is>
          <t>BASE DO LIVRO</t>
        </is>
      </c>
      <c r="C2023" s="178" t="n"/>
      <c r="D2023" s="179" t="n"/>
      <c r="E2023" s="181" t="n"/>
      <c r="F2023" s="178" t="n"/>
      <c r="G2023" s="179" t="n"/>
      <c r="J2023" s="177" t="inlineStr">
        <is>
          <t>BASE DO LIVRO</t>
        </is>
      </c>
      <c r="K2023" s="178" t="n"/>
      <c r="L2023" s="179" t="n"/>
      <c r="M2023" s="181" t="n"/>
      <c r="N2023" s="178" t="n"/>
      <c r="O2023" s="179" t="n"/>
    </row>
    <row r="2024" ht="18.75" customHeight="1">
      <c r="B2024" s="177" t="inlineStr">
        <is>
          <t>FAMÍLIA</t>
        </is>
      </c>
      <c r="C2024" s="178" t="n"/>
      <c r="D2024" s="179" t="n"/>
      <c r="E2024" s="181" t="n"/>
      <c r="F2024" s="178" t="n"/>
      <c r="G2024" s="179" t="n"/>
      <c r="J2024" s="177" t="inlineStr">
        <is>
          <t>FAMÍLIA</t>
        </is>
      </c>
      <c r="K2024" s="178" t="n"/>
      <c r="L2024" s="179" t="n"/>
      <c r="M2024" s="181" t="n"/>
      <c r="N2024" s="178" t="n"/>
      <c r="O2024" s="179" t="n"/>
    </row>
    <row r="2025" ht="18.75" customHeight="1">
      <c r="B2025" s="177" t="inlineStr">
        <is>
          <t>PESO</t>
        </is>
      </c>
      <c r="C2025" s="178" t="n"/>
      <c r="D2025" s="179" t="n"/>
      <c r="E2025" s="181" t="n"/>
      <c r="F2025" s="178" t="n"/>
      <c r="G2025" s="179" t="n"/>
      <c r="J2025" s="177" t="inlineStr">
        <is>
          <t>PESO</t>
        </is>
      </c>
      <c r="K2025" s="178" t="n"/>
      <c r="L2025" s="179" t="n"/>
      <c r="M2025" s="181" t="n"/>
      <c r="N2025" s="178" t="n"/>
      <c r="O2025" s="179" t="n"/>
    </row>
    <row r="2026" ht="18.75" customHeight="1">
      <c r="B2026" s="177" t="inlineStr">
        <is>
          <t>RESOLUÇÃO</t>
        </is>
      </c>
      <c r="C2026" s="178" t="n"/>
      <c r="D2026" s="179" t="n"/>
      <c r="E2026" s="181" t="n"/>
      <c r="F2026" s="178" t="n"/>
      <c r="G2026" s="179" t="n"/>
      <c r="J2026" s="177" t="inlineStr">
        <is>
          <t>RESOLUÇÃO</t>
        </is>
      </c>
      <c r="K2026" s="178" t="n"/>
      <c r="L2026" s="179" t="n"/>
      <c r="M2026" s="181" t="n"/>
      <c r="N2026" s="178" t="n"/>
      <c r="O2026" s="179" t="n"/>
    </row>
    <row r="2027" ht="18.75" customHeight="1">
      <c r="B2027" s="177" t="inlineStr">
        <is>
          <t>RESULTADO</t>
        </is>
      </c>
      <c r="C2027" s="178" t="n"/>
      <c r="D2027" s="179" t="n"/>
      <c r="E2027" s="181" t="n"/>
      <c r="F2027" s="178" t="n"/>
      <c r="G2027" s="179" t="n"/>
      <c r="J2027" s="177" t="inlineStr">
        <is>
          <t>RESULTADO</t>
        </is>
      </c>
      <c r="K2027" s="178" t="n"/>
      <c r="L2027" s="179" t="n"/>
      <c r="M2027" s="181" t="n"/>
      <c r="N2027" s="178" t="n"/>
      <c r="O2027" s="179" t="n"/>
    </row>
    <row r="2028" ht="18.75" customHeight="1">
      <c r="B2028" s="177" t="inlineStr">
        <is>
          <t>EXIGE TR</t>
        </is>
      </c>
      <c r="C2028" s="178" t="n"/>
      <c r="D2028" s="179" t="n"/>
      <c r="E2028" s="181" t="n"/>
      <c r="F2028" s="178" t="n"/>
      <c r="G2028" s="179" t="n"/>
      <c r="J2028" s="177" t="inlineStr">
        <is>
          <t>EXIGE TR</t>
        </is>
      </c>
      <c r="K2028" s="178" t="n"/>
      <c r="L2028" s="179" t="n"/>
      <c r="M2028" s="181" t="n"/>
      <c r="N2028" s="178" t="n"/>
      <c r="O2028" s="179" t="n"/>
    </row>
    <row r="2029" ht="18.75" customHeight="1">
      <c r="B2029" s="177" t="inlineStr">
        <is>
          <t>CLASSE 0</t>
        </is>
      </c>
      <c r="C2029" s="178" t="n"/>
      <c r="D2029" s="179" t="n"/>
      <c r="E2029" s="181" t="n"/>
      <c r="F2029" s="178" t="n"/>
      <c r="G2029" s="179" t="n"/>
      <c r="J2029" s="177" t="inlineStr">
        <is>
          <t>CLASSE 0</t>
        </is>
      </c>
      <c r="K2029" s="178" t="n"/>
      <c r="L2029" s="179" t="n"/>
      <c r="M2029" s="181" t="n"/>
      <c r="N2029" s="178" t="n"/>
      <c r="O2029" s="179" t="n"/>
    </row>
    <row r="2030" ht="18.75" customHeight="1">
      <c r="B2030" s="177" t="inlineStr">
        <is>
          <t>RESTRIÇÃO EMBUTIDA</t>
        </is>
      </c>
      <c r="C2030" s="178" t="n"/>
      <c r="D2030" s="179" t="n"/>
      <c r="E2030" s="181" t="n"/>
      <c r="F2030" s="178" t="n"/>
      <c r="G2030" s="179" t="n"/>
      <c r="J2030" s="177" t="inlineStr">
        <is>
          <t>RESTRIÇÃO EMBUTIDA</t>
        </is>
      </c>
      <c r="K2030" s="178" t="n"/>
      <c r="L2030" s="179" t="n"/>
      <c r="M2030" s="181" t="n"/>
      <c r="N2030" s="178" t="n"/>
      <c r="O2030" s="179" t="n"/>
    </row>
    <row r="2031" ht="18.75" customHeight="1">
      <c r="B2031" s="177" t="inlineStr">
        <is>
          <t>ESCADA DE ALCANCE</t>
        </is>
      </c>
      <c r="C2031" s="178" t="n"/>
      <c r="D2031" s="179" t="n"/>
      <c r="E2031" s="181" t="n"/>
      <c r="F2031" s="178" t="n"/>
      <c r="G2031" s="179" t="n"/>
      <c r="J2031" s="177" t="inlineStr">
        <is>
          <t>ESCADA DE ALCANCE</t>
        </is>
      </c>
      <c r="K2031" s="178" t="n"/>
      <c r="L2031" s="179" t="n"/>
      <c r="M2031" s="181" t="n"/>
      <c r="N2031" s="178" t="n"/>
      <c r="O2031" s="179" t="n"/>
    </row>
    <row r="2032" ht="18.75" customHeight="1">
      <c r="B2032" s="177" t="inlineStr">
        <is>
          <t>ESCADA DE ÁREA</t>
        </is>
      </c>
      <c r="C2032" s="178" t="n"/>
      <c r="D2032" s="179" t="n"/>
      <c r="E2032" s="181" t="n"/>
      <c r="F2032" s="178" t="n"/>
      <c r="G2032" s="179" t="n"/>
      <c r="J2032" s="177" t="inlineStr">
        <is>
          <t>ESCADA DE ÁREA</t>
        </is>
      </c>
      <c r="K2032" s="178" t="n"/>
      <c r="L2032" s="179" t="n"/>
      <c r="M2032" s="181" t="n"/>
      <c r="N2032" s="178" t="n"/>
      <c r="O2032" s="179" t="n"/>
    </row>
    <row r="2033" ht="18.75" customHeight="1">
      <c r="B2033" s="177" t="inlineStr">
        <is>
          <t>ALC · P · 0</t>
        </is>
      </c>
      <c r="C2033" s="178" t="n"/>
      <c r="D2033" s="179" t="n"/>
      <c r="E2033" s="181" t="n"/>
      <c r="F2033" s="178" t="n"/>
      <c r="G2033" s="179" t="n"/>
      <c r="J2033" s="177" t="inlineStr">
        <is>
          <t>ALC · P · 0</t>
        </is>
      </c>
      <c r="K2033" s="178" t="n"/>
      <c r="L2033" s="179" t="n"/>
      <c r="M2033" s="181" t="n"/>
      <c r="N2033" s="178" t="n"/>
      <c r="O2033" s="179" t="n"/>
    </row>
    <row r="2034" ht="18.75" customHeight="1">
      <c r="B2034" s="177" t="inlineStr">
        <is>
          <t>ALC · P · 1 a 5</t>
        </is>
      </c>
      <c r="C2034" s="178" t="n"/>
      <c r="D2034" s="179" t="n"/>
      <c r="E2034" s="181" t="n"/>
      <c r="F2034" s="178" t="n"/>
      <c r="G2034" s="179" t="n"/>
      <c r="J2034" s="177" t="inlineStr">
        <is>
          <t>ALC · P · 1 a 5</t>
        </is>
      </c>
      <c r="K2034" s="178" t="n"/>
      <c r="L2034" s="179" t="n"/>
      <c r="M2034" s="181" t="n"/>
      <c r="N2034" s="178" t="n"/>
      <c r="O2034" s="179" t="n"/>
    </row>
    <row r="2035" ht="18.75" customHeight="1">
      <c r="B2035" s="177" t="inlineStr">
        <is>
          <t>ALC · P · 6 e 7</t>
        </is>
      </c>
      <c r="C2035" s="178" t="n"/>
      <c r="D2035" s="179" t="n"/>
      <c r="E2035" s="181" t="n"/>
      <c r="F2035" s="178" t="n"/>
      <c r="G2035" s="179" t="n"/>
      <c r="J2035" s="177" t="inlineStr">
        <is>
          <t>ALC · P · 6 e 7</t>
        </is>
      </c>
      <c r="K2035" s="178" t="n"/>
      <c r="L2035" s="179" t="n"/>
      <c r="M2035" s="181" t="n"/>
      <c r="N2035" s="178" t="n"/>
      <c r="O2035" s="179" t="n"/>
    </row>
    <row r="2036" ht="18.75" customHeight="1">
      <c r="B2036" s="177" t="inlineStr">
        <is>
          <t>ALC · E · 0</t>
        </is>
      </c>
      <c r="C2036" s="178" t="n"/>
      <c r="D2036" s="179" t="n"/>
      <c r="E2036" s="181" t="n"/>
      <c r="F2036" s="178" t="n"/>
      <c r="G2036" s="179" t="n"/>
      <c r="J2036" s="177" t="inlineStr">
        <is>
          <t>ALC · E · 0</t>
        </is>
      </c>
      <c r="K2036" s="178" t="n"/>
      <c r="L2036" s="179" t="n"/>
      <c r="M2036" s="181" t="n"/>
      <c r="N2036" s="178" t="n"/>
      <c r="O2036" s="179" t="n"/>
    </row>
    <row r="2037" ht="18.75" customHeight="1">
      <c r="B2037" s="177" t="inlineStr">
        <is>
          <t>ALC · E · 1 a 5</t>
        </is>
      </c>
      <c r="C2037" s="178" t="n"/>
      <c r="D2037" s="179" t="n"/>
      <c r="E2037" s="181" t="n"/>
      <c r="F2037" s="178" t="n"/>
      <c r="G2037" s="179" t="n"/>
      <c r="J2037" s="177" t="inlineStr">
        <is>
          <t>ALC · E · 1 a 5</t>
        </is>
      </c>
      <c r="K2037" s="178" t="n"/>
      <c r="L2037" s="179" t="n"/>
      <c r="M2037" s="181" t="n"/>
      <c r="N2037" s="178" t="n"/>
      <c r="O2037" s="179" t="n"/>
    </row>
    <row r="2038" ht="18.75" customHeight="1">
      <c r="B2038" s="177" t="inlineStr">
        <is>
          <t>ALC · E · 6</t>
        </is>
      </c>
      <c r="C2038" s="178" t="n"/>
      <c r="D2038" s="179" t="n"/>
      <c r="E2038" s="181" t="n"/>
      <c r="F2038" s="178" t="n"/>
      <c r="G2038" s="179" t="n"/>
      <c r="J2038" s="177" t="inlineStr">
        <is>
          <t>ALC · E · 6</t>
        </is>
      </c>
      <c r="K2038" s="178" t="n"/>
      <c r="L2038" s="179" t="n"/>
      <c r="M2038" s="181" t="n"/>
      <c r="N2038" s="178" t="n"/>
      <c r="O2038" s="179" t="n"/>
    </row>
    <row r="2039" ht="18.75" customHeight="1">
      <c r="B2039" s="177" t="inlineStr">
        <is>
          <t>ALC · E · 7</t>
        </is>
      </c>
      <c r="C2039" s="178" t="n"/>
      <c r="D2039" s="179" t="n"/>
      <c r="E2039" s="181" t="n"/>
      <c r="F2039" s="178" t="n"/>
      <c r="G2039" s="179" t="n"/>
      <c r="J2039" s="177" t="inlineStr">
        <is>
          <t>ALC · E · 7</t>
        </is>
      </c>
      <c r="K2039" s="178" t="n"/>
      <c r="L2039" s="179" t="n"/>
      <c r="M2039" s="181" t="n"/>
      <c r="N2039" s="178" t="n"/>
      <c r="O2039" s="179" t="n"/>
    </row>
    <row r="2040" ht="18.75" customHeight="1">
      <c r="B2040" s="177" t="inlineStr">
        <is>
          <t>ÁREA · P · 0</t>
        </is>
      </c>
      <c r="C2040" s="178" t="n"/>
      <c r="D2040" s="179" t="n"/>
      <c r="E2040" s="181" t="n"/>
      <c r="F2040" s="178" t="n"/>
      <c r="G2040" s="179" t="n"/>
      <c r="J2040" s="177" t="inlineStr">
        <is>
          <t>ÁREA · P · 0</t>
        </is>
      </c>
      <c r="K2040" s="178" t="n"/>
      <c r="L2040" s="179" t="n"/>
      <c r="M2040" s="181" t="n"/>
      <c r="N2040" s="178" t="n"/>
      <c r="O2040" s="179" t="n"/>
    </row>
    <row r="2041" ht="18.75" customHeight="1">
      <c r="B2041" s="177" t="inlineStr">
        <is>
          <t>ÁREA · P · 1 a 5</t>
        </is>
      </c>
      <c r="C2041" s="178" t="n"/>
      <c r="D2041" s="179" t="n"/>
      <c r="E2041" s="181" t="n"/>
      <c r="F2041" s="178" t="n"/>
      <c r="G2041" s="179" t="n"/>
      <c r="J2041" s="177" t="inlineStr">
        <is>
          <t>ÁREA · P · 1 a 5</t>
        </is>
      </c>
      <c r="K2041" s="178" t="n"/>
      <c r="L2041" s="179" t="n"/>
      <c r="M2041" s="181" t="n"/>
      <c r="N2041" s="178" t="n"/>
      <c r="O2041" s="179" t="n"/>
    </row>
    <row r="2042" ht="18.75" customHeight="1">
      <c r="B2042" s="177" t="inlineStr">
        <is>
          <t>ÁREA · P · 6 e 7</t>
        </is>
      </c>
      <c r="C2042" s="178" t="n"/>
      <c r="D2042" s="179" t="n"/>
      <c r="E2042" s="181" t="n"/>
      <c r="F2042" s="178" t="n"/>
      <c r="G2042" s="179" t="n"/>
      <c r="J2042" s="177" t="inlineStr">
        <is>
          <t>ÁREA · P · 6 e 7</t>
        </is>
      </c>
      <c r="K2042" s="178" t="n"/>
      <c r="L2042" s="179" t="n"/>
      <c r="M2042" s="181" t="n"/>
      <c r="N2042" s="178" t="n"/>
      <c r="O2042" s="179" t="n"/>
    </row>
    <row r="2043" ht="18.75" customHeight="1">
      <c r="B2043" s="177" t="inlineStr">
        <is>
          <t>ÁREA · E · 0</t>
        </is>
      </c>
      <c r="C2043" s="178" t="n"/>
      <c r="D2043" s="179" t="n"/>
      <c r="E2043" s="181" t="n"/>
      <c r="F2043" s="178" t="n"/>
      <c r="G2043" s="179" t="n"/>
      <c r="J2043" s="177" t="inlineStr">
        <is>
          <t>ÁREA · E · 0</t>
        </is>
      </c>
      <c r="K2043" s="178" t="n"/>
      <c r="L2043" s="179" t="n"/>
      <c r="M2043" s="181" t="n"/>
      <c r="N2043" s="178" t="n"/>
      <c r="O2043" s="179" t="n"/>
    </row>
    <row r="2044" ht="18.75" customHeight="1">
      <c r="B2044" s="177" t="inlineStr">
        <is>
          <t>ÁREA · E · 1 a 5</t>
        </is>
      </c>
      <c r="C2044" s="178" t="n"/>
      <c r="D2044" s="179" t="n"/>
      <c r="E2044" s="181" t="n"/>
      <c r="F2044" s="178" t="n"/>
      <c r="G2044" s="179" t="n"/>
      <c r="J2044" s="177" t="inlineStr">
        <is>
          <t>ÁREA · E · 1 a 5</t>
        </is>
      </c>
      <c r="K2044" s="178" t="n"/>
      <c r="L2044" s="179" t="n"/>
      <c r="M2044" s="181" t="n"/>
      <c r="N2044" s="178" t="n"/>
      <c r="O2044" s="179" t="n"/>
    </row>
    <row r="2045" ht="18.75" customHeight="1">
      <c r="B2045" s="177" t="inlineStr">
        <is>
          <t>ÁREA · E · 6</t>
        </is>
      </c>
      <c r="C2045" s="178" t="n"/>
      <c r="D2045" s="179" t="n"/>
      <c r="E2045" s="181" t="n"/>
      <c r="F2045" s="178" t="n"/>
      <c r="G2045" s="179" t="n"/>
      <c r="J2045" s="177" t="inlineStr">
        <is>
          <t>ÁREA · E · 6</t>
        </is>
      </c>
      <c r="K2045" s="178" t="n"/>
      <c r="L2045" s="179" t="n"/>
      <c r="M2045" s="181" t="n"/>
      <c r="N2045" s="178" t="n"/>
      <c r="O2045" s="179" t="n"/>
    </row>
    <row r="2046" ht="18.75" customHeight="1">
      <c r="B2046" s="177" t="inlineStr">
        <is>
          <t>ÁREA · E · 7</t>
        </is>
      </c>
      <c r="C2046" s="178" t="n"/>
      <c r="D2046" s="179" t="n"/>
      <c r="E2046" s="181" t="n"/>
      <c r="F2046" s="178" t="n"/>
      <c r="G2046" s="179" t="n"/>
      <c r="J2046" s="177" t="inlineStr">
        <is>
          <t>ÁREA · E · 7</t>
        </is>
      </c>
      <c r="K2046" s="178" t="n"/>
      <c r="L2046" s="179" t="n"/>
      <c r="M2046" s="181" t="n"/>
      <c r="N2046" s="178" t="n"/>
      <c r="O2046" s="179" t="n"/>
    </row>
    <row r="2047" ht="18.75" customHeight="1"/>
    <row r="2048" ht="18.75" customHeight="1">
      <c r="B2048" s="177" t="inlineStr">
        <is>
          <t>REQUISITOS</t>
        </is>
      </c>
      <c r="C2048" s="178" t="n"/>
      <c r="D2048" s="178" t="n"/>
      <c r="E2048" s="178" t="n"/>
      <c r="F2048" s="178" t="n"/>
      <c r="G2048" s="179" t="n"/>
      <c r="J2048" s="177" t="inlineStr">
        <is>
          <t>REQUISITOS</t>
        </is>
      </c>
      <c r="K2048" s="178" t="n"/>
      <c r="L2048" s="178" t="n"/>
      <c r="M2048" s="178" t="n"/>
      <c r="N2048" s="178" t="n"/>
      <c r="O2048" s="179" t="n"/>
    </row>
    <row r="2049" ht="18.75" customHeight="1">
      <c r="B2049" s="183" t="n"/>
      <c r="C2049" s="184" t="n"/>
      <c r="D2049" s="184" t="n"/>
      <c r="E2049" s="184" t="n"/>
      <c r="F2049" s="184" t="n"/>
      <c r="G2049" s="185" t="n"/>
      <c r="J2049" s="183" t="n"/>
      <c r="K2049" s="184" t="n"/>
      <c r="L2049" s="184" t="n"/>
      <c r="M2049" s="184" t="n"/>
      <c r="N2049" s="184" t="n"/>
      <c r="O2049" s="185" t="n"/>
    </row>
    <row r="2050" ht="18.75" customHeight="1">
      <c r="B2050" s="186" t="n"/>
      <c r="G2050" s="187" t="n"/>
      <c r="J2050" s="186" t="n"/>
      <c r="O2050" s="187" t="n"/>
    </row>
    <row r="2051" ht="18.75" customHeight="1">
      <c r="B2051" s="186" t="n"/>
      <c r="G2051" s="187" t="n"/>
      <c r="J2051" s="186" t="n"/>
      <c r="O2051" s="187" t="n"/>
    </row>
    <row r="2052" ht="18.75" customHeight="1">
      <c r="B2052" s="188" t="n"/>
      <c r="C2052" s="189" t="n"/>
      <c r="D2052" s="189" t="n"/>
      <c r="E2052" s="189" t="n"/>
      <c r="F2052" s="189" t="n"/>
      <c r="G2052" s="190" t="n"/>
      <c r="J2052" s="188" t="n"/>
      <c r="K2052" s="189" t="n"/>
      <c r="L2052" s="189" t="n"/>
      <c r="M2052" s="189" t="n"/>
      <c r="N2052" s="189" t="n"/>
      <c r="O2052" s="190" t="n"/>
    </row>
    <row r="2053" ht="18.75" customHeight="1"/>
    <row r="2054" ht="18.75" customHeight="1">
      <c r="B2054" s="177" t="inlineStr">
        <is>
          <t>EFEITO</t>
        </is>
      </c>
      <c r="C2054" s="178" t="n"/>
      <c r="D2054" s="178" t="n"/>
      <c r="E2054" s="178" t="n"/>
      <c r="F2054" s="178" t="n"/>
      <c r="G2054" s="179" t="n"/>
      <c r="J2054" s="177" t="inlineStr">
        <is>
          <t>EFEITO</t>
        </is>
      </c>
      <c r="K2054" s="178" t="n"/>
      <c r="L2054" s="178" t="n"/>
      <c r="M2054" s="178" t="n"/>
      <c r="N2054" s="178" t="n"/>
      <c r="O2054" s="179" t="n"/>
    </row>
    <row r="2055" ht="18.75" customHeight="1">
      <c r="B2055" s="183" t="n"/>
      <c r="C2055" s="184" t="n"/>
      <c r="D2055" s="184" t="n"/>
      <c r="E2055" s="184" t="n"/>
      <c r="F2055" s="184" t="n"/>
      <c r="G2055" s="185" t="n"/>
      <c r="J2055" s="183" t="n"/>
      <c r="K2055" s="184" t="n"/>
      <c r="L2055" s="184" t="n"/>
      <c r="M2055" s="184" t="n"/>
      <c r="N2055" s="184" t="n"/>
      <c r="O2055" s="185" t="n"/>
    </row>
    <row r="2056" ht="18.75" customHeight="1">
      <c r="B2056" s="186" t="n"/>
      <c r="G2056" s="187" t="n"/>
      <c r="J2056" s="186" t="n"/>
      <c r="O2056" s="187" t="n"/>
    </row>
    <row r="2057" ht="18.75" customHeight="1">
      <c r="B2057" s="186" t="n"/>
      <c r="G2057" s="187" t="n"/>
      <c r="J2057" s="186" t="n"/>
      <c r="O2057" s="187" t="n"/>
    </row>
    <row r="2058" ht="18.75" customHeight="1">
      <c r="B2058" s="188" t="n"/>
      <c r="C2058" s="189" t="n"/>
      <c r="D2058" s="189" t="n"/>
      <c r="E2058" s="189" t="n"/>
      <c r="F2058" s="189" t="n"/>
      <c r="G2058" s="190" t="n"/>
      <c r="J2058" s="188" t="n"/>
      <c r="K2058" s="189" t="n"/>
      <c r="L2058" s="189" t="n"/>
      <c r="M2058" s="189" t="n"/>
      <c r="N2058" s="189" t="n"/>
      <c r="O2058" s="190" t="n"/>
    </row>
    <row r="2059" ht="18.75" customHeight="1"/>
    <row r="2060" ht="18.75" customHeight="1"/>
    <row r="2061" ht="18.75" customHeight="1">
      <c r="B2061" s="175">
        <f>IF('DADOS_FORMAS'!$AD8="","","⚠ "&amp;'DADOS_FORMAS'!$AD8)</f>
        <v/>
      </c>
      <c r="J2061" s="175">
        <f>IF('DADOS_FORMAS'!$AD9="","","⚠ "&amp;'DADOS_FORMAS'!$AD9)</f>
        <v/>
      </c>
    </row>
    <row r="2062" ht="18.75" customHeight="1"/>
    <row r="2063" ht="18.75" customHeight="1"/>
    <row r="2064" ht="18.75" customHeight="1">
      <c r="B2064" s="176" t="inlineStr">
        <is>
          <t>FORMAS · 9</t>
        </is>
      </c>
      <c r="J2064" s="176" t="inlineStr">
        <is>
          <t>FORMAS · 10</t>
        </is>
      </c>
    </row>
    <row r="2065" ht="18.75" customHeight="1">
      <c r="B2065" s="177" t="inlineStr">
        <is>
          <t>TIPO</t>
        </is>
      </c>
      <c r="C2065" s="178" t="n"/>
      <c r="D2065" s="178" t="n"/>
      <c r="E2065" s="179" t="n"/>
      <c r="F2065" s="177" t="inlineStr">
        <is>
          <t>MESTRE VIU</t>
        </is>
      </c>
      <c r="G2065" s="179" t="n"/>
      <c r="J2065" s="177" t="inlineStr">
        <is>
          <t>TIPO</t>
        </is>
      </c>
      <c r="K2065" s="178" t="n"/>
      <c r="L2065" s="178" t="n"/>
      <c r="M2065" s="179" t="n"/>
      <c r="N2065" s="177" t="inlineStr">
        <is>
          <t>MESTRE VIU</t>
        </is>
      </c>
      <c r="O2065" s="179" t="n"/>
    </row>
    <row r="2066" ht="18.75" customHeight="1">
      <c r="B2066" s="181" t="inlineStr">
        <is>
          <t>Forma</t>
        </is>
      </c>
      <c r="C2066" s="178" t="n"/>
      <c r="D2066" s="178" t="n"/>
      <c r="E2066" s="179" t="n"/>
      <c r="F2066" s="180" t="b">
        <v>0</v>
      </c>
      <c r="G2066" s="179" t="n"/>
      <c r="J2066" s="181" t="inlineStr">
        <is>
          <t>Forma</t>
        </is>
      </c>
      <c r="K2066" s="178" t="n"/>
      <c r="L2066" s="178" t="n"/>
      <c r="M2066" s="179" t="n"/>
      <c r="N2066" s="180" t="b">
        <v>0</v>
      </c>
      <c r="O2066" s="179" t="n"/>
    </row>
    <row r="2067" ht="18.75" customHeight="1">
      <c r="B2067" s="177" t="inlineStr">
        <is>
          <t>NOME</t>
        </is>
      </c>
      <c r="C2067" s="178" t="n"/>
      <c r="D2067" s="178" t="n"/>
      <c r="E2067" s="178" t="n"/>
      <c r="F2067" s="178" t="n"/>
      <c r="G2067" s="179" t="n"/>
      <c r="J2067" s="177" t="inlineStr">
        <is>
          <t>NOME</t>
        </is>
      </c>
      <c r="K2067" s="178" t="n"/>
      <c r="L2067" s="178" t="n"/>
      <c r="M2067" s="178" t="n"/>
      <c r="N2067" s="178" t="n"/>
      <c r="O2067" s="179" t="n"/>
    </row>
    <row r="2068" ht="18.75" customHeight="1">
      <c r="B2068" s="181" t="n"/>
      <c r="C2068" s="178" t="n"/>
      <c r="D2068" s="178" t="n"/>
      <c r="E2068" s="178" t="n"/>
      <c r="F2068" s="178" t="n"/>
      <c r="G2068" s="179" t="n"/>
      <c r="J2068" s="181" t="n"/>
      <c r="K2068" s="178" t="n"/>
      <c r="L2068" s="178" t="n"/>
      <c r="M2068" s="178" t="n"/>
      <c r="N2068" s="178" t="n"/>
      <c r="O2068" s="179" t="n"/>
    </row>
    <row r="2069" ht="18.75" customHeight="1">
      <c r="B2069" s="177" t="inlineStr">
        <is>
          <t>BASE DO LIVRO</t>
        </is>
      </c>
      <c r="C2069" s="178" t="n"/>
      <c r="D2069" s="179" t="n"/>
      <c r="E2069" s="181" t="n"/>
      <c r="F2069" s="178" t="n"/>
      <c r="G2069" s="179" t="n"/>
      <c r="J2069" s="177" t="inlineStr">
        <is>
          <t>BASE DO LIVRO</t>
        </is>
      </c>
      <c r="K2069" s="178" t="n"/>
      <c r="L2069" s="179" t="n"/>
      <c r="M2069" s="181" t="n"/>
      <c r="N2069" s="178" t="n"/>
      <c r="O2069" s="179" t="n"/>
    </row>
    <row r="2070" ht="18.75" customHeight="1">
      <c r="B2070" s="177" t="inlineStr">
        <is>
          <t>FAMÍLIA</t>
        </is>
      </c>
      <c r="C2070" s="178" t="n"/>
      <c r="D2070" s="179" t="n"/>
      <c r="E2070" s="181" t="n"/>
      <c r="F2070" s="178" t="n"/>
      <c r="G2070" s="179" t="n"/>
      <c r="J2070" s="177" t="inlineStr">
        <is>
          <t>FAMÍLIA</t>
        </is>
      </c>
      <c r="K2070" s="178" t="n"/>
      <c r="L2070" s="179" t="n"/>
      <c r="M2070" s="181" t="n"/>
      <c r="N2070" s="178" t="n"/>
      <c r="O2070" s="179" t="n"/>
    </row>
    <row r="2071" ht="18.75" customHeight="1">
      <c r="B2071" s="177" t="inlineStr">
        <is>
          <t>PESO</t>
        </is>
      </c>
      <c r="C2071" s="178" t="n"/>
      <c r="D2071" s="179" t="n"/>
      <c r="E2071" s="181" t="n"/>
      <c r="F2071" s="178" t="n"/>
      <c r="G2071" s="179" t="n"/>
      <c r="J2071" s="177" t="inlineStr">
        <is>
          <t>PESO</t>
        </is>
      </c>
      <c r="K2071" s="178" t="n"/>
      <c r="L2071" s="179" t="n"/>
      <c r="M2071" s="181" t="n"/>
      <c r="N2071" s="178" t="n"/>
      <c r="O2071" s="179" t="n"/>
    </row>
    <row r="2072" ht="18.75" customHeight="1">
      <c r="B2072" s="177" t="inlineStr">
        <is>
          <t>RESOLUÇÃO</t>
        </is>
      </c>
      <c r="C2072" s="178" t="n"/>
      <c r="D2072" s="179" t="n"/>
      <c r="E2072" s="181" t="n"/>
      <c r="F2072" s="178" t="n"/>
      <c r="G2072" s="179" t="n"/>
      <c r="J2072" s="177" t="inlineStr">
        <is>
          <t>RESOLUÇÃO</t>
        </is>
      </c>
      <c r="K2072" s="178" t="n"/>
      <c r="L2072" s="179" t="n"/>
      <c r="M2072" s="181" t="n"/>
      <c r="N2072" s="178" t="n"/>
      <c r="O2072" s="179" t="n"/>
    </row>
    <row r="2073" ht="18.75" customHeight="1">
      <c r="B2073" s="177" t="inlineStr">
        <is>
          <t>RESULTADO</t>
        </is>
      </c>
      <c r="C2073" s="178" t="n"/>
      <c r="D2073" s="179" t="n"/>
      <c r="E2073" s="181" t="n"/>
      <c r="F2073" s="178" t="n"/>
      <c r="G2073" s="179" t="n"/>
      <c r="J2073" s="177" t="inlineStr">
        <is>
          <t>RESULTADO</t>
        </is>
      </c>
      <c r="K2073" s="178" t="n"/>
      <c r="L2073" s="179" t="n"/>
      <c r="M2073" s="181" t="n"/>
      <c r="N2073" s="178" t="n"/>
      <c r="O2073" s="179" t="n"/>
    </row>
    <row r="2074" ht="18.75" customHeight="1">
      <c r="B2074" s="177" t="inlineStr">
        <is>
          <t>EXIGE TR</t>
        </is>
      </c>
      <c r="C2074" s="178" t="n"/>
      <c r="D2074" s="179" t="n"/>
      <c r="E2074" s="181" t="n"/>
      <c r="F2074" s="178" t="n"/>
      <c r="G2074" s="179" t="n"/>
      <c r="J2074" s="177" t="inlineStr">
        <is>
          <t>EXIGE TR</t>
        </is>
      </c>
      <c r="K2074" s="178" t="n"/>
      <c r="L2074" s="179" t="n"/>
      <c r="M2074" s="181" t="n"/>
      <c r="N2074" s="178" t="n"/>
      <c r="O2074" s="179" t="n"/>
    </row>
    <row r="2075" ht="18.75" customHeight="1">
      <c r="B2075" s="177" t="inlineStr">
        <is>
          <t>CLASSE 0</t>
        </is>
      </c>
      <c r="C2075" s="178" t="n"/>
      <c r="D2075" s="179" t="n"/>
      <c r="E2075" s="181" t="n"/>
      <c r="F2075" s="178" t="n"/>
      <c r="G2075" s="179" t="n"/>
      <c r="J2075" s="177" t="inlineStr">
        <is>
          <t>CLASSE 0</t>
        </is>
      </c>
      <c r="K2075" s="178" t="n"/>
      <c r="L2075" s="179" t="n"/>
      <c r="M2075" s="181" t="n"/>
      <c r="N2075" s="178" t="n"/>
      <c r="O2075" s="179" t="n"/>
    </row>
    <row r="2076" ht="18.75" customHeight="1">
      <c r="B2076" s="177" t="inlineStr">
        <is>
          <t>RESTRIÇÃO EMBUTIDA</t>
        </is>
      </c>
      <c r="C2076" s="178" t="n"/>
      <c r="D2076" s="179" t="n"/>
      <c r="E2076" s="181" t="n"/>
      <c r="F2076" s="178" t="n"/>
      <c r="G2076" s="179" t="n"/>
      <c r="J2076" s="177" t="inlineStr">
        <is>
          <t>RESTRIÇÃO EMBUTIDA</t>
        </is>
      </c>
      <c r="K2076" s="178" t="n"/>
      <c r="L2076" s="179" t="n"/>
      <c r="M2076" s="181" t="n"/>
      <c r="N2076" s="178" t="n"/>
      <c r="O2076" s="179" t="n"/>
    </row>
    <row r="2077" ht="18.75" customHeight="1">
      <c r="B2077" s="177" t="inlineStr">
        <is>
          <t>ESCADA DE ALCANCE</t>
        </is>
      </c>
      <c r="C2077" s="178" t="n"/>
      <c r="D2077" s="179" t="n"/>
      <c r="E2077" s="181" t="n"/>
      <c r="F2077" s="178" t="n"/>
      <c r="G2077" s="179" t="n"/>
      <c r="J2077" s="177" t="inlineStr">
        <is>
          <t>ESCADA DE ALCANCE</t>
        </is>
      </c>
      <c r="K2077" s="178" t="n"/>
      <c r="L2077" s="179" t="n"/>
      <c r="M2077" s="181" t="n"/>
      <c r="N2077" s="178" t="n"/>
      <c r="O2077" s="179" t="n"/>
    </row>
    <row r="2078" ht="18.75" customHeight="1">
      <c r="B2078" s="177" t="inlineStr">
        <is>
          <t>ESCADA DE ÁREA</t>
        </is>
      </c>
      <c r="C2078" s="178" t="n"/>
      <c r="D2078" s="179" t="n"/>
      <c r="E2078" s="181" t="n"/>
      <c r="F2078" s="178" t="n"/>
      <c r="G2078" s="179" t="n"/>
      <c r="J2078" s="177" t="inlineStr">
        <is>
          <t>ESCADA DE ÁREA</t>
        </is>
      </c>
      <c r="K2078" s="178" t="n"/>
      <c r="L2078" s="179" t="n"/>
      <c r="M2078" s="181" t="n"/>
      <c r="N2078" s="178" t="n"/>
      <c r="O2078" s="179" t="n"/>
    </row>
    <row r="2079" ht="18.75" customHeight="1">
      <c r="B2079" s="177" t="inlineStr">
        <is>
          <t>ALC · P · 0</t>
        </is>
      </c>
      <c r="C2079" s="178" t="n"/>
      <c r="D2079" s="179" t="n"/>
      <c r="E2079" s="181" t="n"/>
      <c r="F2079" s="178" t="n"/>
      <c r="G2079" s="179" t="n"/>
      <c r="J2079" s="177" t="inlineStr">
        <is>
          <t>ALC · P · 0</t>
        </is>
      </c>
      <c r="K2079" s="178" t="n"/>
      <c r="L2079" s="179" t="n"/>
      <c r="M2079" s="181" t="n"/>
      <c r="N2079" s="178" t="n"/>
      <c r="O2079" s="179" t="n"/>
    </row>
    <row r="2080" ht="18.75" customHeight="1">
      <c r="B2080" s="177" t="inlineStr">
        <is>
          <t>ALC · P · 1 a 5</t>
        </is>
      </c>
      <c r="C2080" s="178" t="n"/>
      <c r="D2080" s="179" t="n"/>
      <c r="E2080" s="181" t="n"/>
      <c r="F2080" s="178" t="n"/>
      <c r="G2080" s="179" t="n"/>
      <c r="J2080" s="177" t="inlineStr">
        <is>
          <t>ALC · P · 1 a 5</t>
        </is>
      </c>
      <c r="K2080" s="178" t="n"/>
      <c r="L2080" s="179" t="n"/>
      <c r="M2080" s="181" t="n"/>
      <c r="N2080" s="178" t="n"/>
      <c r="O2080" s="179" t="n"/>
    </row>
    <row r="2081" ht="18.75" customHeight="1">
      <c r="B2081" s="177" t="inlineStr">
        <is>
          <t>ALC · P · 6 e 7</t>
        </is>
      </c>
      <c r="C2081" s="178" t="n"/>
      <c r="D2081" s="179" t="n"/>
      <c r="E2081" s="181" t="n"/>
      <c r="F2081" s="178" t="n"/>
      <c r="G2081" s="179" t="n"/>
      <c r="J2081" s="177" t="inlineStr">
        <is>
          <t>ALC · P · 6 e 7</t>
        </is>
      </c>
      <c r="K2081" s="178" t="n"/>
      <c r="L2081" s="179" t="n"/>
      <c r="M2081" s="181" t="n"/>
      <c r="N2081" s="178" t="n"/>
      <c r="O2081" s="179" t="n"/>
    </row>
    <row r="2082" ht="18.75" customHeight="1">
      <c r="B2082" s="177" t="inlineStr">
        <is>
          <t>ALC · E · 0</t>
        </is>
      </c>
      <c r="C2082" s="178" t="n"/>
      <c r="D2082" s="179" t="n"/>
      <c r="E2082" s="181" t="n"/>
      <c r="F2082" s="178" t="n"/>
      <c r="G2082" s="179" t="n"/>
      <c r="J2082" s="177" t="inlineStr">
        <is>
          <t>ALC · E · 0</t>
        </is>
      </c>
      <c r="K2082" s="178" t="n"/>
      <c r="L2082" s="179" t="n"/>
      <c r="M2082" s="181" t="n"/>
      <c r="N2082" s="178" t="n"/>
      <c r="O2082" s="179" t="n"/>
    </row>
    <row r="2083" ht="18.75" customHeight="1">
      <c r="B2083" s="177" t="inlineStr">
        <is>
          <t>ALC · E · 1 a 5</t>
        </is>
      </c>
      <c r="C2083" s="178" t="n"/>
      <c r="D2083" s="179" t="n"/>
      <c r="E2083" s="181" t="n"/>
      <c r="F2083" s="178" t="n"/>
      <c r="G2083" s="179" t="n"/>
      <c r="J2083" s="177" t="inlineStr">
        <is>
          <t>ALC · E · 1 a 5</t>
        </is>
      </c>
      <c r="K2083" s="178" t="n"/>
      <c r="L2083" s="179" t="n"/>
      <c r="M2083" s="181" t="n"/>
      <c r="N2083" s="178" t="n"/>
      <c r="O2083" s="179" t="n"/>
    </row>
    <row r="2084" ht="18.75" customHeight="1">
      <c r="B2084" s="177" t="inlineStr">
        <is>
          <t>ALC · E · 6</t>
        </is>
      </c>
      <c r="C2084" s="178" t="n"/>
      <c r="D2084" s="179" t="n"/>
      <c r="E2084" s="181" t="n"/>
      <c r="F2084" s="178" t="n"/>
      <c r="G2084" s="179" t="n"/>
      <c r="J2084" s="177" t="inlineStr">
        <is>
          <t>ALC · E · 6</t>
        </is>
      </c>
      <c r="K2084" s="178" t="n"/>
      <c r="L2084" s="179" t="n"/>
      <c r="M2084" s="181" t="n"/>
      <c r="N2084" s="178" t="n"/>
      <c r="O2084" s="179" t="n"/>
    </row>
    <row r="2085" ht="18.75" customHeight="1">
      <c r="B2085" s="177" t="inlineStr">
        <is>
          <t>ALC · E · 7</t>
        </is>
      </c>
      <c r="C2085" s="178" t="n"/>
      <c r="D2085" s="179" t="n"/>
      <c r="E2085" s="181" t="n"/>
      <c r="F2085" s="178" t="n"/>
      <c r="G2085" s="179" t="n"/>
      <c r="J2085" s="177" t="inlineStr">
        <is>
          <t>ALC · E · 7</t>
        </is>
      </c>
      <c r="K2085" s="178" t="n"/>
      <c r="L2085" s="179" t="n"/>
      <c r="M2085" s="181" t="n"/>
      <c r="N2085" s="178" t="n"/>
      <c r="O2085" s="179" t="n"/>
    </row>
    <row r="2086" ht="18.75" customHeight="1">
      <c r="B2086" s="177" t="inlineStr">
        <is>
          <t>ÁREA · P · 0</t>
        </is>
      </c>
      <c r="C2086" s="178" t="n"/>
      <c r="D2086" s="179" t="n"/>
      <c r="E2086" s="181" t="n"/>
      <c r="F2086" s="178" t="n"/>
      <c r="G2086" s="179" t="n"/>
      <c r="J2086" s="177" t="inlineStr">
        <is>
          <t>ÁREA · P · 0</t>
        </is>
      </c>
      <c r="K2086" s="178" t="n"/>
      <c r="L2086" s="179" t="n"/>
      <c r="M2086" s="181" t="n"/>
      <c r="N2086" s="178" t="n"/>
      <c r="O2086" s="179" t="n"/>
    </row>
    <row r="2087" ht="18.75" customHeight="1">
      <c r="B2087" s="177" t="inlineStr">
        <is>
          <t>ÁREA · P · 1 a 5</t>
        </is>
      </c>
      <c r="C2087" s="178" t="n"/>
      <c r="D2087" s="179" t="n"/>
      <c r="E2087" s="181" t="n"/>
      <c r="F2087" s="178" t="n"/>
      <c r="G2087" s="179" t="n"/>
      <c r="J2087" s="177" t="inlineStr">
        <is>
          <t>ÁREA · P · 1 a 5</t>
        </is>
      </c>
      <c r="K2087" s="178" t="n"/>
      <c r="L2087" s="179" t="n"/>
      <c r="M2087" s="181" t="n"/>
      <c r="N2087" s="178" t="n"/>
      <c r="O2087" s="179" t="n"/>
    </row>
    <row r="2088" ht="18.75" customHeight="1">
      <c r="B2088" s="177" t="inlineStr">
        <is>
          <t>ÁREA · P · 6 e 7</t>
        </is>
      </c>
      <c r="C2088" s="178" t="n"/>
      <c r="D2088" s="179" t="n"/>
      <c r="E2088" s="181" t="n"/>
      <c r="F2088" s="178" t="n"/>
      <c r="G2088" s="179" t="n"/>
      <c r="J2088" s="177" t="inlineStr">
        <is>
          <t>ÁREA · P · 6 e 7</t>
        </is>
      </c>
      <c r="K2088" s="178" t="n"/>
      <c r="L2088" s="179" t="n"/>
      <c r="M2088" s="181" t="n"/>
      <c r="N2088" s="178" t="n"/>
      <c r="O2088" s="179" t="n"/>
    </row>
    <row r="2089" ht="18.75" customHeight="1">
      <c r="B2089" s="177" t="inlineStr">
        <is>
          <t>ÁREA · E · 0</t>
        </is>
      </c>
      <c r="C2089" s="178" t="n"/>
      <c r="D2089" s="179" t="n"/>
      <c r="E2089" s="181" t="n"/>
      <c r="F2089" s="178" t="n"/>
      <c r="G2089" s="179" t="n"/>
      <c r="J2089" s="177" t="inlineStr">
        <is>
          <t>ÁREA · E · 0</t>
        </is>
      </c>
      <c r="K2089" s="178" t="n"/>
      <c r="L2089" s="179" t="n"/>
      <c r="M2089" s="181" t="n"/>
      <c r="N2089" s="178" t="n"/>
      <c r="O2089" s="179" t="n"/>
    </row>
    <row r="2090" ht="18.75" customHeight="1">
      <c r="B2090" s="177" t="inlineStr">
        <is>
          <t>ÁREA · E · 1 a 5</t>
        </is>
      </c>
      <c r="C2090" s="178" t="n"/>
      <c r="D2090" s="179" t="n"/>
      <c r="E2090" s="181" t="n"/>
      <c r="F2090" s="178" t="n"/>
      <c r="G2090" s="179" t="n"/>
      <c r="J2090" s="177" t="inlineStr">
        <is>
          <t>ÁREA · E · 1 a 5</t>
        </is>
      </c>
      <c r="K2090" s="178" t="n"/>
      <c r="L2090" s="179" t="n"/>
      <c r="M2090" s="181" t="n"/>
      <c r="N2090" s="178" t="n"/>
      <c r="O2090" s="179" t="n"/>
    </row>
    <row r="2091" ht="18.75" customHeight="1">
      <c r="B2091" s="177" t="inlineStr">
        <is>
          <t>ÁREA · E · 6</t>
        </is>
      </c>
      <c r="C2091" s="178" t="n"/>
      <c r="D2091" s="179" t="n"/>
      <c r="E2091" s="181" t="n"/>
      <c r="F2091" s="178" t="n"/>
      <c r="G2091" s="179" t="n"/>
      <c r="J2091" s="177" t="inlineStr">
        <is>
          <t>ÁREA · E · 6</t>
        </is>
      </c>
      <c r="K2091" s="178" t="n"/>
      <c r="L2091" s="179" t="n"/>
      <c r="M2091" s="181" t="n"/>
      <c r="N2091" s="178" t="n"/>
      <c r="O2091" s="179" t="n"/>
    </row>
    <row r="2092" ht="18.75" customHeight="1">
      <c r="B2092" s="177" t="inlineStr">
        <is>
          <t>ÁREA · E · 7</t>
        </is>
      </c>
      <c r="C2092" s="178" t="n"/>
      <c r="D2092" s="179" t="n"/>
      <c r="E2092" s="181" t="n"/>
      <c r="F2092" s="178" t="n"/>
      <c r="G2092" s="179" t="n"/>
      <c r="J2092" s="177" t="inlineStr">
        <is>
          <t>ÁREA · E · 7</t>
        </is>
      </c>
      <c r="K2092" s="178" t="n"/>
      <c r="L2092" s="179" t="n"/>
      <c r="M2092" s="181" t="n"/>
      <c r="N2092" s="178" t="n"/>
      <c r="O2092" s="179" t="n"/>
    </row>
    <row r="2093" ht="18.75" customHeight="1"/>
    <row r="2094" ht="18.75" customHeight="1">
      <c r="B2094" s="177" t="inlineStr">
        <is>
          <t>REQUISITOS</t>
        </is>
      </c>
      <c r="C2094" s="178" t="n"/>
      <c r="D2094" s="178" t="n"/>
      <c r="E2094" s="178" t="n"/>
      <c r="F2094" s="178" t="n"/>
      <c r="G2094" s="179" t="n"/>
      <c r="J2094" s="177" t="inlineStr">
        <is>
          <t>REQUISITOS</t>
        </is>
      </c>
      <c r="K2094" s="178" t="n"/>
      <c r="L2094" s="178" t="n"/>
      <c r="M2094" s="178" t="n"/>
      <c r="N2094" s="178" t="n"/>
      <c r="O2094" s="179" t="n"/>
    </row>
    <row r="2095" ht="18.75" customHeight="1">
      <c r="B2095" s="183" t="n"/>
      <c r="C2095" s="184" t="n"/>
      <c r="D2095" s="184" t="n"/>
      <c r="E2095" s="184" t="n"/>
      <c r="F2095" s="184" t="n"/>
      <c r="G2095" s="185" t="n"/>
      <c r="J2095" s="183" t="n"/>
      <c r="K2095" s="184" t="n"/>
      <c r="L2095" s="184" t="n"/>
      <c r="M2095" s="184" t="n"/>
      <c r="N2095" s="184" t="n"/>
      <c r="O2095" s="185" t="n"/>
    </row>
    <row r="2096" ht="18.75" customHeight="1">
      <c r="B2096" s="186" t="n"/>
      <c r="G2096" s="187" t="n"/>
      <c r="J2096" s="186" t="n"/>
      <c r="O2096" s="187" t="n"/>
    </row>
    <row r="2097" ht="18.75" customHeight="1">
      <c r="B2097" s="186" t="n"/>
      <c r="G2097" s="187" t="n"/>
      <c r="J2097" s="186" t="n"/>
      <c r="O2097" s="187" t="n"/>
    </row>
    <row r="2098" ht="18.75" customHeight="1">
      <c r="B2098" s="188" t="n"/>
      <c r="C2098" s="189" t="n"/>
      <c r="D2098" s="189" t="n"/>
      <c r="E2098" s="189" t="n"/>
      <c r="F2098" s="189" t="n"/>
      <c r="G2098" s="190" t="n"/>
      <c r="J2098" s="188" t="n"/>
      <c r="K2098" s="189" t="n"/>
      <c r="L2098" s="189" t="n"/>
      <c r="M2098" s="189" t="n"/>
      <c r="N2098" s="189" t="n"/>
      <c r="O2098" s="190" t="n"/>
    </row>
    <row r="2099" ht="18.75" customHeight="1"/>
    <row r="2100" ht="18.75" customHeight="1">
      <c r="B2100" s="177" t="inlineStr">
        <is>
          <t>EFEITO</t>
        </is>
      </c>
      <c r="C2100" s="178" t="n"/>
      <c r="D2100" s="178" t="n"/>
      <c r="E2100" s="178" t="n"/>
      <c r="F2100" s="178" t="n"/>
      <c r="G2100" s="179" t="n"/>
      <c r="J2100" s="177" t="inlineStr">
        <is>
          <t>EFEITO</t>
        </is>
      </c>
      <c r="K2100" s="178" t="n"/>
      <c r="L2100" s="178" t="n"/>
      <c r="M2100" s="178" t="n"/>
      <c r="N2100" s="178" t="n"/>
      <c r="O2100" s="179" t="n"/>
    </row>
    <row r="2101" ht="18.75" customHeight="1">
      <c r="B2101" s="183" t="n"/>
      <c r="C2101" s="184" t="n"/>
      <c r="D2101" s="184" t="n"/>
      <c r="E2101" s="184" t="n"/>
      <c r="F2101" s="184" t="n"/>
      <c r="G2101" s="185" t="n"/>
      <c r="J2101" s="183" t="n"/>
      <c r="K2101" s="184" t="n"/>
      <c r="L2101" s="184" t="n"/>
      <c r="M2101" s="184" t="n"/>
      <c r="N2101" s="184" t="n"/>
      <c r="O2101" s="185" t="n"/>
    </row>
    <row r="2102" ht="18.75" customHeight="1">
      <c r="B2102" s="186" t="n"/>
      <c r="G2102" s="187" t="n"/>
      <c r="J2102" s="186" t="n"/>
      <c r="O2102" s="187" t="n"/>
    </row>
    <row r="2103" ht="18.75" customHeight="1">
      <c r="B2103" s="186" t="n"/>
      <c r="G2103" s="187" t="n"/>
      <c r="J2103" s="186" t="n"/>
      <c r="O2103" s="187" t="n"/>
    </row>
    <row r="2104" ht="18.75" customHeight="1">
      <c r="B2104" s="188" t="n"/>
      <c r="C2104" s="189" t="n"/>
      <c r="D2104" s="189" t="n"/>
      <c r="E2104" s="189" t="n"/>
      <c r="F2104" s="189" t="n"/>
      <c r="G2104" s="190" t="n"/>
      <c r="J2104" s="188" t="n"/>
      <c r="K2104" s="189" t="n"/>
      <c r="L2104" s="189" t="n"/>
      <c r="M2104" s="189" t="n"/>
      <c r="N2104" s="189" t="n"/>
      <c r="O2104" s="190" t="n"/>
    </row>
    <row r="2105" ht="18.75" customHeight="1"/>
    <row r="2106" ht="18.75" customHeight="1"/>
    <row r="2107" ht="18.75" customHeight="1">
      <c r="B2107" s="175">
        <f>IF('DADOS_FORMAS'!$AD10="","","⚠ "&amp;'DADOS_FORMAS'!$AD10)</f>
        <v/>
      </c>
      <c r="J2107" s="175">
        <f>IF('DADOS_FORMAS'!$AD11="","","⚠ "&amp;'DADOS_FORMAS'!$AD11)</f>
        <v/>
      </c>
    </row>
    <row r="2108" ht="18.75" customHeight="1"/>
    <row r="2109" ht="18.75" customHeight="1"/>
    <row r="2110" ht="18.75" customHeight="1"/>
    <row r="2111" ht="18.75" customHeight="1"/>
    <row r="2112" ht="18.75" customHeight="1"/>
    <row r="2113" ht="18.75" customHeight="1">
      <c r="B2113" s="176" t="inlineStr">
        <is>
          <t>APTIDÕES / BÊNÇÃOS CUSTOM</t>
        </is>
      </c>
    </row>
    <row r="2114" ht="18.75" customHeight="1"/>
    <row r="2115" ht="18.75" customHeight="1"/>
    <row r="2116" ht="18.75" customHeight="1">
      <c r="B2116" s="176" t="inlineStr">
        <is>
          <t>APTIDÕES / BÊNÇÃOS · 1</t>
        </is>
      </c>
      <c r="J2116" s="176" t="inlineStr">
        <is>
          <t>APTIDÕES / BÊNÇÃOS · 2</t>
        </is>
      </c>
    </row>
    <row r="2117" ht="18.75" customHeight="1">
      <c r="B2117" s="177" t="inlineStr">
        <is>
          <t>TIPO</t>
        </is>
      </c>
      <c r="C2117" s="178" t="n"/>
      <c r="D2117" s="178" t="n"/>
      <c r="E2117" s="179" t="n"/>
      <c r="F2117" s="177" t="inlineStr">
        <is>
          <t>MESTRE VIU</t>
        </is>
      </c>
      <c r="G2117" s="179" t="n"/>
      <c r="J2117" s="177" t="inlineStr">
        <is>
          <t>TIPO</t>
        </is>
      </c>
      <c r="K2117" s="178" t="n"/>
      <c r="L2117" s="178" t="n"/>
      <c r="M2117" s="179" t="n"/>
      <c r="N2117" s="177" t="inlineStr">
        <is>
          <t>MESTRE VIU</t>
        </is>
      </c>
      <c r="O2117" s="179" t="n"/>
    </row>
    <row r="2118" ht="18.75" customHeight="1">
      <c r="B2118" s="181" t="n"/>
      <c r="C2118" s="178" t="n"/>
      <c r="D2118" s="178" t="n"/>
      <c r="E2118" s="179" t="n"/>
      <c r="F2118" s="180" t="b">
        <v>0</v>
      </c>
      <c r="G2118" s="179" t="n"/>
      <c r="J2118" s="181" t="n"/>
      <c r="K2118" s="178" t="n"/>
      <c r="L2118" s="178" t="n"/>
      <c r="M2118" s="179" t="n"/>
      <c r="N2118" s="180" t="b">
        <v>0</v>
      </c>
      <c r="O2118" s="179" t="n"/>
    </row>
    <row r="2119" ht="18.75" customHeight="1">
      <c r="B2119" s="177" t="inlineStr">
        <is>
          <t>NOME</t>
        </is>
      </c>
      <c r="C2119" s="178" t="n"/>
      <c r="D2119" s="178" t="n"/>
      <c r="E2119" s="178" t="n"/>
      <c r="F2119" s="178" t="n"/>
      <c r="G2119" s="179" t="n"/>
      <c r="J2119" s="177" t="inlineStr">
        <is>
          <t>NOME</t>
        </is>
      </c>
      <c r="K2119" s="178" t="n"/>
      <c r="L2119" s="178" t="n"/>
      <c r="M2119" s="178" t="n"/>
      <c r="N2119" s="178" t="n"/>
      <c r="O2119" s="179" t="n"/>
    </row>
    <row r="2120" ht="18.75" customHeight="1">
      <c r="B2120" s="181" t="n"/>
      <c r="C2120" s="178" t="n"/>
      <c r="D2120" s="178" t="n"/>
      <c r="E2120" s="178" t="n"/>
      <c r="F2120" s="178" t="n"/>
      <c r="G2120" s="179" t="n"/>
      <c r="J2120" s="181" t="n"/>
      <c r="K2120" s="178" t="n"/>
      <c r="L2120" s="178" t="n"/>
      <c r="M2120" s="178" t="n"/>
      <c r="N2120" s="178" t="n"/>
      <c r="O2120" s="179" t="n"/>
    </row>
    <row r="2121" ht="18.75" customHeight="1">
      <c r="B2121" s="177" t="inlineStr">
        <is>
          <t>BASE DO LIVRO</t>
        </is>
      </c>
      <c r="C2121" s="178" t="n"/>
      <c r="D2121" s="179" t="n"/>
      <c r="E2121" s="181" t="n"/>
      <c r="F2121" s="178" t="n"/>
      <c r="G2121" s="179" t="n"/>
      <c r="J2121" s="177" t="inlineStr">
        <is>
          <t>BASE DO LIVRO</t>
        </is>
      </c>
      <c r="K2121" s="178" t="n"/>
      <c r="L2121" s="179" t="n"/>
      <c r="M2121" s="181" t="n"/>
      <c r="N2121" s="178" t="n"/>
      <c r="O2121" s="179" t="n"/>
    </row>
    <row r="2122" ht="18.75" customHeight="1">
      <c r="B2122" s="177" t="inlineStr">
        <is>
          <t>CATEGORIA DE EFEITO</t>
        </is>
      </c>
      <c r="C2122" s="178" t="n"/>
      <c r="D2122" s="179" t="n"/>
      <c r="E2122" s="181" t="n"/>
      <c r="F2122" s="178" t="n"/>
      <c r="G2122" s="179" t="n"/>
      <c r="J2122" s="177" t="inlineStr">
        <is>
          <t>CATEGORIA DE EFEITO</t>
        </is>
      </c>
      <c r="K2122" s="178" t="n"/>
      <c r="L2122" s="179" t="n"/>
      <c r="M2122" s="181" t="n"/>
      <c r="N2122" s="178" t="n"/>
      <c r="O2122" s="179" t="n"/>
    </row>
    <row r="2123" ht="18.75" customHeight="1">
      <c r="B2123" s="177" t="inlineStr">
        <is>
          <t>NÍVEL MÍNIMO</t>
        </is>
      </c>
      <c r="C2123" s="178" t="n"/>
      <c r="D2123" s="179" t="n"/>
      <c r="E2123" s="181" t="n"/>
      <c r="F2123" s="178" t="n"/>
      <c r="G2123" s="179" t="n"/>
      <c r="J2123" s="177" t="inlineStr">
        <is>
          <t>NÍVEL MÍNIMO</t>
        </is>
      </c>
      <c r="K2123" s="178" t="n"/>
      <c r="L2123" s="179" t="n"/>
      <c r="M2123" s="181" t="n"/>
      <c r="N2123" s="178" t="n"/>
      <c r="O2123" s="179" t="n"/>
    </row>
    <row r="2124" ht="18.75" customHeight="1">
      <c r="B2124" s="177" t="inlineStr">
        <is>
          <t>REFINO / LAPIDAÇÃO</t>
        </is>
      </c>
      <c r="C2124" s="178" t="n"/>
      <c r="D2124" s="179" t="n"/>
      <c r="E2124" s="181" t="n"/>
      <c r="F2124" s="178" t="n"/>
      <c r="G2124" s="179" t="n"/>
      <c r="J2124" s="177" t="inlineStr">
        <is>
          <t>REFINO / LAPIDAÇÃO</t>
        </is>
      </c>
      <c r="K2124" s="178" t="n"/>
      <c r="L2124" s="179" t="n"/>
      <c r="M2124" s="181" t="n"/>
      <c r="N2124" s="178" t="n"/>
      <c r="O2124" s="179" t="n"/>
    </row>
    <row r="2125" ht="18.75" customHeight="1">
      <c r="B2125" s="177" t="inlineStr">
        <is>
          <t>ESCOLHA</t>
        </is>
      </c>
      <c r="C2125" s="178" t="n"/>
      <c r="D2125" s="179" t="n"/>
      <c r="E2125" s="181" t="n"/>
      <c r="F2125" s="178" t="n"/>
      <c r="G2125" s="179" t="n"/>
      <c r="J2125" s="177" t="inlineStr">
        <is>
          <t>ESCOLHA</t>
        </is>
      </c>
      <c r="K2125" s="178" t="n"/>
      <c r="L2125" s="179" t="n"/>
      <c r="M2125" s="181" t="n"/>
      <c r="N2125" s="178" t="n"/>
      <c r="O2125" s="179" t="n"/>
    </row>
    <row r="2126" ht="18.75" customHeight="1"/>
    <row r="2127" ht="18.75" customHeight="1">
      <c r="B2127" s="177" t="inlineStr">
        <is>
          <t>REQUISITOS</t>
        </is>
      </c>
      <c r="C2127" s="178" t="n"/>
      <c r="D2127" s="178" t="n"/>
      <c r="E2127" s="178" t="n"/>
      <c r="F2127" s="178" t="n"/>
      <c r="G2127" s="179" t="n"/>
      <c r="J2127" s="177" t="inlineStr">
        <is>
          <t>REQUISITOS</t>
        </is>
      </c>
      <c r="K2127" s="178" t="n"/>
      <c r="L2127" s="178" t="n"/>
      <c r="M2127" s="178" t="n"/>
      <c r="N2127" s="178" t="n"/>
      <c r="O2127" s="179" t="n"/>
    </row>
    <row r="2128" ht="18.75" customHeight="1">
      <c r="B2128" s="183" t="n"/>
      <c r="C2128" s="184" t="n"/>
      <c r="D2128" s="184" t="n"/>
      <c r="E2128" s="184" t="n"/>
      <c r="F2128" s="184" t="n"/>
      <c r="G2128" s="185" t="n"/>
      <c r="J2128" s="183" t="n"/>
      <c r="K2128" s="184" t="n"/>
      <c r="L2128" s="184" t="n"/>
      <c r="M2128" s="184" t="n"/>
      <c r="N2128" s="184" t="n"/>
      <c r="O2128" s="185" t="n"/>
    </row>
    <row r="2129" ht="18.75" customHeight="1">
      <c r="B2129" s="186" t="n"/>
      <c r="G2129" s="187" t="n"/>
      <c r="J2129" s="186" t="n"/>
      <c r="O2129" s="187" t="n"/>
    </row>
    <row r="2130" ht="18.75" customHeight="1">
      <c r="B2130" s="186" t="n"/>
      <c r="G2130" s="187" t="n"/>
      <c r="J2130" s="186" t="n"/>
      <c r="O2130" s="187" t="n"/>
    </row>
    <row r="2131" ht="18.75" customHeight="1">
      <c r="B2131" s="188" t="n"/>
      <c r="C2131" s="189" t="n"/>
      <c r="D2131" s="189" t="n"/>
      <c r="E2131" s="189" t="n"/>
      <c r="F2131" s="189" t="n"/>
      <c r="G2131" s="190" t="n"/>
      <c r="J2131" s="188" t="n"/>
      <c r="K2131" s="189" t="n"/>
      <c r="L2131" s="189" t="n"/>
      <c r="M2131" s="189" t="n"/>
      <c r="N2131" s="189" t="n"/>
      <c r="O2131" s="190" t="n"/>
    </row>
    <row r="2132" ht="18.75" customHeight="1"/>
    <row r="2133" ht="18.75" customHeight="1">
      <c r="B2133" s="177" t="inlineStr">
        <is>
          <t>EFEITO</t>
        </is>
      </c>
      <c r="C2133" s="178" t="n"/>
      <c r="D2133" s="178" t="n"/>
      <c r="E2133" s="178" t="n"/>
      <c r="F2133" s="178" t="n"/>
      <c r="G2133" s="179" t="n"/>
      <c r="J2133" s="177" t="inlineStr">
        <is>
          <t>EFEITO</t>
        </is>
      </c>
      <c r="K2133" s="178" t="n"/>
      <c r="L2133" s="178" t="n"/>
      <c r="M2133" s="178" t="n"/>
      <c r="N2133" s="178" t="n"/>
      <c r="O2133" s="179" t="n"/>
    </row>
    <row r="2134" ht="18.75" customHeight="1">
      <c r="B2134" s="183" t="n"/>
      <c r="C2134" s="184" t="n"/>
      <c r="D2134" s="184" t="n"/>
      <c r="E2134" s="184" t="n"/>
      <c r="F2134" s="184" t="n"/>
      <c r="G2134" s="185" t="n"/>
      <c r="J2134" s="183" t="n"/>
      <c r="K2134" s="184" t="n"/>
      <c r="L2134" s="184" t="n"/>
      <c r="M2134" s="184" t="n"/>
      <c r="N2134" s="184" t="n"/>
      <c r="O2134" s="185" t="n"/>
    </row>
    <row r="2135" ht="18.75" customHeight="1">
      <c r="B2135" s="186" t="n"/>
      <c r="G2135" s="187" t="n"/>
      <c r="J2135" s="186" t="n"/>
      <c r="O2135" s="187" t="n"/>
    </row>
    <row r="2136" ht="18.75" customHeight="1">
      <c r="B2136" s="186" t="n"/>
      <c r="G2136" s="187" t="n"/>
      <c r="J2136" s="186" t="n"/>
      <c r="O2136" s="187" t="n"/>
    </row>
    <row r="2137" ht="18.75" customHeight="1">
      <c r="B2137" s="188" t="n"/>
      <c r="C2137" s="189" t="n"/>
      <c r="D2137" s="189" t="n"/>
      <c r="E2137" s="189" t="n"/>
      <c r="F2137" s="189" t="n"/>
      <c r="G2137" s="190" t="n"/>
      <c r="J2137" s="188" t="n"/>
      <c r="K2137" s="189" t="n"/>
      <c r="L2137" s="189" t="n"/>
      <c r="M2137" s="189" t="n"/>
      <c r="N2137" s="189" t="n"/>
      <c r="O2137" s="190" t="n"/>
    </row>
    <row r="2138" ht="18.75" customHeight="1"/>
    <row r="2139" ht="18.75" customHeight="1"/>
    <row r="2140" ht="18.75" customHeight="1">
      <c r="B2140" s="175">
        <f>IF('DADOS_APTIDOES'!$K2="","","⚠ "&amp;'DADOS_APTIDOES'!$K2)</f>
        <v/>
      </c>
      <c r="J2140" s="175">
        <f>IF('DADOS_APTIDOES'!$K3="","","⚠ "&amp;'DADOS_APTIDOES'!$K3)</f>
        <v/>
      </c>
    </row>
    <row r="2141" ht="18.75" customHeight="1"/>
    <row r="2142" ht="18.75" customHeight="1"/>
    <row r="2143" ht="18.75" customHeight="1">
      <c r="B2143" s="176" t="inlineStr">
        <is>
          <t>APTIDÕES / BÊNÇÃOS · 3</t>
        </is>
      </c>
      <c r="J2143" s="176" t="inlineStr">
        <is>
          <t>APTIDÕES / BÊNÇÃOS · 4</t>
        </is>
      </c>
    </row>
    <row r="2144" ht="18.75" customHeight="1">
      <c r="B2144" s="177" t="inlineStr">
        <is>
          <t>TIPO</t>
        </is>
      </c>
      <c r="C2144" s="178" t="n"/>
      <c r="D2144" s="178" t="n"/>
      <c r="E2144" s="179" t="n"/>
      <c r="F2144" s="177" t="inlineStr">
        <is>
          <t>MESTRE VIU</t>
        </is>
      </c>
      <c r="G2144" s="179" t="n"/>
      <c r="J2144" s="177" t="inlineStr">
        <is>
          <t>TIPO</t>
        </is>
      </c>
      <c r="K2144" s="178" t="n"/>
      <c r="L2144" s="178" t="n"/>
      <c r="M2144" s="179" t="n"/>
      <c r="N2144" s="177" t="inlineStr">
        <is>
          <t>MESTRE VIU</t>
        </is>
      </c>
      <c r="O2144" s="179" t="n"/>
    </row>
    <row r="2145" ht="18.75" customHeight="1">
      <c r="B2145" s="181" t="n"/>
      <c r="C2145" s="178" t="n"/>
      <c r="D2145" s="178" t="n"/>
      <c r="E2145" s="179" t="n"/>
      <c r="F2145" s="180" t="b">
        <v>0</v>
      </c>
      <c r="G2145" s="179" t="n"/>
      <c r="J2145" s="181" t="n"/>
      <c r="K2145" s="178" t="n"/>
      <c r="L2145" s="178" t="n"/>
      <c r="M2145" s="179" t="n"/>
      <c r="N2145" s="180" t="b">
        <v>0</v>
      </c>
      <c r="O2145" s="179" t="n"/>
    </row>
    <row r="2146" ht="18.75" customHeight="1">
      <c r="B2146" s="177" t="inlineStr">
        <is>
          <t>NOME</t>
        </is>
      </c>
      <c r="C2146" s="178" t="n"/>
      <c r="D2146" s="178" t="n"/>
      <c r="E2146" s="178" t="n"/>
      <c r="F2146" s="178" t="n"/>
      <c r="G2146" s="179" t="n"/>
      <c r="J2146" s="177" t="inlineStr">
        <is>
          <t>NOME</t>
        </is>
      </c>
      <c r="K2146" s="178" t="n"/>
      <c r="L2146" s="178" t="n"/>
      <c r="M2146" s="178" t="n"/>
      <c r="N2146" s="178" t="n"/>
      <c r="O2146" s="179" t="n"/>
    </row>
    <row r="2147" ht="18.75" customHeight="1">
      <c r="B2147" s="181" t="n"/>
      <c r="C2147" s="178" t="n"/>
      <c r="D2147" s="178" t="n"/>
      <c r="E2147" s="178" t="n"/>
      <c r="F2147" s="178" t="n"/>
      <c r="G2147" s="179" t="n"/>
      <c r="J2147" s="181" t="n"/>
      <c r="K2147" s="178" t="n"/>
      <c r="L2147" s="178" t="n"/>
      <c r="M2147" s="178" t="n"/>
      <c r="N2147" s="178" t="n"/>
      <c r="O2147" s="179" t="n"/>
    </row>
    <row r="2148" ht="18.75" customHeight="1">
      <c r="B2148" s="177" t="inlineStr">
        <is>
          <t>BASE DO LIVRO</t>
        </is>
      </c>
      <c r="C2148" s="178" t="n"/>
      <c r="D2148" s="179" t="n"/>
      <c r="E2148" s="181" t="n"/>
      <c r="F2148" s="178" t="n"/>
      <c r="G2148" s="179" t="n"/>
      <c r="J2148" s="177" t="inlineStr">
        <is>
          <t>BASE DO LIVRO</t>
        </is>
      </c>
      <c r="K2148" s="178" t="n"/>
      <c r="L2148" s="179" t="n"/>
      <c r="M2148" s="181" t="n"/>
      <c r="N2148" s="178" t="n"/>
      <c r="O2148" s="179" t="n"/>
    </row>
    <row r="2149" ht="18.75" customHeight="1">
      <c r="B2149" s="177" t="inlineStr">
        <is>
          <t>CATEGORIA DE EFEITO</t>
        </is>
      </c>
      <c r="C2149" s="178" t="n"/>
      <c r="D2149" s="179" t="n"/>
      <c r="E2149" s="181" t="n"/>
      <c r="F2149" s="178" t="n"/>
      <c r="G2149" s="179" t="n"/>
      <c r="J2149" s="177" t="inlineStr">
        <is>
          <t>CATEGORIA DE EFEITO</t>
        </is>
      </c>
      <c r="K2149" s="178" t="n"/>
      <c r="L2149" s="179" t="n"/>
      <c r="M2149" s="181" t="n"/>
      <c r="N2149" s="178" t="n"/>
      <c r="O2149" s="179" t="n"/>
    </row>
    <row r="2150" ht="18.75" customHeight="1">
      <c r="B2150" s="177" t="inlineStr">
        <is>
          <t>NÍVEL MÍNIMO</t>
        </is>
      </c>
      <c r="C2150" s="178" t="n"/>
      <c r="D2150" s="179" t="n"/>
      <c r="E2150" s="181" t="n"/>
      <c r="F2150" s="178" t="n"/>
      <c r="G2150" s="179" t="n"/>
      <c r="J2150" s="177" t="inlineStr">
        <is>
          <t>NÍVEL MÍNIMO</t>
        </is>
      </c>
      <c r="K2150" s="178" t="n"/>
      <c r="L2150" s="179" t="n"/>
      <c r="M2150" s="181" t="n"/>
      <c r="N2150" s="178" t="n"/>
      <c r="O2150" s="179" t="n"/>
    </row>
    <row r="2151" ht="18.75" customHeight="1">
      <c r="B2151" s="177" t="inlineStr">
        <is>
          <t>REFINO / LAPIDAÇÃO</t>
        </is>
      </c>
      <c r="C2151" s="178" t="n"/>
      <c r="D2151" s="179" t="n"/>
      <c r="E2151" s="181" t="n"/>
      <c r="F2151" s="178" t="n"/>
      <c r="G2151" s="179" t="n"/>
      <c r="J2151" s="177" t="inlineStr">
        <is>
          <t>REFINO / LAPIDAÇÃO</t>
        </is>
      </c>
      <c r="K2151" s="178" t="n"/>
      <c r="L2151" s="179" t="n"/>
      <c r="M2151" s="181" t="n"/>
      <c r="N2151" s="178" t="n"/>
      <c r="O2151" s="179" t="n"/>
    </row>
    <row r="2152" ht="18.75" customHeight="1">
      <c r="B2152" s="177" t="inlineStr">
        <is>
          <t>ESCOLHA</t>
        </is>
      </c>
      <c r="C2152" s="178" t="n"/>
      <c r="D2152" s="179" t="n"/>
      <c r="E2152" s="181" t="n"/>
      <c r="F2152" s="178" t="n"/>
      <c r="G2152" s="179" t="n"/>
      <c r="J2152" s="177" t="inlineStr">
        <is>
          <t>ESCOLHA</t>
        </is>
      </c>
      <c r="K2152" s="178" t="n"/>
      <c r="L2152" s="179" t="n"/>
      <c r="M2152" s="181" t="n"/>
      <c r="N2152" s="178" t="n"/>
      <c r="O2152" s="179" t="n"/>
    </row>
    <row r="2153" ht="18.75" customHeight="1"/>
    <row r="2154" ht="18.75" customHeight="1">
      <c r="B2154" s="177" t="inlineStr">
        <is>
          <t>REQUISITOS</t>
        </is>
      </c>
      <c r="C2154" s="178" t="n"/>
      <c r="D2154" s="178" t="n"/>
      <c r="E2154" s="178" t="n"/>
      <c r="F2154" s="178" t="n"/>
      <c r="G2154" s="179" t="n"/>
      <c r="J2154" s="177" t="inlineStr">
        <is>
          <t>REQUISITOS</t>
        </is>
      </c>
      <c r="K2154" s="178" t="n"/>
      <c r="L2154" s="178" t="n"/>
      <c r="M2154" s="178" t="n"/>
      <c r="N2154" s="178" t="n"/>
      <c r="O2154" s="179" t="n"/>
    </row>
    <row r="2155" ht="18.75" customHeight="1">
      <c r="B2155" s="183" t="n"/>
      <c r="C2155" s="184" t="n"/>
      <c r="D2155" s="184" t="n"/>
      <c r="E2155" s="184" t="n"/>
      <c r="F2155" s="184" t="n"/>
      <c r="G2155" s="185" t="n"/>
      <c r="J2155" s="183" t="n"/>
      <c r="K2155" s="184" t="n"/>
      <c r="L2155" s="184" t="n"/>
      <c r="M2155" s="184" t="n"/>
      <c r="N2155" s="184" t="n"/>
      <c r="O2155" s="185" t="n"/>
    </row>
    <row r="2156" ht="18.75" customHeight="1">
      <c r="B2156" s="186" t="n"/>
      <c r="G2156" s="187" t="n"/>
      <c r="J2156" s="186" t="n"/>
      <c r="O2156" s="187" t="n"/>
    </row>
    <row r="2157" ht="18.75" customHeight="1">
      <c r="B2157" s="186" t="n"/>
      <c r="G2157" s="187" t="n"/>
      <c r="J2157" s="186" t="n"/>
      <c r="O2157" s="187" t="n"/>
    </row>
    <row r="2158" ht="18.75" customHeight="1">
      <c r="B2158" s="188" t="n"/>
      <c r="C2158" s="189" t="n"/>
      <c r="D2158" s="189" t="n"/>
      <c r="E2158" s="189" t="n"/>
      <c r="F2158" s="189" t="n"/>
      <c r="G2158" s="190" t="n"/>
      <c r="J2158" s="188" t="n"/>
      <c r="K2158" s="189" t="n"/>
      <c r="L2158" s="189" t="n"/>
      <c r="M2158" s="189" t="n"/>
      <c r="N2158" s="189" t="n"/>
      <c r="O2158" s="190" t="n"/>
    </row>
    <row r="2159" ht="18.75" customHeight="1"/>
    <row r="2160" ht="18.75" customHeight="1">
      <c r="B2160" s="177" t="inlineStr">
        <is>
          <t>EFEITO</t>
        </is>
      </c>
      <c r="C2160" s="178" t="n"/>
      <c r="D2160" s="178" t="n"/>
      <c r="E2160" s="178" t="n"/>
      <c r="F2160" s="178" t="n"/>
      <c r="G2160" s="179" t="n"/>
      <c r="J2160" s="177" t="inlineStr">
        <is>
          <t>EFEITO</t>
        </is>
      </c>
      <c r="K2160" s="178" t="n"/>
      <c r="L2160" s="178" t="n"/>
      <c r="M2160" s="178" t="n"/>
      <c r="N2160" s="178" t="n"/>
      <c r="O2160" s="179" t="n"/>
    </row>
    <row r="2161" ht="18.75" customHeight="1">
      <c r="B2161" s="183" t="n"/>
      <c r="C2161" s="184" t="n"/>
      <c r="D2161" s="184" t="n"/>
      <c r="E2161" s="184" t="n"/>
      <c r="F2161" s="184" t="n"/>
      <c r="G2161" s="185" t="n"/>
      <c r="J2161" s="183" t="n"/>
      <c r="K2161" s="184" t="n"/>
      <c r="L2161" s="184" t="n"/>
      <c r="M2161" s="184" t="n"/>
      <c r="N2161" s="184" t="n"/>
      <c r="O2161" s="185" t="n"/>
    </row>
    <row r="2162" ht="18.75" customHeight="1">
      <c r="B2162" s="186" t="n"/>
      <c r="G2162" s="187" t="n"/>
      <c r="J2162" s="186" t="n"/>
      <c r="O2162" s="187" t="n"/>
    </row>
    <row r="2163" ht="18.75" customHeight="1">
      <c r="B2163" s="186" t="n"/>
      <c r="G2163" s="187" t="n"/>
      <c r="J2163" s="186" t="n"/>
      <c r="O2163" s="187" t="n"/>
    </row>
    <row r="2164" ht="18.75" customHeight="1">
      <c r="B2164" s="188" t="n"/>
      <c r="C2164" s="189" t="n"/>
      <c r="D2164" s="189" t="n"/>
      <c r="E2164" s="189" t="n"/>
      <c r="F2164" s="189" t="n"/>
      <c r="G2164" s="190" t="n"/>
      <c r="J2164" s="188" t="n"/>
      <c r="K2164" s="189" t="n"/>
      <c r="L2164" s="189" t="n"/>
      <c r="M2164" s="189" t="n"/>
      <c r="N2164" s="189" t="n"/>
      <c r="O2164" s="190" t="n"/>
    </row>
    <row r="2165" ht="18.75" customHeight="1"/>
    <row r="2166" ht="18.75" customHeight="1"/>
    <row r="2167" ht="18.75" customHeight="1">
      <c r="B2167" s="175">
        <f>IF('DADOS_APTIDOES'!$K4="","","⚠ "&amp;'DADOS_APTIDOES'!$K4)</f>
        <v/>
      </c>
      <c r="J2167" s="175">
        <f>IF('DADOS_APTIDOES'!$K5="","","⚠ "&amp;'DADOS_APTIDOES'!$K5)</f>
        <v/>
      </c>
    </row>
    <row r="2168" ht="18.75" customHeight="1"/>
    <row r="2169" ht="18.75" customHeight="1"/>
    <row r="2170" ht="18.75" customHeight="1">
      <c r="B2170" s="176" t="inlineStr">
        <is>
          <t>APTIDÕES / BÊNÇÃOS · 5</t>
        </is>
      </c>
      <c r="J2170" s="176" t="inlineStr">
        <is>
          <t>APTIDÕES / BÊNÇÃOS · 6</t>
        </is>
      </c>
    </row>
    <row r="2171" ht="18.75" customHeight="1">
      <c r="B2171" s="177" t="inlineStr">
        <is>
          <t>TIPO</t>
        </is>
      </c>
      <c r="C2171" s="178" t="n"/>
      <c r="D2171" s="178" t="n"/>
      <c r="E2171" s="179" t="n"/>
      <c r="F2171" s="177" t="inlineStr">
        <is>
          <t>MESTRE VIU</t>
        </is>
      </c>
      <c r="G2171" s="179" t="n"/>
      <c r="J2171" s="177" t="inlineStr">
        <is>
          <t>TIPO</t>
        </is>
      </c>
      <c r="K2171" s="178" t="n"/>
      <c r="L2171" s="178" t="n"/>
      <c r="M2171" s="179" t="n"/>
      <c r="N2171" s="177" t="inlineStr">
        <is>
          <t>MESTRE VIU</t>
        </is>
      </c>
      <c r="O2171" s="179" t="n"/>
    </row>
    <row r="2172" ht="18.75" customHeight="1">
      <c r="B2172" s="181" t="n"/>
      <c r="C2172" s="178" t="n"/>
      <c r="D2172" s="178" t="n"/>
      <c r="E2172" s="179" t="n"/>
      <c r="F2172" s="180" t="b">
        <v>0</v>
      </c>
      <c r="G2172" s="179" t="n"/>
      <c r="J2172" s="181" t="n"/>
      <c r="K2172" s="178" t="n"/>
      <c r="L2172" s="178" t="n"/>
      <c r="M2172" s="179" t="n"/>
      <c r="N2172" s="180" t="b">
        <v>0</v>
      </c>
      <c r="O2172" s="179" t="n"/>
    </row>
    <row r="2173" ht="18.75" customHeight="1">
      <c r="B2173" s="177" t="inlineStr">
        <is>
          <t>NOME</t>
        </is>
      </c>
      <c r="C2173" s="178" t="n"/>
      <c r="D2173" s="178" t="n"/>
      <c r="E2173" s="178" t="n"/>
      <c r="F2173" s="178" t="n"/>
      <c r="G2173" s="179" t="n"/>
      <c r="J2173" s="177" t="inlineStr">
        <is>
          <t>NOME</t>
        </is>
      </c>
      <c r="K2173" s="178" t="n"/>
      <c r="L2173" s="178" t="n"/>
      <c r="M2173" s="178" t="n"/>
      <c r="N2173" s="178" t="n"/>
      <c r="O2173" s="179" t="n"/>
    </row>
    <row r="2174" ht="18.75" customHeight="1">
      <c r="B2174" s="181" t="n"/>
      <c r="C2174" s="178" t="n"/>
      <c r="D2174" s="178" t="n"/>
      <c r="E2174" s="178" t="n"/>
      <c r="F2174" s="178" t="n"/>
      <c r="G2174" s="179" t="n"/>
      <c r="J2174" s="181" t="n"/>
      <c r="K2174" s="178" t="n"/>
      <c r="L2174" s="178" t="n"/>
      <c r="M2174" s="178" t="n"/>
      <c r="N2174" s="178" t="n"/>
      <c r="O2174" s="179" t="n"/>
    </row>
    <row r="2175" ht="18.75" customHeight="1">
      <c r="B2175" s="177" t="inlineStr">
        <is>
          <t>BASE DO LIVRO</t>
        </is>
      </c>
      <c r="C2175" s="178" t="n"/>
      <c r="D2175" s="179" t="n"/>
      <c r="E2175" s="181" t="n"/>
      <c r="F2175" s="178" t="n"/>
      <c r="G2175" s="179" t="n"/>
      <c r="J2175" s="177" t="inlineStr">
        <is>
          <t>BASE DO LIVRO</t>
        </is>
      </c>
      <c r="K2175" s="178" t="n"/>
      <c r="L2175" s="179" t="n"/>
      <c r="M2175" s="181" t="n"/>
      <c r="N2175" s="178" t="n"/>
      <c r="O2175" s="179" t="n"/>
    </row>
    <row r="2176" ht="18.75" customHeight="1">
      <c r="B2176" s="177" t="inlineStr">
        <is>
          <t>CATEGORIA DE EFEITO</t>
        </is>
      </c>
      <c r="C2176" s="178" t="n"/>
      <c r="D2176" s="179" t="n"/>
      <c r="E2176" s="181" t="n"/>
      <c r="F2176" s="178" t="n"/>
      <c r="G2176" s="179" t="n"/>
      <c r="J2176" s="177" t="inlineStr">
        <is>
          <t>CATEGORIA DE EFEITO</t>
        </is>
      </c>
      <c r="K2176" s="178" t="n"/>
      <c r="L2176" s="179" t="n"/>
      <c r="M2176" s="181" t="n"/>
      <c r="N2176" s="178" t="n"/>
      <c r="O2176" s="179" t="n"/>
    </row>
    <row r="2177" ht="18.75" customHeight="1">
      <c r="B2177" s="177" t="inlineStr">
        <is>
          <t>NÍVEL MÍNIMO</t>
        </is>
      </c>
      <c r="C2177" s="178" t="n"/>
      <c r="D2177" s="179" t="n"/>
      <c r="E2177" s="181" t="n"/>
      <c r="F2177" s="178" t="n"/>
      <c r="G2177" s="179" t="n"/>
      <c r="J2177" s="177" t="inlineStr">
        <is>
          <t>NÍVEL MÍNIMO</t>
        </is>
      </c>
      <c r="K2177" s="178" t="n"/>
      <c r="L2177" s="179" t="n"/>
      <c r="M2177" s="181" t="n"/>
      <c r="N2177" s="178" t="n"/>
      <c r="O2177" s="179" t="n"/>
    </row>
    <row r="2178" ht="18.75" customHeight="1">
      <c r="B2178" s="177" t="inlineStr">
        <is>
          <t>REFINO / LAPIDAÇÃO</t>
        </is>
      </c>
      <c r="C2178" s="178" t="n"/>
      <c r="D2178" s="179" t="n"/>
      <c r="E2178" s="181" t="n"/>
      <c r="F2178" s="178" t="n"/>
      <c r="G2178" s="179" t="n"/>
      <c r="J2178" s="177" t="inlineStr">
        <is>
          <t>REFINO / LAPIDAÇÃO</t>
        </is>
      </c>
      <c r="K2178" s="178" t="n"/>
      <c r="L2178" s="179" t="n"/>
      <c r="M2178" s="181" t="n"/>
      <c r="N2178" s="178" t="n"/>
      <c r="O2178" s="179" t="n"/>
    </row>
    <row r="2179" ht="18.75" customHeight="1">
      <c r="B2179" s="177" t="inlineStr">
        <is>
          <t>ESCOLHA</t>
        </is>
      </c>
      <c r="C2179" s="178" t="n"/>
      <c r="D2179" s="179" t="n"/>
      <c r="E2179" s="181" t="n"/>
      <c r="F2179" s="178" t="n"/>
      <c r="G2179" s="179" t="n"/>
      <c r="J2179" s="177" t="inlineStr">
        <is>
          <t>ESCOLHA</t>
        </is>
      </c>
      <c r="K2179" s="178" t="n"/>
      <c r="L2179" s="179" t="n"/>
      <c r="M2179" s="181" t="n"/>
      <c r="N2179" s="178" t="n"/>
      <c r="O2179" s="179" t="n"/>
    </row>
    <row r="2180" ht="18.75" customHeight="1"/>
    <row r="2181" ht="18.75" customHeight="1">
      <c r="B2181" s="177" t="inlineStr">
        <is>
          <t>REQUISITOS</t>
        </is>
      </c>
      <c r="C2181" s="178" t="n"/>
      <c r="D2181" s="178" t="n"/>
      <c r="E2181" s="178" t="n"/>
      <c r="F2181" s="178" t="n"/>
      <c r="G2181" s="179" t="n"/>
      <c r="J2181" s="177" t="inlineStr">
        <is>
          <t>REQUISITOS</t>
        </is>
      </c>
      <c r="K2181" s="178" t="n"/>
      <c r="L2181" s="178" t="n"/>
      <c r="M2181" s="178" t="n"/>
      <c r="N2181" s="178" t="n"/>
      <c r="O2181" s="179" t="n"/>
    </row>
    <row r="2182" ht="18.75" customHeight="1">
      <c r="B2182" s="183" t="n"/>
      <c r="C2182" s="184" t="n"/>
      <c r="D2182" s="184" t="n"/>
      <c r="E2182" s="184" t="n"/>
      <c r="F2182" s="184" t="n"/>
      <c r="G2182" s="185" t="n"/>
      <c r="J2182" s="183" t="n"/>
      <c r="K2182" s="184" t="n"/>
      <c r="L2182" s="184" t="n"/>
      <c r="M2182" s="184" t="n"/>
      <c r="N2182" s="184" t="n"/>
      <c r="O2182" s="185" t="n"/>
    </row>
    <row r="2183" ht="18.75" customHeight="1">
      <c r="B2183" s="186" t="n"/>
      <c r="G2183" s="187" t="n"/>
      <c r="J2183" s="186" t="n"/>
      <c r="O2183" s="187" t="n"/>
    </row>
    <row r="2184" ht="18.75" customHeight="1">
      <c r="B2184" s="186" t="n"/>
      <c r="G2184" s="187" t="n"/>
      <c r="J2184" s="186" t="n"/>
      <c r="O2184" s="187" t="n"/>
    </row>
    <row r="2185" ht="18.75" customHeight="1">
      <c r="B2185" s="188" t="n"/>
      <c r="C2185" s="189" t="n"/>
      <c r="D2185" s="189" t="n"/>
      <c r="E2185" s="189" t="n"/>
      <c r="F2185" s="189" t="n"/>
      <c r="G2185" s="190" t="n"/>
      <c r="J2185" s="188" t="n"/>
      <c r="K2185" s="189" t="n"/>
      <c r="L2185" s="189" t="n"/>
      <c r="M2185" s="189" t="n"/>
      <c r="N2185" s="189" t="n"/>
      <c r="O2185" s="190" t="n"/>
    </row>
    <row r="2186" ht="18.75" customHeight="1"/>
    <row r="2187" ht="18.75" customHeight="1">
      <c r="B2187" s="177" t="inlineStr">
        <is>
          <t>EFEITO</t>
        </is>
      </c>
      <c r="C2187" s="178" t="n"/>
      <c r="D2187" s="178" t="n"/>
      <c r="E2187" s="178" t="n"/>
      <c r="F2187" s="178" t="n"/>
      <c r="G2187" s="179" t="n"/>
      <c r="J2187" s="177" t="inlineStr">
        <is>
          <t>EFEITO</t>
        </is>
      </c>
      <c r="K2187" s="178" t="n"/>
      <c r="L2187" s="178" t="n"/>
      <c r="M2187" s="178" t="n"/>
      <c r="N2187" s="178" t="n"/>
      <c r="O2187" s="179" t="n"/>
    </row>
    <row r="2188" ht="18.75" customHeight="1">
      <c r="B2188" s="183" t="n"/>
      <c r="C2188" s="184" t="n"/>
      <c r="D2188" s="184" t="n"/>
      <c r="E2188" s="184" t="n"/>
      <c r="F2188" s="184" t="n"/>
      <c r="G2188" s="185" t="n"/>
      <c r="J2188" s="183" t="n"/>
      <c r="K2188" s="184" t="n"/>
      <c r="L2188" s="184" t="n"/>
      <c r="M2188" s="184" t="n"/>
      <c r="N2188" s="184" t="n"/>
      <c r="O2188" s="185" t="n"/>
    </row>
    <row r="2189" ht="18.75" customHeight="1">
      <c r="B2189" s="186" t="n"/>
      <c r="G2189" s="187" t="n"/>
      <c r="J2189" s="186" t="n"/>
      <c r="O2189" s="187" t="n"/>
    </row>
    <row r="2190" ht="18.75" customHeight="1">
      <c r="B2190" s="186" t="n"/>
      <c r="G2190" s="187" t="n"/>
      <c r="J2190" s="186" t="n"/>
      <c r="O2190" s="187" t="n"/>
    </row>
    <row r="2191" ht="18.75" customHeight="1">
      <c r="B2191" s="188" t="n"/>
      <c r="C2191" s="189" t="n"/>
      <c r="D2191" s="189" t="n"/>
      <c r="E2191" s="189" t="n"/>
      <c r="F2191" s="189" t="n"/>
      <c r="G2191" s="190" t="n"/>
      <c r="J2191" s="188" t="n"/>
      <c r="K2191" s="189" t="n"/>
      <c r="L2191" s="189" t="n"/>
      <c r="M2191" s="189" t="n"/>
      <c r="N2191" s="189" t="n"/>
      <c r="O2191" s="190" t="n"/>
    </row>
    <row r="2192" ht="18.75" customHeight="1"/>
    <row r="2193" ht="18.75" customHeight="1"/>
    <row r="2194" ht="18.75" customHeight="1">
      <c r="B2194" s="175">
        <f>IF('DADOS_APTIDOES'!$K6="","","⚠ "&amp;'DADOS_APTIDOES'!$K6)</f>
        <v/>
      </c>
      <c r="J2194" s="175">
        <f>IF('DADOS_APTIDOES'!$K7="","","⚠ "&amp;'DADOS_APTIDOES'!$K7)</f>
        <v/>
      </c>
    </row>
    <row r="2195" ht="18.75" customHeight="1"/>
    <row r="2196" ht="18.75" customHeight="1"/>
    <row r="2197" ht="18.75" customHeight="1">
      <c r="B2197" s="176" t="inlineStr">
        <is>
          <t>APTIDÕES / BÊNÇÃOS · 7</t>
        </is>
      </c>
      <c r="J2197" s="176" t="inlineStr">
        <is>
          <t>APTIDÕES / BÊNÇÃOS · 8</t>
        </is>
      </c>
    </row>
    <row r="2198" ht="18.75" customHeight="1">
      <c r="B2198" s="177" t="inlineStr">
        <is>
          <t>TIPO</t>
        </is>
      </c>
      <c r="C2198" s="178" t="n"/>
      <c r="D2198" s="178" t="n"/>
      <c r="E2198" s="179" t="n"/>
      <c r="F2198" s="177" t="inlineStr">
        <is>
          <t>MESTRE VIU</t>
        </is>
      </c>
      <c r="G2198" s="179" t="n"/>
      <c r="J2198" s="177" t="inlineStr">
        <is>
          <t>TIPO</t>
        </is>
      </c>
      <c r="K2198" s="178" t="n"/>
      <c r="L2198" s="178" t="n"/>
      <c r="M2198" s="179" t="n"/>
      <c r="N2198" s="177" t="inlineStr">
        <is>
          <t>MESTRE VIU</t>
        </is>
      </c>
      <c r="O2198" s="179" t="n"/>
    </row>
    <row r="2199" ht="18.75" customHeight="1">
      <c r="B2199" s="181" t="n"/>
      <c r="C2199" s="178" t="n"/>
      <c r="D2199" s="178" t="n"/>
      <c r="E2199" s="179" t="n"/>
      <c r="F2199" s="180" t="b">
        <v>0</v>
      </c>
      <c r="G2199" s="179" t="n"/>
      <c r="J2199" s="181" t="n"/>
      <c r="K2199" s="178" t="n"/>
      <c r="L2199" s="178" t="n"/>
      <c r="M2199" s="179" t="n"/>
      <c r="N2199" s="180" t="b">
        <v>0</v>
      </c>
      <c r="O2199" s="179" t="n"/>
    </row>
    <row r="2200" ht="18.75" customHeight="1">
      <c r="B2200" s="177" t="inlineStr">
        <is>
          <t>NOME</t>
        </is>
      </c>
      <c r="C2200" s="178" t="n"/>
      <c r="D2200" s="178" t="n"/>
      <c r="E2200" s="178" t="n"/>
      <c r="F2200" s="178" t="n"/>
      <c r="G2200" s="179" t="n"/>
      <c r="J2200" s="177" t="inlineStr">
        <is>
          <t>NOME</t>
        </is>
      </c>
      <c r="K2200" s="178" t="n"/>
      <c r="L2200" s="178" t="n"/>
      <c r="M2200" s="178" t="n"/>
      <c r="N2200" s="178" t="n"/>
      <c r="O2200" s="179" t="n"/>
    </row>
    <row r="2201" ht="18.75" customHeight="1">
      <c r="B2201" s="181" t="n"/>
      <c r="C2201" s="178" t="n"/>
      <c r="D2201" s="178" t="n"/>
      <c r="E2201" s="178" t="n"/>
      <c r="F2201" s="178" t="n"/>
      <c r="G2201" s="179" t="n"/>
      <c r="J2201" s="181" t="n"/>
      <c r="K2201" s="178" t="n"/>
      <c r="L2201" s="178" t="n"/>
      <c r="M2201" s="178" t="n"/>
      <c r="N2201" s="178" t="n"/>
      <c r="O2201" s="179" t="n"/>
    </row>
    <row r="2202" ht="18.75" customHeight="1">
      <c r="B2202" s="177" t="inlineStr">
        <is>
          <t>BASE DO LIVRO</t>
        </is>
      </c>
      <c r="C2202" s="178" t="n"/>
      <c r="D2202" s="179" t="n"/>
      <c r="E2202" s="181" t="n"/>
      <c r="F2202" s="178" t="n"/>
      <c r="G2202" s="179" t="n"/>
      <c r="J2202" s="177" t="inlineStr">
        <is>
          <t>BASE DO LIVRO</t>
        </is>
      </c>
      <c r="K2202" s="178" t="n"/>
      <c r="L2202" s="179" t="n"/>
      <c r="M2202" s="181" t="n"/>
      <c r="N2202" s="178" t="n"/>
      <c r="O2202" s="179" t="n"/>
    </row>
    <row r="2203" ht="18.75" customHeight="1">
      <c r="B2203" s="177" t="inlineStr">
        <is>
          <t>CATEGORIA DE EFEITO</t>
        </is>
      </c>
      <c r="C2203" s="178" t="n"/>
      <c r="D2203" s="179" t="n"/>
      <c r="E2203" s="181" t="n"/>
      <c r="F2203" s="178" t="n"/>
      <c r="G2203" s="179" t="n"/>
      <c r="J2203" s="177" t="inlineStr">
        <is>
          <t>CATEGORIA DE EFEITO</t>
        </is>
      </c>
      <c r="K2203" s="178" t="n"/>
      <c r="L2203" s="179" t="n"/>
      <c r="M2203" s="181" t="n"/>
      <c r="N2203" s="178" t="n"/>
      <c r="O2203" s="179" t="n"/>
    </row>
    <row r="2204" ht="18.75" customHeight="1">
      <c r="B2204" s="177" t="inlineStr">
        <is>
          <t>NÍVEL MÍNIMO</t>
        </is>
      </c>
      <c r="C2204" s="178" t="n"/>
      <c r="D2204" s="179" t="n"/>
      <c r="E2204" s="181" t="n"/>
      <c r="F2204" s="178" t="n"/>
      <c r="G2204" s="179" t="n"/>
      <c r="J2204" s="177" t="inlineStr">
        <is>
          <t>NÍVEL MÍNIMO</t>
        </is>
      </c>
      <c r="K2204" s="178" t="n"/>
      <c r="L2204" s="179" t="n"/>
      <c r="M2204" s="181" t="n"/>
      <c r="N2204" s="178" t="n"/>
      <c r="O2204" s="179" t="n"/>
    </row>
    <row r="2205" ht="18.75" customHeight="1">
      <c r="B2205" s="177" t="inlineStr">
        <is>
          <t>REFINO / LAPIDAÇÃO</t>
        </is>
      </c>
      <c r="C2205" s="178" t="n"/>
      <c r="D2205" s="179" t="n"/>
      <c r="E2205" s="181" t="n"/>
      <c r="F2205" s="178" t="n"/>
      <c r="G2205" s="179" t="n"/>
      <c r="J2205" s="177" t="inlineStr">
        <is>
          <t>REFINO / LAPIDAÇÃO</t>
        </is>
      </c>
      <c r="K2205" s="178" t="n"/>
      <c r="L2205" s="179" t="n"/>
      <c r="M2205" s="181" t="n"/>
      <c r="N2205" s="178" t="n"/>
      <c r="O2205" s="179" t="n"/>
    </row>
    <row r="2206" ht="18.75" customHeight="1">
      <c r="B2206" s="177" t="inlineStr">
        <is>
          <t>ESCOLHA</t>
        </is>
      </c>
      <c r="C2206" s="178" t="n"/>
      <c r="D2206" s="179" t="n"/>
      <c r="E2206" s="181" t="n"/>
      <c r="F2206" s="178" t="n"/>
      <c r="G2206" s="179" t="n"/>
      <c r="J2206" s="177" t="inlineStr">
        <is>
          <t>ESCOLHA</t>
        </is>
      </c>
      <c r="K2206" s="178" t="n"/>
      <c r="L2206" s="179" t="n"/>
      <c r="M2206" s="181" t="n"/>
      <c r="N2206" s="178" t="n"/>
      <c r="O2206" s="179" t="n"/>
    </row>
    <row r="2207" ht="18.75" customHeight="1"/>
    <row r="2208" ht="18.75" customHeight="1">
      <c r="B2208" s="177" t="inlineStr">
        <is>
          <t>REQUISITOS</t>
        </is>
      </c>
      <c r="C2208" s="178" t="n"/>
      <c r="D2208" s="178" t="n"/>
      <c r="E2208" s="178" t="n"/>
      <c r="F2208" s="178" t="n"/>
      <c r="G2208" s="179" t="n"/>
      <c r="J2208" s="177" t="inlineStr">
        <is>
          <t>REQUISITOS</t>
        </is>
      </c>
      <c r="K2208" s="178" t="n"/>
      <c r="L2208" s="178" t="n"/>
      <c r="M2208" s="178" t="n"/>
      <c r="N2208" s="178" t="n"/>
      <c r="O2208" s="179" t="n"/>
    </row>
    <row r="2209" ht="18.75" customHeight="1">
      <c r="B2209" s="183" t="n"/>
      <c r="C2209" s="184" t="n"/>
      <c r="D2209" s="184" t="n"/>
      <c r="E2209" s="184" t="n"/>
      <c r="F2209" s="184" t="n"/>
      <c r="G2209" s="185" t="n"/>
      <c r="J2209" s="183" t="n"/>
      <c r="K2209" s="184" t="n"/>
      <c r="L2209" s="184" t="n"/>
      <c r="M2209" s="184" t="n"/>
      <c r="N2209" s="184" t="n"/>
      <c r="O2209" s="185" t="n"/>
    </row>
    <row r="2210" ht="18.75" customHeight="1">
      <c r="B2210" s="186" t="n"/>
      <c r="G2210" s="187" t="n"/>
      <c r="J2210" s="186" t="n"/>
      <c r="O2210" s="187" t="n"/>
    </row>
    <row r="2211" ht="18.75" customHeight="1">
      <c r="B2211" s="186" t="n"/>
      <c r="G2211" s="187" t="n"/>
      <c r="J2211" s="186" t="n"/>
      <c r="O2211" s="187" t="n"/>
    </row>
    <row r="2212" ht="18.75" customHeight="1">
      <c r="B2212" s="188" t="n"/>
      <c r="C2212" s="189" t="n"/>
      <c r="D2212" s="189" t="n"/>
      <c r="E2212" s="189" t="n"/>
      <c r="F2212" s="189" t="n"/>
      <c r="G2212" s="190" t="n"/>
      <c r="J2212" s="188" t="n"/>
      <c r="K2212" s="189" t="n"/>
      <c r="L2212" s="189" t="n"/>
      <c r="M2212" s="189" t="n"/>
      <c r="N2212" s="189" t="n"/>
      <c r="O2212" s="190" t="n"/>
    </row>
    <row r="2213" ht="18.75" customHeight="1"/>
    <row r="2214" ht="18.75" customHeight="1">
      <c r="B2214" s="177" t="inlineStr">
        <is>
          <t>EFEITO</t>
        </is>
      </c>
      <c r="C2214" s="178" t="n"/>
      <c r="D2214" s="178" t="n"/>
      <c r="E2214" s="178" t="n"/>
      <c r="F2214" s="178" t="n"/>
      <c r="G2214" s="179" t="n"/>
      <c r="J2214" s="177" t="inlineStr">
        <is>
          <t>EFEITO</t>
        </is>
      </c>
      <c r="K2214" s="178" t="n"/>
      <c r="L2214" s="178" t="n"/>
      <c r="M2214" s="178" t="n"/>
      <c r="N2214" s="178" t="n"/>
      <c r="O2214" s="179" t="n"/>
    </row>
    <row r="2215" ht="18.75" customHeight="1">
      <c r="B2215" s="183" t="n"/>
      <c r="C2215" s="184" t="n"/>
      <c r="D2215" s="184" t="n"/>
      <c r="E2215" s="184" t="n"/>
      <c r="F2215" s="184" t="n"/>
      <c r="G2215" s="185" t="n"/>
      <c r="J2215" s="183" t="n"/>
      <c r="K2215" s="184" t="n"/>
      <c r="L2215" s="184" t="n"/>
      <c r="M2215" s="184" t="n"/>
      <c r="N2215" s="184" t="n"/>
      <c r="O2215" s="185" t="n"/>
    </row>
    <row r="2216" ht="18.75" customHeight="1">
      <c r="B2216" s="186" t="n"/>
      <c r="G2216" s="187" t="n"/>
      <c r="J2216" s="186" t="n"/>
      <c r="O2216" s="187" t="n"/>
    </row>
    <row r="2217" ht="18.75" customHeight="1">
      <c r="B2217" s="186" t="n"/>
      <c r="G2217" s="187" t="n"/>
      <c r="J2217" s="186" t="n"/>
      <c r="O2217" s="187" t="n"/>
    </row>
    <row r="2218" ht="18.75" customHeight="1">
      <c r="B2218" s="188" t="n"/>
      <c r="C2218" s="189" t="n"/>
      <c r="D2218" s="189" t="n"/>
      <c r="E2218" s="189" t="n"/>
      <c r="F2218" s="189" t="n"/>
      <c r="G2218" s="190" t="n"/>
      <c r="J2218" s="188" t="n"/>
      <c r="K2218" s="189" t="n"/>
      <c r="L2218" s="189" t="n"/>
      <c r="M2218" s="189" t="n"/>
      <c r="N2218" s="189" t="n"/>
      <c r="O2218" s="190" t="n"/>
    </row>
    <row r="2219" ht="18.75" customHeight="1"/>
    <row r="2220" ht="18.75" customHeight="1"/>
    <row r="2221" ht="18.75" customHeight="1">
      <c r="B2221" s="175">
        <f>IF('DADOS_APTIDOES'!$K8="","","⚠ "&amp;'DADOS_APTIDOES'!$K8)</f>
        <v/>
      </c>
      <c r="J2221" s="175">
        <f>IF('DADOS_APTIDOES'!$K9="","","⚠ "&amp;'DADOS_APTIDOES'!$K9)</f>
        <v/>
      </c>
    </row>
    <row r="2222" ht="18.75" customHeight="1"/>
    <row r="2223" ht="18.75" customHeight="1"/>
    <row r="2224" ht="18.75" customHeight="1">
      <c r="B2224" s="176" t="inlineStr">
        <is>
          <t>APTIDÕES / BÊNÇÃOS · 9</t>
        </is>
      </c>
      <c r="J2224" s="176" t="inlineStr">
        <is>
          <t>APTIDÕES / BÊNÇÃOS · 10</t>
        </is>
      </c>
    </row>
    <row r="2225" ht="18.75" customHeight="1">
      <c r="B2225" s="177" t="inlineStr">
        <is>
          <t>TIPO</t>
        </is>
      </c>
      <c r="C2225" s="178" t="n"/>
      <c r="D2225" s="178" t="n"/>
      <c r="E2225" s="179" t="n"/>
      <c r="F2225" s="177" t="inlineStr">
        <is>
          <t>MESTRE VIU</t>
        </is>
      </c>
      <c r="G2225" s="179" t="n"/>
      <c r="J2225" s="177" t="inlineStr">
        <is>
          <t>TIPO</t>
        </is>
      </c>
      <c r="K2225" s="178" t="n"/>
      <c r="L2225" s="178" t="n"/>
      <c r="M2225" s="179" t="n"/>
      <c r="N2225" s="177" t="inlineStr">
        <is>
          <t>MESTRE VIU</t>
        </is>
      </c>
      <c r="O2225" s="179" t="n"/>
    </row>
    <row r="2226" ht="18.75" customHeight="1">
      <c r="B2226" s="181" t="n"/>
      <c r="C2226" s="178" t="n"/>
      <c r="D2226" s="178" t="n"/>
      <c r="E2226" s="179" t="n"/>
      <c r="F2226" s="180" t="b">
        <v>0</v>
      </c>
      <c r="G2226" s="179" t="n"/>
      <c r="J2226" s="181" t="n"/>
      <c r="K2226" s="178" t="n"/>
      <c r="L2226" s="178" t="n"/>
      <c r="M2226" s="179" t="n"/>
      <c r="N2226" s="180" t="b">
        <v>0</v>
      </c>
      <c r="O2226" s="179" t="n"/>
    </row>
    <row r="2227" ht="18.75" customHeight="1">
      <c r="B2227" s="177" t="inlineStr">
        <is>
          <t>NOME</t>
        </is>
      </c>
      <c r="C2227" s="178" t="n"/>
      <c r="D2227" s="178" t="n"/>
      <c r="E2227" s="178" t="n"/>
      <c r="F2227" s="178" t="n"/>
      <c r="G2227" s="179" t="n"/>
      <c r="J2227" s="177" t="inlineStr">
        <is>
          <t>NOME</t>
        </is>
      </c>
      <c r="K2227" s="178" t="n"/>
      <c r="L2227" s="178" t="n"/>
      <c r="M2227" s="178" t="n"/>
      <c r="N2227" s="178" t="n"/>
      <c r="O2227" s="179" t="n"/>
    </row>
    <row r="2228" ht="18.75" customHeight="1">
      <c r="B2228" s="181" t="n"/>
      <c r="C2228" s="178" t="n"/>
      <c r="D2228" s="178" t="n"/>
      <c r="E2228" s="178" t="n"/>
      <c r="F2228" s="178" t="n"/>
      <c r="G2228" s="179" t="n"/>
      <c r="J2228" s="181" t="n"/>
      <c r="K2228" s="178" t="n"/>
      <c r="L2228" s="178" t="n"/>
      <c r="M2228" s="178" t="n"/>
      <c r="N2228" s="178" t="n"/>
      <c r="O2228" s="179" t="n"/>
    </row>
    <row r="2229" ht="18.75" customHeight="1">
      <c r="B2229" s="177" t="inlineStr">
        <is>
          <t>BASE DO LIVRO</t>
        </is>
      </c>
      <c r="C2229" s="178" t="n"/>
      <c r="D2229" s="179" t="n"/>
      <c r="E2229" s="181" t="n"/>
      <c r="F2229" s="178" t="n"/>
      <c r="G2229" s="179" t="n"/>
      <c r="J2229" s="177" t="inlineStr">
        <is>
          <t>BASE DO LIVRO</t>
        </is>
      </c>
      <c r="K2229" s="178" t="n"/>
      <c r="L2229" s="179" t="n"/>
      <c r="M2229" s="181" t="n"/>
      <c r="N2229" s="178" t="n"/>
      <c r="O2229" s="179" t="n"/>
    </row>
    <row r="2230" ht="18.75" customHeight="1">
      <c r="B2230" s="177" t="inlineStr">
        <is>
          <t>CATEGORIA DE EFEITO</t>
        </is>
      </c>
      <c r="C2230" s="178" t="n"/>
      <c r="D2230" s="179" t="n"/>
      <c r="E2230" s="181" t="n"/>
      <c r="F2230" s="178" t="n"/>
      <c r="G2230" s="179" t="n"/>
      <c r="J2230" s="177" t="inlineStr">
        <is>
          <t>CATEGORIA DE EFEITO</t>
        </is>
      </c>
      <c r="K2230" s="178" t="n"/>
      <c r="L2230" s="179" t="n"/>
      <c r="M2230" s="181" t="n"/>
      <c r="N2230" s="178" t="n"/>
      <c r="O2230" s="179" t="n"/>
    </row>
    <row r="2231" ht="18.75" customHeight="1">
      <c r="B2231" s="177" t="inlineStr">
        <is>
          <t>NÍVEL MÍNIMO</t>
        </is>
      </c>
      <c r="C2231" s="178" t="n"/>
      <c r="D2231" s="179" t="n"/>
      <c r="E2231" s="181" t="n"/>
      <c r="F2231" s="178" t="n"/>
      <c r="G2231" s="179" t="n"/>
      <c r="J2231" s="177" t="inlineStr">
        <is>
          <t>NÍVEL MÍNIMO</t>
        </is>
      </c>
      <c r="K2231" s="178" t="n"/>
      <c r="L2231" s="179" t="n"/>
      <c r="M2231" s="181" t="n"/>
      <c r="N2231" s="178" t="n"/>
      <c r="O2231" s="179" t="n"/>
    </row>
    <row r="2232" ht="18.75" customHeight="1">
      <c r="B2232" s="177" t="inlineStr">
        <is>
          <t>REFINO / LAPIDAÇÃO</t>
        </is>
      </c>
      <c r="C2232" s="178" t="n"/>
      <c r="D2232" s="179" t="n"/>
      <c r="E2232" s="181" t="n"/>
      <c r="F2232" s="178" t="n"/>
      <c r="G2232" s="179" t="n"/>
      <c r="J2232" s="177" t="inlineStr">
        <is>
          <t>REFINO / LAPIDAÇÃO</t>
        </is>
      </c>
      <c r="K2232" s="178" t="n"/>
      <c r="L2232" s="179" t="n"/>
      <c r="M2232" s="181" t="n"/>
      <c r="N2232" s="178" t="n"/>
      <c r="O2232" s="179" t="n"/>
    </row>
    <row r="2233" ht="18.75" customHeight="1">
      <c r="B2233" s="177" t="inlineStr">
        <is>
          <t>ESCOLHA</t>
        </is>
      </c>
      <c r="C2233" s="178" t="n"/>
      <c r="D2233" s="179" t="n"/>
      <c r="E2233" s="181" t="n"/>
      <c r="F2233" s="178" t="n"/>
      <c r="G2233" s="179" t="n"/>
      <c r="J2233" s="177" t="inlineStr">
        <is>
          <t>ESCOLHA</t>
        </is>
      </c>
      <c r="K2233" s="178" t="n"/>
      <c r="L2233" s="179" t="n"/>
      <c r="M2233" s="181" t="n"/>
      <c r="N2233" s="178" t="n"/>
      <c r="O2233" s="179" t="n"/>
    </row>
    <row r="2234" ht="18.75" customHeight="1"/>
    <row r="2235" ht="18.75" customHeight="1">
      <c r="B2235" s="177" t="inlineStr">
        <is>
          <t>REQUISITOS</t>
        </is>
      </c>
      <c r="C2235" s="178" t="n"/>
      <c r="D2235" s="178" t="n"/>
      <c r="E2235" s="178" t="n"/>
      <c r="F2235" s="178" t="n"/>
      <c r="G2235" s="179" t="n"/>
      <c r="J2235" s="177" t="inlineStr">
        <is>
          <t>REQUISITOS</t>
        </is>
      </c>
      <c r="K2235" s="178" t="n"/>
      <c r="L2235" s="178" t="n"/>
      <c r="M2235" s="178" t="n"/>
      <c r="N2235" s="178" t="n"/>
      <c r="O2235" s="179" t="n"/>
    </row>
    <row r="2236" ht="18.75" customHeight="1">
      <c r="B2236" s="183" t="n"/>
      <c r="C2236" s="184" t="n"/>
      <c r="D2236" s="184" t="n"/>
      <c r="E2236" s="184" t="n"/>
      <c r="F2236" s="184" t="n"/>
      <c r="G2236" s="185" t="n"/>
      <c r="J2236" s="183" t="n"/>
      <c r="K2236" s="184" t="n"/>
      <c r="L2236" s="184" t="n"/>
      <c r="M2236" s="184" t="n"/>
      <c r="N2236" s="184" t="n"/>
      <c r="O2236" s="185" t="n"/>
    </row>
    <row r="2237" ht="18.75" customHeight="1">
      <c r="B2237" s="186" t="n"/>
      <c r="G2237" s="187" t="n"/>
      <c r="J2237" s="186" t="n"/>
      <c r="O2237" s="187" t="n"/>
    </row>
    <row r="2238" ht="18.75" customHeight="1">
      <c r="B2238" s="186" t="n"/>
      <c r="G2238" s="187" t="n"/>
      <c r="J2238" s="186" t="n"/>
      <c r="O2238" s="187" t="n"/>
    </row>
    <row r="2239" ht="18.75" customHeight="1">
      <c r="B2239" s="188" t="n"/>
      <c r="C2239" s="189" t="n"/>
      <c r="D2239" s="189" t="n"/>
      <c r="E2239" s="189" t="n"/>
      <c r="F2239" s="189" t="n"/>
      <c r="G2239" s="190" t="n"/>
      <c r="J2239" s="188" t="n"/>
      <c r="K2239" s="189" t="n"/>
      <c r="L2239" s="189" t="n"/>
      <c r="M2239" s="189" t="n"/>
      <c r="N2239" s="189" t="n"/>
      <c r="O2239" s="190" t="n"/>
    </row>
    <row r="2240" ht="18.75" customHeight="1"/>
    <row r="2241" ht="18.75" customHeight="1">
      <c r="B2241" s="177" t="inlineStr">
        <is>
          <t>EFEITO</t>
        </is>
      </c>
      <c r="C2241" s="178" t="n"/>
      <c r="D2241" s="178" t="n"/>
      <c r="E2241" s="178" t="n"/>
      <c r="F2241" s="178" t="n"/>
      <c r="G2241" s="179" t="n"/>
      <c r="J2241" s="177" t="inlineStr">
        <is>
          <t>EFEITO</t>
        </is>
      </c>
      <c r="K2241" s="178" t="n"/>
      <c r="L2241" s="178" t="n"/>
      <c r="M2241" s="178" t="n"/>
      <c r="N2241" s="178" t="n"/>
      <c r="O2241" s="179" t="n"/>
    </row>
    <row r="2242" ht="18.75" customHeight="1">
      <c r="B2242" s="183" t="n"/>
      <c r="C2242" s="184" t="n"/>
      <c r="D2242" s="184" t="n"/>
      <c r="E2242" s="184" t="n"/>
      <c r="F2242" s="184" t="n"/>
      <c r="G2242" s="185" t="n"/>
      <c r="J2242" s="183" t="n"/>
      <c r="K2242" s="184" t="n"/>
      <c r="L2242" s="184" t="n"/>
      <c r="M2242" s="184" t="n"/>
      <c r="N2242" s="184" t="n"/>
      <c r="O2242" s="185" t="n"/>
    </row>
    <row r="2243" ht="18.75" customHeight="1">
      <c r="B2243" s="186" t="n"/>
      <c r="G2243" s="187" t="n"/>
      <c r="J2243" s="186" t="n"/>
      <c r="O2243" s="187" t="n"/>
    </row>
    <row r="2244" ht="18.75" customHeight="1">
      <c r="B2244" s="186" t="n"/>
      <c r="G2244" s="187" t="n"/>
      <c r="J2244" s="186" t="n"/>
      <c r="O2244" s="187" t="n"/>
    </row>
    <row r="2245" ht="18.75" customHeight="1">
      <c r="B2245" s="188" t="n"/>
      <c r="C2245" s="189" t="n"/>
      <c r="D2245" s="189" t="n"/>
      <c r="E2245" s="189" t="n"/>
      <c r="F2245" s="189" t="n"/>
      <c r="G2245" s="190" t="n"/>
      <c r="J2245" s="188" t="n"/>
      <c r="K2245" s="189" t="n"/>
      <c r="L2245" s="189" t="n"/>
      <c r="M2245" s="189" t="n"/>
      <c r="N2245" s="189" t="n"/>
      <c r="O2245" s="190" t="n"/>
    </row>
    <row r="2246" ht="18.75" customHeight="1"/>
    <row r="2247" ht="18.75" customHeight="1"/>
    <row r="2248" ht="18.75" customHeight="1">
      <c r="B2248" s="175">
        <f>IF('DADOS_APTIDOES'!$K10="","","⚠ "&amp;'DADOS_APTIDOES'!$K10)</f>
        <v/>
      </c>
      <c r="J2248" s="175">
        <f>IF('DADOS_APTIDOES'!$K11="","","⚠ "&amp;'DADOS_APTIDOES'!$K11)</f>
        <v/>
      </c>
    </row>
    <row r="2249" ht="18.75" customHeight="1"/>
    <row r="2250" ht="18.75" customHeight="1"/>
    <row r="2251" ht="18.75" customHeight="1"/>
    <row r="2252" ht="18.75" customHeight="1"/>
    <row r="2253" ht="18.75" customHeight="1"/>
    <row r="2254" ht="18.75" customHeight="1">
      <c r="B2254" s="176" t="inlineStr">
        <is>
          <t>TALENTOS CUSTOM</t>
        </is>
      </c>
    </row>
    <row r="2255" ht="18.75" customHeight="1"/>
    <row r="2256" ht="18.75" customHeight="1"/>
    <row r="2257" ht="18.75" customHeight="1">
      <c r="B2257" s="176" t="inlineStr">
        <is>
          <t>TALENTOS · 1</t>
        </is>
      </c>
      <c r="J2257" s="176" t="inlineStr">
        <is>
          <t>TALENTOS · 2</t>
        </is>
      </c>
    </row>
    <row r="2258" ht="18.75" customHeight="1">
      <c r="B2258" s="177" t="inlineStr">
        <is>
          <t>TIPO</t>
        </is>
      </c>
      <c r="C2258" s="178" t="n"/>
      <c r="D2258" s="178" t="n"/>
      <c r="E2258" s="179" t="n"/>
      <c r="F2258" s="177" t="inlineStr">
        <is>
          <t>MESTRE VIU</t>
        </is>
      </c>
      <c r="G2258" s="179" t="n"/>
      <c r="J2258" s="177" t="inlineStr">
        <is>
          <t>TIPO</t>
        </is>
      </c>
      <c r="K2258" s="178" t="n"/>
      <c r="L2258" s="178" t="n"/>
      <c r="M2258" s="179" t="n"/>
      <c r="N2258" s="177" t="inlineStr">
        <is>
          <t>MESTRE VIU</t>
        </is>
      </c>
      <c r="O2258" s="179" t="n"/>
    </row>
    <row r="2259" ht="18.75" customHeight="1">
      <c r="B2259" s="181" t="inlineStr">
        <is>
          <t>Talento</t>
        </is>
      </c>
      <c r="C2259" s="178" t="n"/>
      <c r="D2259" s="178" t="n"/>
      <c r="E2259" s="179" t="n"/>
      <c r="F2259" s="180" t="b">
        <v>0</v>
      </c>
      <c r="G2259" s="179" t="n"/>
      <c r="J2259" s="181" t="inlineStr">
        <is>
          <t>Talento</t>
        </is>
      </c>
      <c r="K2259" s="178" t="n"/>
      <c r="L2259" s="178" t="n"/>
      <c r="M2259" s="179" t="n"/>
      <c r="N2259" s="180" t="b">
        <v>0</v>
      </c>
      <c r="O2259" s="179" t="n"/>
    </row>
    <row r="2260" ht="18.75" customHeight="1">
      <c r="B2260" s="177" t="inlineStr">
        <is>
          <t>NOME</t>
        </is>
      </c>
      <c r="C2260" s="178" t="n"/>
      <c r="D2260" s="178" t="n"/>
      <c r="E2260" s="178" t="n"/>
      <c r="F2260" s="178" t="n"/>
      <c r="G2260" s="179" t="n"/>
      <c r="J2260" s="177" t="inlineStr">
        <is>
          <t>NOME</t>
        </is>
      </c>
      <c r="K2260" s="178" t="n"/>
      <c r="L2260" s="178" t="n"/>
      <c r="M2260" s="178" t="n"/>
      <c r="N2260" s="178" t="n"/>
      <c r="O2260" s="179" t="n"/>
    </row>
    <row r="2261" ht="18.75" customHeight="1">
      <c r="B2261" s="181" t="n"/>
      <c r="C2261" s="178" t="n"/>
      <c r="D2261" s="178" t="n"/>
      <c r="E2261" s="178" t="n"/>
      <c r="F2261" s="178" t="n"/>
      <c r="G2261" s="179" t="n"/>
      <c r="J2261" s="181" t="n"/>
      <c r="K2261" s="178" t="n"/>
      <c r="L2261" s="178" t="n"/>
      <c r="M2261" s="178" t="n"/>
      <c r="N2261" s="178" t="n"/>
      <c r="O2261" s="179" t="n"/>
    </row>
    <row r="2262" ht="18.75" customHeight="1">
      <c r="B2262" s="177" t="inlineStr">
        <is>
          <t>BASE DO LIVRO</t>
        </is>
      </c>
      <c r="C2262" s="178" t="n"/>
      <c r="D2262" s="179" t="n"/>
      <c r="E2262" s="181" t="n"/>
      <c r="F2262" s="178" t="n"/>
      <c r="G2262" s="179" t="n"/>
      <c r="J2262" s="177" t="inlineStr">
        <is>
          <t>BASE DO LIVRO</t>
        </is>
      </c>
      <c r="K2262" s="178" t="n"/>
      <c r="L2262" s="179" t="n"/>
      <c r="M2262" s="181" t="n"/>
      <c r="N2262" s="178" t="n"/>
      <c r="O2262" s="179" t="n"/>
    </row>
    <row r="2263" ht="18.75" customHeight="1">
      <c r="B2263" s="177" t="inlineStr">
        <is>
          <t>CATEGORIA DE EFEITO</t>
        </is>
      </c>
      <c r="C2263" s="178" t="n"/>
      <c r="D2263" s="179" t="n"/>
      <c r="E2263" s="181" t="n"/>
      <c r="F2263" s="178" t="n"/>
      <c r="G2263" s="179" t="n"/>
      <c r="J2263" s="177" t="inlineStr">
        <is>
          <t>CATEGORIA DE EFEITO</t>
        </is>
      </c>
      <c r="K2263" s="178" t="n"/>
      <c r="L2263" s="179" t="n"/>
      <c r="M2263" s="181" t="n"/>
      <c r="N2263" s="178" t="n"/>
      <c r="O2263" s="179" t="n"/>
    </row>
    <row r="2264" ht="18.75" customHeight="1">
      <c r="B2264" s="177" t="inlineStr">
        <is>
          <t>ROTA</t>
        </is>
      </c>
      <c r="C2264" s="178" t="n"/>
      <c r="D2264" s="179" t="n"/>
      <c r="E2264" s="181" t="n"/>
      <c r="F2264" s="178" t="n"/>
      <c r="G2264" s="179" t="n"/>
      <c r="J2264" s="177" t="inlineStr">
        <is>
          <t>ROTA</t>
        </is>
      </c>
      <c r="K2264" s="178" t="n"/>
      <c r="L2264" s="179" t="n"/>
      <c r="M2264" s="181" t="n"/>
      <c r="N2264" s="178" t="n"/>
      <c r="O2264" s="179" t="n"/>
    </row>
    <row r="2265" ht="18.75" customHeight="1"/>
    <row r="2266" ht="18.75" customHeight="1">
      <c r="B2266" s="177" t="inlineStr">
        <is>
          <t>REQUISITOS</t>
        </is>
      </c>
      <c r="C2266" s="178" t="n"/>
      <c r="D2266" s="178" t="n"/>
      <c r="E2266" s="178" t="n"/>
      <c r="F2266" s="178" t="n"/>
      <c r="G2266" s="179" t="n"/>
      <c r="J2266" s="177" t="inlineStr">
        <is>
          <t>REQUISITOS</t>
        </is>
      </c>
      <c r="K2266" s="178" t="n"/>
      <c r="L2266" s="178" t="n"/>
      <c r="M2266" s="178" t="n"/>
      <c r="N2266" s="178" t="n"/>
      <c r="O2266" s="179" t="n"/>
    </row>
    <row r="2267" ht="18.75" customHeight="1">
      <c r="B2267" s="183" t="n"/>
      <c r="C2267" s="184" t="n"/>
      <c r="D2267" s="184" t="n"/>
      <c r="E2267" s="184" t="n"/>
      <c r="F2267" s="184" t="n"/>
      <c r="G2267" s="185" t="n"/>
      <c r="J2267" s="183" t="n"/>
      <c r="K2267" s="184" t="n"/>
      <c r="L2267" s="184" t="n"/>
      <c r="M2267" s="184" t="n"/>
      <c r="N2267" s="184" t="n"/>
      <c r="O2267" s="185" t="n"/>
    </row>
    <row r="2268" ht="18.75" customHeight="1">
      <c r="B2268" s="186" t="n"/>
      <c r="G2268" s="187" t="n"/>
      <c r="J2268" s="186" t="n"/>
      <c r="O2268" s="187" t="n"/>
    </row>
    <row r="2269" ht="18.75" customHeight="1">
      <c r="B2269" s="186" t="n"/>
      <c r="G2269" s="187" t="n"/>
      <c r="J2269" s="186" t="n"/>
      <c r="O2269" s="187" t="n"/>
    </row>
    <row r="2270" ht="18.75" customHeight="1">
      <c r="B2270" s="188" t="n"/>
      <c r="C2270" s="189" t="n"/>
      <c r="D2270" s="189" t="n"/>
      <c r="E2270" s="189" t="n"/>
      <c r="F2270" s="189" t="n"/>
      <c r="G2270" s="190" t="n"/>
      <c r="J2270" s="188" t="n"/>
      <c r="K2270" s="189" t="n"/>
      <c r="L2270" s="189" t="n"/>
      <c r="M2270" s="189" t="n"/>
      <c r="N2270" s="189" t="n"/>
      <c r="O2270" s="190" t="n"/>
    </row>
    <row r="2271" ht="18.75" customHeight="1"/>
    <row r="2272" ht="18.75" customHeight="1">
      <c r="B2272" s="177" t="inlineStr">
        <is>
          <t>EFEITO</t>
        </is>
      </c>
      <c r="C2272" s="178" t="n"/>
      <c r="D2272" s="178" t="n"/>
      <c r="E2272" s="178" t="n"/>
      <c r="F2272" s="178" t="n"/>
      <c r="G2272" s="179" t="n"/>
      <c r="J2272" s="177" t="inlineStr">
        <is>
          <t>EFEITO</t>
        </is>
      </c>
      <c r="K2272" s="178" t="n"/>
      <c r="L2272" s="178" t="n"/>
      <c r="M2272" s="178" t="n"/>
      <c r="N2272" s="178" t="n"/>
      <c r="O2272" s="179" t="n"/>
    </row>
    <row r="2273" ht="18.75" customHeight="1">
      <c r="B2273" s="183" t="n"/>
      <c r="C2273" s="184" t="n"/>
      <c r="D2273" s="184" t="n"/>
      <c r="E2273" s="184" t="n"/>
      <c r="F2273" s="184" t="n"/>
      <c r="G2273" s="185" t="n"/>
      <c r="J2273" s="183" t="n"/>
      <c r="K2273" s="184" t="n"/>
      <c r="L2273" s="184" t="n"/>
      <c r="M2273" s="184" t="n"/>
      <c r="N2273" s="184" t="n"/>
      <c r="O2273" s="185" t="n"/>
    </row>
    <row r="2274" ht="18.75" customHeight="1">
      <c r="B2274" s="186" t="n"/>
      <c r="G2274" s="187" t="n"/>
      <c r="J2274" s="186" t="n"/>
      <c r="O2274" s="187" t="n"/>
    </row>
    <row r="2275" ht="18.75" customHeight="1">
      <c r="B2275" s="186" t="n"/>
      <c r="G2275" s="187" t="n"/>
      <c r="J2275" s="186" t="n"/>
      <c r="O2275" s="187" t="n"/>
    </row>
    <row r="2276" ht="18.75" customHeight="1">
      <c r="B2276" s="188" t="n"/>
      <c r="C2276" s="189" t="n"/>
      <c r="D2276" s="189" t="n"/>
      <c r="E2276" s="189" t="n"/>
      <c r="F2276" s="189" t="n"/>
      <c r="G2276" s="190" t="n"/>
      <c r="J2276" s="188" t="n"/>
      <c r="K2276" s="189" t="n"/>
      <c r="L2276" s="189" t="n"/>
      <c r="M2276" s="189" t="n"/>
      <c r="N2276" s="189" t="n"/>
      <c r="O2276" s="190" t="n"/>
    </row>
    <row r="2277" ht="18.75" customHeight="1"/>
    <row r="2278" ht="18.75" customHeight="1"/>
    <row r="2279" ht="18.75" customHeight="1">
      <c r="B2279" s="175">
        <f>IF('DADOS_TALENTOS'!$I2="","","⚠ "&amp;'DADOS_TALENTOS'!$I2)</f>
        <v/>
      </c>
      <c r="J2279" s="175">
        <f>IF('DADOS_TALENTOS'!$I3="","","⚠ "&amp;'DADOS_TALENTOS'!$I3)</f>
        <v/>
      </c>
    </row>
    <row r="2280" ht="18.75" customHeight="1"/>
    <row r="2281" ht="18.75" customHeight="1"/>
    <row r="2282" ht="18.75" customHeight="1">
      <c r="B2282" s="176" t="inlineStr">
        <is>
          <t>TALENTOS · 3</t>
        </is>
      </c>
      <c r="J2282" s="176" t="inlineStr">
        <is>
          <t>TALENTOS · 4</t>
        </is>
      </c>
    </row>
    <row r="2283" ht="18.75" customHeight="1">
      <c r="B2283" s="177" t="inlineStr">
        <is>
          <t>TIPO</t>
        </is>
      </c>
      <c r="C2283" s="178" t="n"/>
      <c r="D2283" s="178" t="n"/>
      <c r="E2283" s="179" t="n"/>
      <c r="F2283" s="177" t="inlineStr">
        <is>
          <t>MESTRE VIU</t>
        </is>
      </c>
      <c r="G2283" s="179" t="n"/>
      <c r="J2283" s="177" t="inlineStr">
        <is>
          <t>TIPO</t>
        </is>
      </c>
      <c r="K2283" s="178" t="n"/>
      <c r="L2283" s="178" t="n"/>
      <c r="M2283" s="179" t="n"/>
      <c r="N2283" s="177" t="inlineStr">
        <is>
          <t>MESTRE VIU</t>
        </is>
      </c>
      <c r="O2283" s="179" t="n"/>
    </row>
    <row r="2284" ht="18.75" customHeight="1">
      <c r="B2284" s="181" t="inlineStr">
        <is>
          <t>Talento</t>
        </is>
      </c>
      <c r="C2284" s="178" t="n"/>
      <c r="D2284" s="178" t="n"/>
      <c r="E2284" s="179" t="n"/>
      <c r="F2284" s="180" t="b">
        <v>0</v>
      </c>
      <c r="G2284" s="179" t="n"/>
      <c r="J2284" s="181" t="inlineStr">
        <is>
          <t>Talento</t>
        </is>
      </c>
      <c r="K2284" s="178" t="n"/>
      <c r="L2284" s="178" t="n"/>
      <c r="M2284" s="179" t="n"/>
      <c r="N2284" s="180" t="b">
        <v>0</v>
      </c>
      <c r="O2284" s="179" t="n"/>
    </row>
    <row r="2285" ht="18.75" customHeight="1">
      <c r="B2285" s="177" t="inlineStr">
        <is>
          <t>NOME</t>
        </is>
      </c>
      <c r="C2285" s="178" t="n"/>
      <c r="D2285" s="178" t="n"/>
      <c r="E2285" s="178" t="n"/>
      <c r="F2285" s="178" t="n"/>
      <c r="G2285" s="179" t="n"/>
      <c r="J2285" s="177" t="inlineStr">
        <is>
          <t>NOME</t>
        </is>
      </c>
      <c r="K2285" s="178" t="n"/>
      <c r="L2285" s="178" t="n"/>
      <c r="M2285" s="178" t="n"/>
      <c r="N2285" s="178" t="n"/>
      <c r="O2285" s="179" t="n"/>
    </row>
    <row r="2286" ht="18.75" customHeight="1">
      <c r="B2286" s="181" t="n"/>
      <c r="C2286" s="178" t="n"/>
      <c r="D2286" s="178" t="n"/>
      <c r="E2286" s="178" t="n"/>
      <c r="F2286" s="178" t="n"/>
      <c r="G2286" s="179" t="n"/>
      <c r="J2286" s="181" t="n"/>
      <c r="K2286" s="178" t="n"/>
      <c r="L2286" s="178" t="n"/>
      <c r="M2286" s="178" t="n"/>
      <c r="N2286" s="178" t="n"/>
      <c r="O2286" s="179" t="n"/>
    </row>
    <row r="2287" ht="18.75" customHeight="1">
      <c r="B2287" s="177" t="inlineStr">
        <is>
          <t>BASE DO LIVRO</t>
        </is>
      </c>
      <c r="C2287" s="178" t="n"/>
      <c r="D2287" s="179" t="n"/>
      <c r="E2287" s="181" t="n"/>
      <c r="F2287" s="178" t="n"/>
      <c r="G2287" s="179" t="n"/>
      <c r="J2287" s="177" t="inlineStr">
        <is>
          <t>BASE DO LIVRO</t>
        </is>
      </c>
      <c r="K2287" s="178" t="n"/>
      <c r="L2287" s="179" t="n"/>
      <c r="M2287" s="181" t="n"/>
      <c r="N2287" s="178" t="n"/>
      <c r="O2287" s="179" t="n"/>
    </row>
    <row r="2288" ht="18.75" customHeight="1">
      <c r="B2288" s="177" t="inlineStr">
        <is>
          <t>CATEGORIA DE EFEITO</t>
        </is>
      </c>
      <c r="C2288" s="178" t="n"/>
      <c r="D2288" s="179" t="n"/>
      <c r="E2288" s="181" t="n"/>
      <c r="F2288" s="178" t="n"/>
      <c r="G2288" s="179" t="n"/>
      <c r="J2288" s="177" t="inlineStr">
        <is>
          <t>CATEGORIA DE EFEITO</t>
        </is>
      </c>
      <c r="K2288" s="178" t="n"/>
      <c r="L2288" s="179" t="n"/>
      <c r="M2288" s="181" t="n"/>
      <c r="N2288" s="178" t="n"/>
      <c r="O2288" s="179" t="n"/>
    </row>
    <row r="2289" ht="18.75" customHeight="1">
      <c r="B2289" s="177" t="inlineStr">
        <is>
          <t>ROTA</t>
        </is>
      </c>
      <c r="C2289" s="178" t="n"/>
      <c r="D2289" s="179" t="n"/>
      <c r="E2289" s="181" t="n"/>
      <c r="F2289" s="178" t="n"/>
      <c r="G2289" s="179" t="n"/>
      <c r="J2289" s="177" t="inlineStr">
        <is>
          <t>ROTA</t>
        </is>
      </c>
      <c r="K2289" s="178" t="n"/>
      <c r="L2289" s="179" t="n"/>
      <c r="M2289" s="181" t="n"/>
      <c r="N2289" s="178" t="n"/>
      <c r="O2289" s="179" t="n"/>
    </row>
    <row r="2290" ht="18.75" customHeight="1"/>
    <row r="2291" ht="18.75" customHeight="1">
      <c r="B2291" s="177" t="inlineStr">
        <is>
          <t>REQUISITOS</t>
        </is>
      </c>
      <c r="C2291" s="178" t="n"/>
      <c r="D2291" s="178" t="n"/>
      <c r="E2291" s="178" t="n"/>
      <c r="F2291" s="178" t="n"/>
      <c r="G2291" s="179" t="n"/>
      <c r="J2291" s="177" t="inlineStr">
        <is>
          <t>REQUISITOS</t>
        </is>
      </c>
      <c r="K2291" s="178" t="n"/>
      <c r="L2291" s="178" t="n"/>
      <c r="M2291" s="178" t="n"/>
      <c r="N2291" s="178" t="n"/>
      <c r="O2291" s="179" t="n"/>
    </row>
    <row r="2292" ht="18.75" customHeight="1">
      <c r="B2292" s="183" t="n"/>
      <c r="C2292" s="184" t="n"/>
      <c r="D2292" s="184" t="n"/>
      <c r="E2292" s="184" t="n"/>
      <c r="F2292" s="184" t="n"/>
      <c r="G2292" s="185" t="n"/>
      <c r="J2292" s="183" t="n"/>
      <c r="K2292" s="184" t="n"/>
      <c r="L2292" s="184" t="n"/>
      <c r="M2292" s="184" t="n"/>
      <c r="N2292" s="184" t="n"/>
      <c r="O2292" s="185" t="n"/>
    </row>
    <row r="2293" ht="18.75" customHeight="1">
      <c r="B2293" s="186" t="n"/>
      <c r="G2293" s="187" t="n"/>
      <c r="J2293" s="186" t="n"/>
      <c r="O2293" s="187" t="n"/>
    </row>
    <row r="2294" ht="18.75" customHeight="1">
      <c r="B2294" s="186" t="n"/>
      <c r="G2294" s="187" t="n"/>
      <c r="J2294" s="186" t="n"/>
      <c r="O2294" s="187" t="n"/>
    </row>
    <row r="2295" ht="18.75" customHeight="1">
      <c r="B2295" s="188" t="n"/>
      <c r="C2295" s="189" t="n"/>
      <c r="D2295" s="189" t="n"/>
      <c r="E2295" s="189" t="n"/>
      <c r="F2295" s="189" t="n"/>
      <c r="G2295" s="190" t="n"/>
      <c r="J2295" s="188" t="n"/>
      <c r="K2295" s="189" t="n"/>
      <c r="L2295" s="189" t="n"/>
      <c r="M2295" s="189" t="n"/>
      <c r="N2295" s="189" t="n"/>
      <c r="O2295" s="190" t="n"/>
    </row>
    <row r="2296" ht="18.75" customHeight="1"/>
    <row r="2297" ht="18.75" customHeight="1">
      <c r="B2297" s="177" t="inlineStr">
        <is>
          <t>EFEITO</t>
        </is>
      </c>
      <c r="C2297" s="178" t="n"/>
      <c r="D2297" s="178" t="n"/>
      <c r="E2297" s="178" t="n"/>
      <c r="F2297" s="178" t="n"/>
      <c r="G2297" s="179" t="n"/>
      <c r="J2297" s="177" t="inlineStr">
        <is>
          <t>EFEITO</t>
        </is>
      </c>
      <c r="K2297" s="178" t="n"/>
      <c r="L2297" s="178" t="n"/>
      <c r="M2297" s="178" t="n"/>
      <c r="N2297" s="178" t="n"/>
      <c r="O2297" s="179" t="n"/>
    </row>
    <row r="2298" ht="18.75" customHeight="1">
      <c r="B2298" s="183" t="n"/>
      <c r="C2298" s="184" t="n"/>
      <c r="D2298" s="184" t="n"/>
      <c r="E2298" s="184" t="n"/>
      <c r="F2298" s="184" t="n"/>
      <c r="G2298" s="185" t="n"/>
      <c r="J2298" s="183" t="n"/>
      <c r="K2298" s="184" t="n"/>
      <c r="L2298" s="184" t="n"/>
      <c r="M2298" s="184" t="n"/>
      <c r="N2298" s="184" t="n"/>
      <c r="O2298" s="185" t="n"/>
    </row>
    <row r="2299" ht="18.75" customHeight="1">
      <c r="B2299" s="186" t="n"/>
      <c r="G2299" s="187" t="n"/>
      <c r="J2299" s="186" t="n"/>
      <c r="O2299" s="187" t="n"/>
    </row>
    <row r="2300" ht="18.75" customHeight="1">
      <c r="B2300" s="186" t="n"/>
      <c r="G2300" s="187" t="n"/>
      <c r="J2300" s="186" t="n"/>
      <c r="O2300" s="187" t="n"/>
    </row>
    <row r="2301" ht="18.75" customHeight="1">
      <c r="B2301" s="188" t="n"/>
      <c r="C2301" s="189" t="n"/>
      <c r="D2301" s="189" t="n"/>
      <c r="E2301" s="189" t="n"/>
      <c r="F2301" s="189" t="n"/>
      <c r="G2301" s="190" t="n"/>
      <c r="J2301" s="188" t="n"/>
      <c r="K2301" s="189" t="n"/>
      <c r="L2301" s="189" t="n"/>
      <c r="M2301" s="189" t="n"/>
      <c r="N2301" s="189" t="n"/>
      <c r="O2301" s="190" t="n"/>
    </row>
    <row r="2302" ht="18.75" customHeight="1"/>
    <row r="2303" ht="18.75" customHeight="1"/>
    <row r="2304" ht="18.75" customHeight="1">
      <c r="B2304" s="175">
        <f>IF('DADOS_TALENTOS'!$I4="","","⚠ "&amp;'DADOS_TALENTOS'!$I4)</f>
        <v/>
      </c>
      <c r="J2304" s="175">
        <f>IF('DADOS_TALENTOS'!$I5="","","⚠ "&amp;'DADOS_TALENTOS'!$I5)</f>
        <v/>
      </c>
    </row>
    <row r="2305" ht="18.75" customHeight="1"/>
    <row r="2306" ht="18.75" customHeight="1"/>
    <row r="2307" ht="18.75" customHeight="1">
      <c r="B2307" s="176" t="inlineStr">
        <is>
          <t>TALENTOS · 5</t>
        </is>
      </c>
      <c r="J2307" s="176" t="inlineStr">
        <is>
          <t>TALENTOS · 6</t>
        </is>
      </c>
    </row>
    <row r="2308" ht="18.75" customHeight="1">
      <c r="B2308" s="177" t="inlineStr">
        <is>
          <t>TIPO</t>
        </is>
      </c>
      <c r="C2308" s="178" t="n"/>
      <c r="D2308" s="178" t="n"/>
      <c r="E2308" s="179" t="n"/>
      <c r="F2308" s="177" t="inlineStr">
        <is>
          <t>MESTRE VIU</t>
        </is>
      </c>
      <c r="G2308" s="179" t="n"/>
      <c r="J2308" s="177" t="inlineStr">
        <is>
          <t>TIPO</t>
        </is>
      </c>
      <c r="K2308" s="178" t="n"/>
      <c r="L2308" s="178" t="n"/>
      <c r="M2308" s="179" t="n"/>
      <c r="N2308" s="177" t="inlineStr">
        <is>
          <t>MESTRE VIU</t>
        </is>
      </c>
      <c r="O2308" s="179" t="n"/>
    </row>
    <row r="2309" ht="18.75" customHeight="1">
      <c r="B2309" s="181" t="inlineStr">
        <is>
          <t>Talento</t>
        </is>
      </c>
      <c r="C2309" s="178" t="n"/>
      <c r="D2309" s="178" t="n"/>
      <c r="E2309" s="179" t="n"/>
      <c r="F2309" s="180" t="b">
        <v>0</v>
      </c>
      <c r="G2309" s="179" t="n"/>
      <c r="J2309" s="181" t="inlineStr">
        <is>
          <t>Talento</t>
        </is>
      </c>
      <c r="K2309" s="178" t="n"/>
      <c r="L2309" s="178" t="n"/>
      <c r="M2309" s="179" t="n"/>
      <c r="N2309" s="180" t="b">
        <v>0</v>
      </c>
      <c r="O2309" s="179" t="n"/>
    </row>
    <row r="2310" ht="18.75" customHeight="1">
      <c r="B2310" s="177" t="inlineStr">
        <is>
          <t>NOME</t>
        </is>
      </c>
      <c r="C2310" s="178" t="n"/>
      <c r="D2310" s="178" t="n"/>
      <c r="E2310" s="178" t="n"/>
      <c r="F2310" s="178" t="n"/>
      <c r="G2310" s="179" t="n"/>
      <c r="J2310" s="177" t="inlineStr">
        <is>
          <t>NOME</t>
        </is>
      </c>
      <c r="K2310" s="178" t="n"/>
      <c r="L2310" s="178" t="n"/>
      <c r="M2310" s="178" t="n"/>
      <c r="N2310" s="178" t="n"/>
      <c r="O2310" s="179" t="n"/>
    </row>
    <row r="2311" ht="18.75" customHeight="1">
      <c r="B2311" s="181" t="n"/>
      <c r="C2311" s="178" t="n"/>
      <c r="D2311" s="178" t="n"/>
      <c r="E2311" s="178" t="n"/>
      <c r="F2311" s="178" t="n"/>
      <c r="G2311" s="179" t="n"/>
      <c r="J2311" s="181" t="n"/>
      <c r="K2311" s="178" t="n"/>
      <c r="L2311" s="178" t="n"/>
      <c r="M2311" s="178" t="n"/>
      <c r="N2311" s="178" t="n"/>
      <c r="O2311" s="179" t="n"/>
    </row>
    <row r="2312" ht="18.75" customHeight="1">
      <c r="B2312" s="177" t="inlineStr">
        <is>
          <t>BASE DO LIVRO</t>
        </is>
      </c>
      <c r="C2312" s="178" t="n"/>
      <c r="D2312" s="179" t="n"/>
      <c r="E2312" s="181" t="n"/>
      <c r="F2312" s="178" t="n"/>
      <c r="G2312" s="179" t="n"/>
      <c r="J2312" s="177" t="inlineStr">
        <is>
          <t>BASE DO LIVRO</t>
        </is>
      </c>
      <c r="K2312" s="178" t="n"/>
      <c r="L2312" s="179" t="n"/>
      <c r="M2312" s="181" t="n"/>
      <c r="N2312" s="178" t="n"/>
      <c r="O2312" s="179" t="n"/>
    </row>
    <row r="2313" ht="18.75" customHeight="1">
      <c r="B2313" s="177" t="inlineStr">
        <is>
          <t>CATEGORIA DE EFEITO</t>
        </is>
      </c>
      <c r="C2313" s="178" t="n"/>
      <c r="D2313" s="179" t="n"/>
      <c r="E2313" s="181" t="n"/>
      <c r="F2313" s="178" t="n"/>
      <c r="G2313" s="179" t="n"/>
      <c r="J2313" s="177" t="inlineStr">
        <is>
          <t>CATEGORIA DE EFEITO</t>
        </is>
      </c>
      <c r="K2313" s="178" t="n"/>
      <c r="L2313" s="179" t="n"/>
      <c r="M2313" s="181" t="n"/>
      <c r="N2313" s="178" t="n"/>
      <c r="O2313" s="179" t="n"/>
    </row>
    <row r="2314" ht="18.75" customHeight="1">
      <c r="B2314" s="177" t="inlineStr">
        <is>
          <t>ROTA</t>
        </is>
      </c>
      <c r="C2314" s="178" t="n"/>
      <c r="D2314" s="179" t="n"/>
      <c r="E2314" s="181" t="n"/>
      <c r="F2314" s="178" t="n"/>
      <c r="G2314" s="179" t="n"/>
      <c r="J2314" s="177" t="inlineStr">
        <is>
          <t>ROTA</t>
        </is>
      </c>
      <c r="K2314" s="178" t="n"/>
      <c r="L2314" s="179" t="n"/>
      <c r="M2314" s="181" t="n"/>
      <c r="N2314" s="178" t="n"/>
      <c r="O2314" s="179" t="n"/>
    </row>
    <row r="2315" ht="18.75" customHeight="1"/>
    <row r="2316" ht="18.75" customHeight="1">
      <c r="B2316" s="177" t="inlineStr">
        <is>
          <t>REQUISITOS</t>
        </is>
      </c>
      <c r="C2316" s="178" t="n"/>
      <c r="D2316" s="178" t="n"/>
      <c r="E2316" s="178" t="n"/>
      <c r="F2316" s="178" t="n"/>
      <c r="G2316" s="179" t="n"/>
      <c r="J2316" s="177" t="inlineStr">
        <is>
          <t>REQUISITOS</t>
        </is>
      </c>
      <c r="K2316" s="178" t="n"/>
      <c r="L2316" s="178" t="n"/>
      <c r="M2316" s="178" t="n"/>
      <c r="N2316" s="178" t="n"/>
      <c r="O2316" s="179" t="n"/>
    </row>
    <row r="2317" ht="18.75" customHeight="1">
      <c r="B2317" s="183" t="n"/>
      <c r="C2317" s="184" t="n"/>
      <c r="D2317" s="184" t="n"/>
      <c r="E2317" s="184" t="n"/>
      <c r="F2317" s="184" t="n"/>
      <c r="G2317" s="185" t="n"/>
      <c r="J2317" s="183" t="n"/>
      <c r="K2317" s="184" t="n"/>
      <c r="L2317" s="184" t="n"/>
      <c r="M2317" s="184" t="n"/>
      <c r="N2317" s="184" t="n"/>
      <c r="O2317" s="185" t="n"/>
    </row>
    <row r="2318" ht="18.75" customHeight="1">
      <c r="B2318" s="186" t="n"/>
      <c r="G2318" s="187" t="n"/>
      <c r="J2318" s="186" t="n"/>
      <c r="O2318" s="187" t="n"/>
    </row>
    <row r="2319" ht="18.75" customHeight="1">
      <c r="B2319" s="186" t="n"/>
      <c r="G2319" s="187" t="n"/>
      <c r="J2319" s="186" t="n"/>
      <c r="O2319" s="187" t="n"/>
    </row>
    <row r="2320" ht="18.75" customHeight="1">
      <c r="B2320" s="188" t="n"/>
      <c r="C2320" s="189" t="n"/>
      <c r="D2320" s="189" t="n"/>
      <c r="E2320" s="189" t="n"/>
      <c r="F2320" s="189" t="n"/>
      <c r="G2320" s="190" t="n"/>
      <c r="J2320" s="188" t="n"/>
      <c r="K2320" s="189" t="n"/>
      <c r="L2320" s="189" t="n"/>
      <c r="M2320" s="189" t="n"/>
      <c r="N2320" s="189" t="n"/>
      <c r="O2320" s="190" t="n"/>
    </row>
    <row r="2321" ht="18.75" customHeight="1"/>
    <row r="2322" ht="18.75" customHeight="1">
      <c r="B2322" s="177" t="inlineStr">
        <is>
          <t>EFEITO</t>
        </is>
      </c>
      <c r="C2322" s="178" t="n"/>
      <c r="D2322" s="178" t="n"/>
      <c r="E2322" s="178" t="n"/>
      <c r="F2322" s="178" t="n"/>
      <c r="G2322" s="179" t="n"/>
      <c r="J2322" s="177" t="inlineStr">
        <is>
          <t>EFEITO</t>
        </is>
      </c>
      <c r="K2322" s="178" t="n"/>
      <c r="L2322" s="178" t="n"/>
      <c r="M2322" s="178" t="n"/>
      <c r="N2322" s="178" t="n"/>
      <c r="O2322" s="179" t="n"/>
    </row>
    <row r="2323" ht="18.75" customHeight="1">
      <c r="B2323" s="183" t="n"/>
      <c r="C2323" s="184" t="n"/>
      <c r="D2323" s="184" t="n"/>
      <c r="E2323" s="184" t="n"/>
      <c r="F2323" s="184" t="n"/>
      <c r="G2323" s="185" t="n"/>
      <c r="J2323" s="183" t="n"/>
      <c r="K2323" s="184" t="n"/>
      <c r="L2323" s="184" t="n"/>
      <c r="M2323" s="184" t="n"/>
      <c r="N2323" s="184" t="n"/>
      <c r="O2323" s="185" t="n"/>
    </row>
    <row r="2324" ht="18.75" customHeight="1">
      <c r="B2324" s="186" t="n"/>
      <c r="G2324" s="187" t="n"/>
      <c r="J2324" s="186" t="n"/>
      <c r="O2324" s="187" t="n"/>
    </row>
    <row r="2325" ht="18.75" customHeight="1">
      <c r="B2325" s="186" t="n"/>
      <c r="G2325" s="187" t="n"/>
      <c r="J2325" s="186" t="n"/>
      <c r="O2325" s="187" t="n"/>
    </row>
    <row r="2326" ht="18.75" customHeight="1">
      <c r="B2326" s="188" t="n"/>
      <c r="C2326" s="189" t="n"/>
      <c r="D2326" s="189" t="n"/>
      <c r="E2326" s="189" t="n"/>
      <c r="F2326" s="189" t="n"/>
      <c r="G2326" s="190" t="n"/>
      <c r="J2326" s="188" t="n"/>
      <c r="K2326" s="189" t="n"/>
      <c r="L2326" s="189" t="n"/>
      <c r="M2326" s="189" t="n"/>
      <c r="N2326" s="189" t="n"/>
      <c r="O2326" s="190" t="n"/>
    </row>
    <row r="2327" ht="18.75" customHeight="1"/>
    <row r="2328" ht="18.75" customHeight="1"/>
    <row r="2329" ht="18.75" customHeight="1">
      <c r="B2329" s="175">
        <f>IF('DADOS_TALENTOS'!$I6="","","⚠ "&amp;'DADOS_TALENTOS'!$I6)</f>
        <v/>
      </c>
      <c r="J2329" s="175">
        <f>IF('DADOS_TALENTOS'!$I7="","","⚠ "&amp;'DADOS_TALENTOS'!$I7)</f>
        <v/>
      </c>
    </row>
    <row r="2330" ht="18.75" customHeight="1"/>
    <row r="2331" ht="18.75" customHeight="1"/>
    <row r="2332" ht="18.75" customHeight="1">
      <c r="B2332" s="176" t="inlineStr">
        <is>
          <t>TALENTOS · 7</t>
        </is>
      </c>
      <c r="J2332" s="176" t="inlineStr">
        <is>
          <t>TALENTOS · 8</t>
        </is>
      </c>
    </row>
    <row r="2333" ht="18.75" customHeight="1">
      <c r="B2333" s="177" t="inlineStr">
        <is>
          <t>TIPO</t>
        </is>
      </c>
      <c r="C2333" s="178" t="n"/>
      <c r="D2333" s="178" t="n"/>
      <c r="E2333" s="179" t="n"/>
      <c r="F2333" s="177" t="inlineStr">
        <is>
          <t>MESTRE VIU</t>
        </is>
      </c>
      <c r="G2333" s="179" t="n"/>
      <c r="J2333" s="177" t="inlineStr">
        <is>
          <t>TIPO</t>
        </is>
      </c>
      <c r="K2333" s="178" t="n"/>
      <c r="L2333" s="178" t="n"/>
      <c r="M2333" s="179" t="n"/>
      <c r="N2333" s="177" t="inlineStr">
        <is>
          <t>MESTRE VIU</t>
        </is>
      </c>
      <c r="O2333" s="179" t="n"/>
    </row>
    <row r="2334" ht="18.75" customHeight="1">
      <c r="B2334" s="181" t="inlineStr">
        <is>
          <t>Talento</t>
        </is>
      </c>
      <c r="C2334" s="178" t="n"/>
      <c r="D2334" s="178" t="n"/>
      <c r="E2334" s="179" t="n"/>
      <c r="F2334" s="180" t="b">
        <v>0</v>
      </c>
      <c r="G2334" s="179" t="n"/>
      <c r="J2334" s="181" t="inlineStr">
        <is>
          <t>Talento</t>
        </is>
      </c>
      <c r="K2334" s="178" t="n"/>
      <c r="L2334" s="178" t="n"/>
      <c r="M2334" s="179" t="n"/>
      <c r="N2334" s="180" t="b">
        <v>0</v>
      </c>
      <c r="O2334" s="179" t="n"/>
    </row>
    <row r="2335" ht="18.75" customHeight="1">
      <c r="B2335" s="177" t="inlineStr">
        <is>
          <t>NOME</t>
        </is>
      </c>
      <c r="C2335" s="178" t="n"/>
      <c r="D2335" s="178" t="n"/>
      <c r="E2335" s="178" t="n"/>
      <c r="F2335" s="178" t="n"/>
      <c r="G2335" s="179" t="n"/>
      <c r="J2335" s="177" t="inlineStr">
        <is>
          <t>NOME</t>
        </is>
      </c>
      <c r="K2335" s="178" t="n"/>
      <c r="L2335" s="178" t="n"/>
      <c r="M2335" s="178" t="n"/>
      <c r="N2335" s="178" t="n"/>
      <c r="O2335" s="179" t="n"/>
    </row>
    <row r="2336" ht="18.75" customHeight="1">
      <c r="B2336" s="181" t="n"/>
      <c r="C2336" s="178" t="n"/>
      <c r="D2336" s="178" t="n"/>
      <c r="E2336" s="178" t="n"/>
      <c r="F2336" s="178" t="n"/>
      <c r="G2336" s="179" t="n"/>
      <c r="J2336" s="181" t="n"/>
      <c r="K2336" s="178" t="n"/>
      <c r="L2336" s="178" t="n"/>
      <c r="M2336" s="178" t="n"/>
      <c r="N2336" s="178" t="n"/>
      <c r="O2336" s="179" t="n"/>
    </row>
    <row r="2337" ht="18.75" customHeight="1">
      <c r="B2337" s="177" t="inlineStr">
        <is>
          <t>BASE DO LIVRO</t>
        </is>
      </c>
      <c r="C2337" s="178" t="n"/>
      <c r="D2337" s="179" t="n"/>
      <c r="E2337" s="181" t="n"/>
      <c r="F2337" s="178" t="n"/>
      <c r="G2337" s="179" t="n"/>
      <c r="J2337" s="177" t="inlineStr">
        <is>
          <t>BASE DO LIVRO</t>
        </is>
      </c>
      <c r="K2337" s="178" t="n"/>
      <c r="L2337" s="179" t="n"/>
      <c r="M2337" s="181" t="n"/>
      <c r="N2337" s="178" t="n"/>
      <c r="O2337" s="179" t="n"/>
    </row>
    <row r="2338" ht="18.75" customHeight="1">
      <c r="B2338" s="177" t="inlineStr">
        <is>
          <t>CATEGORIA DE EFEITO</t>
        </is>
      </c>
      <c r="C2338" s="178" t="n"/>
      <c r="D2338" s="179" t="n"/>
      <c r="E2338" s="181" t="n"/>
      <c r="F2338" s="178" t="n"/>
      <c r="G2338" s="179" t="n"/>
      <c r="J2338" s="177" t="inlineStr">
        <is>
          <t>CATEGORIA DE EFEITO</t>
        </is>
      </c>
      <c r="K2338" s="178" t="n"/>
      <c r="L2338" s="179" t="n"/>
      <c r="M2338" s="181" t="n"/>
      <c r="N2338" s="178" t="n"/>
      <c r="O2338" s="179" t="n"/>
    </row>
    <row r="2339" ht="18.75" customHeight="1">
      <c r="B2339" s="177" t="inlineStr">
        <is>
          <t>ROTA</t>
        </is>
      </c>
      <c r="C2339" s="178" t="n"/>
      <c r="D2339" s="179" t="n"/>
      <c r="E2339" s="181" t="n"/>
      <c r="F2339" s="178" t="n"/>
      <c r="G2339" s="179" t="n"/>
      <c r="J2339" s="177" t="inlineStr">
        <is>
          <t>ROTA</t>
        </is>
      </c>
      <c r="K2339" s="178" t="n"/>
      <c r="L2339" s="179" t="n"/>
      <c r="M2339" s="181" t="n"/>
      <c r="N2339" s="178" t="n"/>
      <c r="O2339" s="179" t="n"/>
    </row>
    <row r="2340" ht="18.75" customHeight="1"/>
    <row r="2341" ht="18.75" customHeight="1">
      <c r="B2341" s="177" t="inlineStr">
        <is>
          <t>REQUISITOS</t>
        </is>
      </c>
      <c r="C2341" s="178" t="n"/>
      <c r="D2341" s="178" t="n"/>
      <c r="E2341" s="178" t="n"/>
      <c r="F2341" s="178" t="n"/>
      <c r="G2341" s="179" t="n"/>
      <c r="J2341" s="177" t="inlineStr">
        <is>
          <t>REQUISITOS</t>
        </is>
      </c>
      <c r="K2341" s="178" t="n"/>
      <c r="L2341" s="178" t="n"/>
      <c r="M2341" s="178" t="n"/>
      <c r="N2341" s="178" t="n"/>
      <c r="O2341" s="179" t="n"/>
    </row>
    <row r="2342" ht="18.75" customHeight="1">
      <c r="B2342" s="183" t="n"/>
      <c r="C2342" s="184" t="n"/>
      <c r="D2342" s="184" t="n"/>
      <c r="E2342" s="184" t="n"/>
      <c r="F2342" s="184" t="n"/>
      <c r="G2342" s="185" t="n"/>
      <c r="J2342" s="183" t="n"/>
      <c r="K2342" s="184" t="n"/>
      <c r="L2342" s="184" t="n"/>
      <c r="M2342" s="184" t="n"/>
      <c r="N2342" s="184" t="n"/>
      <c r="O2342" s="185" t="n"/>
    </row>
    <row r="2343" ht="18.75" customHeight="1">
      <c r="B2343" s="186" t="n"/>
      <c r="G2343" s="187" t="n"/>
      <c r="J2343" s="186" t="n"/>
      <c r="O2343" s="187" t="n"/>
    </row>
    <row r="2344" ht="18.75" customHeight="1">
      <c r="B2344" s="186" t="n"/>
      <c r="G2344" s="187" t="n"/>
      <c r="J2344" s="186" t="n"/>
      <c r="O2344" s="187" t="n"/>
    </row>
    <row r="2345" ht="18.75" customHeight="1">
      <c r="B2345" s="188" t="n"/>
      <c r="C2345" s="189" t="n"/>
      <c r="D2345" s="189" t="n"/>
      <c r="E2345" s="189" t="n"/>
      <c r="F2345" s="189" t="n"/>
      <c r="G2345" s="190" t="n"/>
      <c r="J2345" s="188" t="n"/>
      <c r="K2345" s="189" t="n"/>
      <c r="L2345" s="189" t="n"/>
      <c r="M2345" s="189" t="n"/>
      <c r="N2345" s="189" t="n"/>
      <c r="O2345" s="190" t="n"/>
    </row>
    <row r="2346" ht="18.75" customHeight="1"/>
    <row r="2347" ht="18.75" customHeight="1">
      <c r="B2347" s="177" t="inlineStr">
        <is>
          <t>EFEITO</t>
        </is>
      </c>
      <c r="C2347" s="178" t="n"/>
      <c r="D2347" s="178" t="n"/>
      <c r="E2347" s="178" t="n"/>
      <c r="F2347" s="178" t="n"/>
      <c r="G2347" s="179" t="n"/>
      <c r="J2347" s="177" t="inlineStr">
        <is>
          <t>EFEITO</t>
        </is>
      </c>
      <c r="K2347" s="178" t="n"/>
      <c r="L2347" s="178" t="n"/>
      <c r="M2347" s="178" t="n"/>
      <c r="N2347" s="178" t="n"/>
      <c r="O2347" s="179" t="n"/>
    </row>
    <row r="2348" ht="18.75" customHeight="1">
      <c r="B2348" s="183" t="n"/>
      <c r="C2348" s="184" t="n"/>
      <c r="D2348" s="184" t="n"/>
      <c r="E2348" s="184" t="n"/>
      <c r="F2348" s="184" t="n"/>
      <c r="G2348" s="185" t="n"/>
      <c r="J2348" s="183" t="n"/>
      <c r="K2348" s="184" t="n"/>
      <c r="L2348" s="184" t="n"/>
      <c r="M2348" s="184" t="n"/>
      <c r="N2348" s="184" t="n"/>
      <c r="O2348" s="185" t="n"/>
    </row>
    <row r="2349" ht="18.75" customHeight="1">
      <c r="B2349" s="186" t="n"/>
      <c r="G2349" s="187" t="n"/>
      <c r="J2349" s="186" t="n"/>
      <c r="O2349" s="187" t="n"/>
    </row>
    <row r="2350" ht="18.75" customHeight="1">
      <c r="B2350" s="186" t="n"/>
      <c r="G2350" s="187" t="n"/>
      <c r="J2350" s="186" t="n"/>
      <c r="O2350" s="187" t="n"/>
    </row>
    <row r="2351" ht="18.75" customHeight="1">
      <c r="B2351" s="188" t="n"/>
      <c r="C2351" s="189" t="n"/>
      <c r="D2351" s="189" t="n"/>
      <c r="E2351" s="189" t="n"/>
      <c r="F2351" s="189" t="n"/>
      <c r="G2351" s="190" t="n"/>
      <c r="J2351" s="188" t="n"/>
      <c r="K2351" s="189" t="n"/>
      <c r="L2351" s="189" t="n"/>
      <c r="M2351" s="189" t="n"/>
      <c r="N2351" s="189" t="n"/>
      <c r="O2351" s="190" t="n"/>
    </row>
    <row r="2352" ht="18.75" customHeight="1"/>
    <row r="2353" ht="18.75" customHeight="1"/>
    <row r="2354" ht="18.75" customHeight="1">
      <c r="B2354" s="175">
        <f>IF('DADOS_TALENTOS'!$I8="","","⚠ "&amp;'DADOS_TALENTOS'!$I8)</f>
        <v/>
      </c>
      <c r="J2354" s="175">
        <f>IF('DADOS_TALENTOS'!$I9="","","⚠ "&amp;'DADOS_TALENTOS'!$I9)</f>
        <v/>
      </c>
    </row>
    <row r="2355" ht="18.75" customHeight="1"/>
    <row r="2356" ht="18.75" customHeight="1"/>
    <row r="2357" ht="18.75" customHeight="1">
      <c r="B2357" s="176" t="inlineStr">
        <is>
          <t>TALENTOS · 9</t>
        </is>
      </c>
      <c r="J2357" s="176" t="inlineStr">
        <is>
          <t>TALENTOS · 10</t>
        </is>
      </c>
    </row>
    <row r="2358" ht="18.75" customHeight="1">
      <c r="B2358" s="177" t="inlineStr">
        <is>
          <t>TIPO</t>
        </is>
      </c>
      <c r="C2358" s="178" t="n"/>
      <c r="D2358" s="178" t="n"/>
      <c r="E2358" s="179" t="n"/>
      <c r="F2358" s="177" t="inlineStr">
        <is>
          <t>MESTRE VIU</t>
        </is>
      </c>
      <c r="G2358" s="179" t="n"/>
      <c r="J2358" s="177" t="inlineStr">
        <is>
          <t>TIPO</t>
        </is>
      </c>
      <c r="K2358" s="178" t="n"/>
      <c r="L2358" s="178" t="n"/>
      <c r="M2358" s="179" t="n"/>
      <c r="N2358" s="177" t="inlineStr">
        <is>
          <t>MESTRE VIU</t>
        </is>
      </c>
      <c r="O2358" s="179" t="n"/>
    </row>
    <row r="2359" ht="18.75" customHeight="1">
      <c r="B2359" s="181" t="inlineStr">
        <is>
          <t>Talento</t>
        </is>
      </c>
      <c r="C2359" s="178" t="n"/>
      <c r="D2359" s="178" t="n"/>
      <c r="E2359" s="179" t="n"/>
      <c r="F2359" s="180" t="b">
        <v>0</v>
      </c>
      <c r="G2359" s="179" t="n"/>
      <c r="J2359" s="181" t="inlineStr">
        <is>
          <t>Talento</t>
        </is>
      </c>
      <c r="K2359" s="178" t="n"/>
      <c r="L2359" s="178" t="n"/>
      <c r="M2359" s="179" t="n"/>
      <c r="N2359" s="180" t="b">
        <v>0</v>
      </c>
      <c r="O2359" s="179" t="n"/>
    </row>
    <row r="2360" ht="18.75" customHeight="1">
      <c r="B2360" s="177" t="inlineStr">
        <is>
          <t>NOME</t>
        </is>
      </c>
      <c r="C2360" s="178" t="n"/>
      <c r="D2360" s="178" t="n"/>
      <c r="E2360" s="178" t="n"/>
      <c r="F2360" s="178" t="n"/>
      <c r="G2360" s="179" t="n"/>
      <c r="J2360" s="177" t="inlineStr">
        <is>
          <t>NOME</t>
        </is>
      </c>
      <c r="K2360" s="178" t="n"/>
      <c r="L2360" s="178" t="n"/>
      <c r="M2360" s="178" t="n"/>
      <c r="N2360" s="178" t="n"/>
      <c r="O2360" s="179" t="n"/>
    </row>
    <row r="2361" ht="18.75" customHeight="1">
      <c r="B2361" s="181" t="n"/>
      <c r="C2361" s="178" t="n"/>
      <c r="D2361" s="178" t="n"/>
      <c r="E2361" s="178" t="n"/>
      <c r="F2361" s="178" t="n"/>
      <c r="G2361" s="179" t="n"/>
      <c r="J2361" s="181" t="n"/>
      <c r="K2361" s="178" t="n"/>
      <c r="L2361" s="178" t="n"/>
      <c r="M2361" s="178" t="n"/>
      <c r="N2361" s="178" t="n"/>
      <c r="O2361" s="179" t="n"/>
    </row>
    <row r="2362" ht="18.75" customHeight="1">
      <c r="B2362" s="177" t="inlineStr">
        <is>
          <t>BASE DO LIVRO</t>
        </is>
      </c>
      <c r="C2362" s="178" t="n"/>
      <c r="D2362" s="179" t="n"/>
      <c r="E2362" s="181" t="n"/>
      <c r="F2362" s="178" t="n"/>
      <c r="G2362" s="179" t="n"/>
      <c r="J2362" s="177" t="inlineStr">
        <is>
          <t>BASE DO LIVRO</t>
        </is>
      </c>
      <c r="K2362" s="178" t="n"/>
      <c r="L2362" s="179" t="n"/>
      <c r="M2362" s="181" t="n"/>
      <c r="N2362" s="178" t="n"/>
      <c r="O2362" s="179" t="n"/>
    </row>
    <row r="2363" ht="18.75" customHeight="1">
      <c r="B2363" s="177" t="inlineStr">
        <is>
          <t>CATEGORIA DE EFEITO</t>
        </is>
      </c>
      <c r="C2363" s="178" t="n"/>
      <c r="D2363" s="179" t="n"/>
      <c r="E2363" s="181" t="n"/>
      <c r="F2363" s="178" t="n"/>
      <c r="G2363" s="179" t="n"/>
      <c r="J2363" s="177" t="inlineStr">
        <is>
          <t>CATEGORIA DE EFEITO</t>
        </is>
      </c>
      <c r="K2363" s="178" t="n"/>
      <c r="L2363" s="179" t="n"/>
      <c r="M2363" s="181" t="n"/>
      <c r="N2363" s="178" t="n"/>
      <c r="O2363" s="179" t="n"/>
    </row>
    <row r="2364" ht="18.75" customHeight="1">
      <c r="B2364" s="177" t="inlineStr">
        <is>
          <t>ROTA</t>
        </is>
      </c>
      <c r="C2364" s="178" t="n"/>
      <c r="D2364" s="179" t="n"/>
      <c r="E2364" s="181" t="n"/>
      <c r="F2364" s="178" t="n"/>
      <c r="G2364" s="179" t="n"/>
      <c r="J2364" s="177" t="inlineStr">
        <is>
          <t>ROTA</t>
        </is>
      </c>
      <c r="K2364" s="178" t="n"/>
      <c r="L2364" s="179" t="n"/>
      <c r="M2364" s="181" t="n"/>
      <c r="N2364" s="178" t="n"/>
      <c r="O2364" s="179" t="n"/>
    </row>
    <row r="2365" ht="18.75" customHeight="1"/>
    <row r="2366" ht="18.75" customHeight="1">
      <c r="B2366" s="177" t="inlineStr">
        <is>
          <t>REQUISITOS</t>
        </is>
      </c>
      <c r="C2366" s="178" t="n"/>
      <c r="D2366" s="178" t="n"/>
      <c r="E2366" s="178" t="n"/>
      <c r="F2366" s="178" t="n"/>
      <c r="G2366" s="179" t="n"/>
      <c r="J2366" s="177" t="inlineStr">
        <is>
          <t>REQUISITOS</t>
        </is>
      </c>
      <c r="K2366" s="178" t="n"/>
      <c r="L2366" s="178" t="n"/>
      <c r="M2366" s="178" t="n"/>
      <c r="N2366" s="178" t="n"/>
      <c r="O2366" s="179" t="n"/>
    </row>
    <row r="2367" ht="18.75" customHeight="1">
      <c r="B2367" s="183" t="n"/>
      <c r="C2367" s="184" t="n"/>
      <c r="D2367" s="184" t="n"/>
      <c r="E2367" s="184" t="n"/>
      <c r="F2367" s="184" t="n"/>
      <c r="G2367" s="185" t="n"/>
      <c r="J2367" s="183" t="n"/>
      <c r="K2367" s="184" t="n"/>
      <c r="L2367" s="184" t="n"/>
      <c r="M2367" s="184" t="n"/>
      <c r="N2367" s="184" t="n"/>
      <c r="O2367" s="185" t="n"/>
    </row>
    <row r="2368" ht="18.75" customHeight="1">
      <c r="B2368" s="186" t="n"/>
      <c r="G2368" s="187" t="n"/>
      <c r="J2368" s="186" t="n"/>
      <c r="O2368" s="187" t="n"/>
    </row>
    <row r="2369" ht="18.75" customHeight="1">
      <c r="B2369" s="186" t="n"/>
      <c r="G2369" s="187" t="n"/>
      <c r="J2369" s="186" t="n"/>
      <c r="O2369" s="187" t="n"/>
    </row>
    <row r="2370" ht="18.75" customHeight="1">
      <c r="B2370" s="188" t="n"/>
      <c r="C2370" s="189" t="n"/>
      <c r="D2370" s="189" t="n"/>
      <c r="E2370" s="189" t="n"/>
      <c r="F2370" s="189" t="n"/>
      <c r="G2370" s="190" t="n"/>
      <c r="J2370" s="188" t="n"/>
      <c r="K2370" s="189" t="n"/>
      <c r="L2370" s="189" t="n"/>
      <c r="M2370" s="189" t="n"/>
      <c r="N2370" s="189" t="n"/>
      <c r="O2370" s="190" t="n"/>
    </row>
    <row r="2371" ht="18.75" customHeight="1"/>
    <row r="2372" ht="18.75" customHeight="1">
      <c r="B2372" s="177" t="inlineStr">
        <is>
          <t>EFEITO</t>
        </is>
      </c>
      <c r="C2372" s="178" t="n"/>
      <c r="D2372" s="178" t="n"/>
      <c r="E2372" s="178" t="n"/>
      <c r="F2372" s="178" t="n"/>
      <c r="G2372" s="179" t="n"/>
      <c r="J2372" s="177" t="inlineStr">
        <is>
          <t>EFEITO</t>
        </is>
      </c>
      <c r="K2372" s="178" t="n"/>
      <c r="L2372" s="178" t="n"/>
      <c r="M2372" s="178" t="n"/>
      <c r="N2372" s="178" t="n"/>
      <c r="O2372" s="179" t="n"/>
    </row>
    <row r="2373" ht="18.75" customHeight="1">
      <c r="B2373" s="183" t="n"/>
      <c r="C2373" s="184" t="n"/>
      <c r="D2373" s="184" t="n"/>
      <c r="E2373" s="184" t="n"/>
      <c r="F2373" s="184" t="n"/>
      <c r="G2373" s="185" t="n"/>
      <c r="J2373" s="183" t="n"/>
      <c r="K2373" s="184" t="n"/>
      <c r="L2373" s="184" t="n"/>
      <c r="M2373" s="184" t="n"/>
      <c r="N2373" s="184" t="n"/>
      <c r="O2373" s="185" t="n"/>
    </row>
    <row r="2374" ht="18.75" customHeight="1">
      <c r="B2374" s="186" t="n"/>
      <c r="G2374" s="187" t="n"/>
      <c r="J2374" s="186" t="n"/>
      <c r="O2374" s="187" t="n"/>
    </row>
    <row r="2375" ht="18.75" customHeight="1">
      <c r="B2375" s="186" t="n"/>
      <c r="G2375" s="187" t="n"/>
      <c r="J2375" s="186" t="n"/>
      <c r="O2375" s="187" t="n"/>
    </row>
    <row r="2376" ht="18.75" customHeight="1">
      <c r="B2376" s="188" t="n"/>
      <c r="C2376" s="189" t="n"/>
      <c r="D2376" s="189" t="n"/>
      <c r="E2376" s="189" t="n"/>
      <c r="F2376" s="189" t="n"/>
      <c r="G2376" s="190" t="n"/>
      <c r="J2376" s="188" t="n"/>
      <c r="K2376" s="189" t="n"/>
      <c r="L2376" s="189" t="n"/>
      <c r="M2376" s="189" t="n"/>
      <c r="N2376" s="189" t="n"/>
      <c r="O2376" s="190" t="n"/>
    </row>
    <row r="2377" ht="18.75" customHeight="1"/>
    <row r="2378" ht="18.75" customHeight="1"/>
    <row r="2379" ht="18.75" customHeight="1">
      <c r="B2379" s="175">
        <f>IF('DADOS_TALENTOS'!$I10="","","⚠ "&amp;'DADOS_TALENTOS'!$I10)</f>
        <v/>
      </c>
      <c r="J2379" s="175">
        <f>IF('DADOS_TALENTOS'!$I11="","","⚠ "&amp;'DADOS_TALENTOS'!$I11)</f>
        <v/>
      </c>
    </row>
    <row r="2380" ht="18.75" customHeight="1"/>
    <row r="2381" ht="18.75" customHeight="1"/>
    <row r="2382" ht="18.75" customHeight="1"/>
    <row r="2383" ht="18.75" customHeight="1"/>
    <row r="2384" ht="18.75" customHeight="1"/>
    <row r="2385">
      <c r="A2385" s="173" t="n"/>
      <c r="B2385" s="173" t="n"/>
      <c r="C2385" s="173" t="n"/>
      <c r="D2385" s="173" t="n"/>
      <c r="E2385" s="173" t="n"/>
      <c r="F2385" s="173" t="n"/>
      <c r="G2385" s="173" t="n"/>
      <c r="H2385" s="173" t="n"/>
      <c r="I2385" s="173" t="n"/>
      <c r="J2385" s="173" t="n"/>
      <c r="K2385" s="173" t="n"/>
      <c r="L2385" s="173" t="n"/>
      <c r="M2385" s="173" t="n"/>
      <c r="N2385" s="173" t="n"/>
      <c r="O2385" s="173" t="n"/>
      <c r="P2385" s="173" t="n"/>
    </row>
    <row r="2386" ht="18.75" customHeight="1">
      <c r="A2386" s="173" t="n"/>
      <c r="B2386" s="176" t="inlineStr">
        <is>
          <t>ENTIDADES CUSTOM · TIPOS</t>
        </is>
      </c>
      <c r="P2386" s="173" t="n"/>
    </row>
    <row r="2387" ht="18.75" customHeight="1">
      <c r="A2387" s="173" t="n"/>
      <c r="B2387" s="173" t="n"/>
      <c r="C2387" s="173" t="n"/>
      <c r="D2387" s="173" t="n"/>
      <c r="E2387" s="173" t="n"/>
      <c r="F2387" s="173" t="n"/>
      <c r="G2387" s="173" t="n"/>
      <c r="H2387" s="173" t="n"/>
      <c r="I2387" s="173" t="n"/>
      <c r="J2387" s="173" t="n"/>
      <c r="K2387" s="173" t="n"/>
      <c r="L2387" s="173" t="n"/>
      <c r="M2387" s="173" t="n"/>
      <c r="N2387" s="173" t="n"/>
      <c r="O2387" s="173" t="n"/>
      <c r="P2387" s="173" t="n"/>
    </row>
    <row r="2388" ht="18.75" customHeight="1">
      <c r="A2388" s="173" t="n"/>
      <c r="B2388" s="176" t="inlineStr">
        <is>
          <t>TIPO DE ENTIDADE · 1</t>
        </is>
      </c>
      <c r="H2388" s="173" t="n"/>
      <c r="I2388" s="173" t="n"/>
      <c r="J2388" s="176" t="inlineStr">
        <is>
          <t>TIPO DE ENTIDADE · 2</t>
        </is>
      </c>
      <c r="P2388" s="173" t="n"/>
    </row>
    <row r="2389" ht="18.75" customHeight="1">
      <c r="A2389" s="173" t="n"/>
      <c r="B2389" s="177" t="inlineStr">
        <is>
          <t>NOME</t>
        </is>
      </c>
      <c r="C2389" s="178" t="n"/>
      <c r="D2389" s="178" t="n"/>
      <c r="E2389" s="179" t="n"/>
      <c r="F2389" s="177" t="inlineStr">
        <is>
          <t>MESTRE VIU</t>
        </is>
      </c>
      <c r="G2389" s="179" t="n"/>
      <c r="H2389" s="173" t="n"/>
      <c r="I2389" s="173" t="n"/>
      <c r="J2389" s="177" t="inlineStr">
        <is>
          <t>NOME</t>
        </is>
      </c>
      <c r="K2389" s="178" t="n"/>
      <c r="L2389" s="178" t="n"/>
      <c r="M2389" s="179" t="n"/>
      <c r="N2389" s="177" t="inlineStr">
        <is>
          <t>MESTRE VIU</t>
        </is>
      </c>
      <c r="O2389" s="179" t="n"/>
      <c r="P2389" s="173" t="n"/>
    </row>
    <row r="2390" ht="18.75" customHeight="1">
      <c r="A2390" s="173" t="n"/>
      <c r="B2390" s="181" t="n"/>
      <c r="C2390" s="178" t="n"/>
      <c r="D2390" s="178" t="n"/>
      <c r="E2390" s="179" t="n"/>
      <c r="F2390" s="180" t="b">
        <v>0</v>
      </c>
      <c r="G2390" s="179" t="n"/>
      <c r="H2390" s="173" t="n"/>
      <c r="I2390" s="173" t="n"/>
      <c r="J2390" s="181" t="n"/>
      <c r="K2390" s="178" t="n"/>
      <c r="L2390" s="178" t="n"/>
      <c r="M2390" s="179" t="n"/>
      <c r="N2390" s="180" t="b">
        <v>0</v>
      </c>
      <c r="O2390" s="179" t="n"/>
      <c r="P2390" s="173" t="n"/>
    </row>
    <row r="2391" ht="18.75" customHeight="1">
      <c r="A2391" s="173" t="n"/>
      <c r="B2391" s="173" t="n"/>
      <c r="C2391" s="173" t="n"/>
      <c r="D2391" s="173" t="n"/>
      <c r="E2391" s="173" t="n"/>
      <c r="F2391" s="173" t="n"/>
      <c r="G2391" s="173" t="n"/>
      <c r="H2391" s="173" t="n"/>
      <c r="I2391" s="173" t="n"/>
      <c r="J2391" s="173" t="n"/>
      <c r="K2391" s="173" t="n"/>
      <c r="L2391" s="173" t="n"/>
      <c r="M2391" s="173" t="n"/>
      <c r="N2391" s="173" t="n"/>
      <c r="O2391" s="173" t="n"/>
      <c r="P2391" s="173" t="n"/>
    </row>
    <row r="2392" ht="18.75" customHeight="1">
      <c r="A2392" s="173" t="n"/>
      <c r="B2392" s="177" t="inlineStr">
        <is>
          <t>BASE DO LIVRO</t>
        </is>
      </c>
      <c r="C2392" s="178" t="n"/>
      <c r="D2392" s="179" t="n"/>
      <c r="E2392" s="181" t="inlineStr">
        <is>
          <t>Nenhuma</t>
        </is>
      </c>
      <c r="F2392" s="178" t="n"/>
      <c r="G2392" s="179" t="n"/>
      <c r="H2392" s="173" t="n"/>
      <c r="I2392" s="173" t="n"/>
      <c r="J2392" s="177" t="inlineStr">
        <is>
          <t>BASE DO LIVRO</t>
        </is>
      </c>
      <c r="K2392" s="178" t="n"/>
      <c r="L2392" s="179" t="n"/>
      <c r="M2392" s="181" t="inlineStr">
        <is>
          <t>Nenhuma</t>
        </is>
      </c>
      <c r="N2392" s="178" t="n"/>
      <c r="O2392" s="179" t="n"/>
      <c r="P2392" s="173" t="n"/>
    </row>
    <row r="2393" ht="18.75" customHeight="1">
      <c r="A2393" s="173" t="n"/>
      <c r="B2393" s="177" t="inlineStr">
        <is>
          <t>VIDA</t>
        </is>
      </c>
      <c r="C2393" s="178" t="n"/>
      <c r="D2393" s="179" t="n"/>
      <c r="E2393" s="181" t="n"/>
      <c r="F2393" s="178" t="n"/>
      <c r="G2393" s="179" t="n"/>
      <c r="H2393" s="173" t="n"/>
      <c r="I2393" s="173" t="n"/>
      <c r="J2393" s="177" t="inlineStr">
        <is>
          <t>VIDA</t>
        </is>
      </c>
      <c r="K2393" s="178" t="n"/>
      <c r="L2393" s="179" t="n"/>
      <c r="M2393" s="181" t="n"/>
      <c r="N2393" s="178" t="n"/>
      <c r="O2393" s="179" t="n"/>
      <c r="P2393" s="173" t="n"/>
    </row>
    <row r="2394" ht="18.75" customHeight="1">
      <c r="A2394" s="173" t="n"/>
      <c r="B2394" s="177" t="inlineStr">
        <is>
          <t>TALISMÃ</t>
        </is>
      </c>
      <c r="C2394" s="178" t="n"/>
      <c r="D2394" s="179" t="n"/>
      <c r="E2394" s="181" t="n"/>
      <c r="F2394" s="178" t="n"/>
      <c r="G2394" s="179" t="n"/>
      <c r="H2394" s="173" t="n"/>
      <c r="I2394" s="173" t="n"/>
      <c r="J2394" s="177" t="inlineStr">
        <is>
          <t>TALISMÃ</t>
        </is>
      </c>
      <c r="K2394" s="178" t="n"/>
      <c r="L2394" s="179" t="n"/>
      <c r="M2394" s="181" t="n"/>
      <c r="N2394" s="178" t="n"/>
      <c r="O2394" s="179" t="n"/>
      <c r="P2394" s="173" t="n"/>
    </row>
    <row r="2395" ht="18.75" customHeight="1">
      <c r="A2395" s="173" t="n"/>
      <c r="B2395" s="173" t="n"/>
      <c r="C2395" s="173" t="n"/>
      <c r="D2395" s="173" t="n"/>
      <c r="E2395" s="173" t="n"/>
      <c r="F2395" s="173" t="n"/>
      <c r="G2395" s="173" t="n"/>
      <c r="H2395" s="173" t="n"/>
      <c r="I2395" s="173" t="n"/>
      <c r="J2395" s="173" t="n"/>
      <c r="K2395" s="173" t="n"/>
      <c r="L2395" s="173" t="n"/>
      <c r="M2395" s="173" t="n"/>
      <c r="N2395" s="173" t="n"/>
      <c r="O2395" s="173" t="n"/>
      <c r="P2395" s="173" t="n"/>
    </row>
    <row r="2396" ht="18.75" customHeight="1">
      <c r="A2396" s="173" t="n"/>
      <c r="B2396" s="177" t="inlineStr">
        <is>
          <t>RESERVA DE PE</t>
        </is>
      </c>
      <c r="C2396" s="178" t="n"/>
      <c r="D2396" s="179" t="n"/>
      <c r="E2396" s="181" t="n"/>
      <c r="F2396" s="178" t="n"/>
      <c r="G2396" s="179" t="n"/>
      <c r="H2396" s="173" t="n"/>
      <c r="I2396" s="173" t="n"/>
      <c r="J2396" s="177" t="inlineStr">
        <is>
          <t>RESERVA DE PE</t>
        </is>
      </c>
      <c r="K2396" s="178" t="n"/>
      <c r="L2396" s="179" t="n"/>
      <c r="M2396" s="181" t="n"/>
      <c r="N2396" s="178" t="n"/>
      <c r="O2396" s="179" t="n"/>
      <c r="P2396" s="173" t="n"/>
    </row>
    <row r="2397" ht="18.75" customHeight="1">
      <c r="A2397" s="173" t="n"/>
      <c r="B2397" s="173" t="n"/>
      <c r="C2397" s="173" t="n"/>
      <c r="D2397" s="173" t="n"/>
      <c r="E2397" s="173" t="n"/>
      <c r="F2397" s="173" t="n"/>
      <c r="G2397" s="173" t="n"/>
      <c r="H2397" s="173" t="n"/>
      <c r="I2397" s="173" t="n"/>
      <c r="J2397" s="173" t="n"/>
      <c r="K2397" s="173" t="n"/>
      <c r="L2397" s="173" t="n"/>
      <c r="M2397" s="173" t="n"/>
      <c r="N2397" s="173" t="n"/>
      <c r="O2397" s="173" t="n"/>
      <c r="P2397" s="173" t="n"/>
    </row>
    <row r="2398" ht="18.75" customHeight="1">
      <c r="A2398" s="173" t="n"/>
      <c r="B2398" s="173" t="n"/>
      <c r="C2398" s="173" t="n"/>
      <c r="D2398" s="173" t="n"/>
      <c r="E2398" s="173" t="n"/>
      <c r="F2398" s="173" t="n"/>
      <c r="G2398" s="173" t="n"/>
      <c r="H2398" s="173" t="n"/>
      <c r="I2398" s="173" t="n"/>
      <c r="J2398" s="173" t="n"/>
      <c r="K2398" s="173" t="n"/>
      <c r="L2398" s="173" t="n"/>
      <c r="M2398" s="173" t="n"/>
      <c r="N2398" s="173" t="n"/>
      <c r="O2398" s="173" t="n"/>
      <c r="P2398" s="173" t="n"/>
    </row>
    <row r="2399" ht="18.75" customHeight="1">
      <c r="A2399" s="173" t="n"/>
      <c r="B2399" s="177" t="inlineStr">
        <is>
          <t>DEFINIÇÃO</t>
        </is>
      </c>
      <c r="C2399" s="178" t="n"/>
      <c r="D2399" s="178" t="n"/>
      <c r="E2399" s="178" t="n"/>
      <c r="F2399" s="178" t="n"/>
      <c r="G2399" s="179" t="n"/>
      <c r="H2399" s="173" t="n"/>
      <c r="I2399" s="173" t="n"/>
      <c r="J2399" s="177" t="inlineStr">
        <is>
          <t>DEFINIÇÃO</t>
        </is>
      </c>
      <c r="K2399" s="178" t="n"/>
      <c r="L2399" s="178" t="n"/>
      <c r="M2399" s="178" t="n"/>
      <c r="N2399" s="178" t="n"/>
      <c r="O2399" s="179" t="n"/>
      <c r="P2399" s="173" t="n"/>
    </row>
    <row r="2400" ht="18.75" customHeight="1">
      <c r="A2400" s="173" t="n"/>
      <c r="B2400" s="183" t="n"/>
      <c r="C2400" s="184" t="n"/>
      <c r="D2400" s="184" t="n"/>
      <c r="E2400" s="184" t="n"/>
      <c r="F2400" s="184" t="n"/>
      <c r="G2400" s="185" t="n"/>
      <c r="H2400" s="173" t="n"/>
      <c r="I2400" s="173" t="n"/>
      <c r="J2400" s="183" t="n"/>
      <c r="K2400" s="184" t="n"/>
      <c r="L2400" s="184" t="n"/>
      <c r="M2400" s="184" t="n"/>
      <c r="N2400" s="184" t="n"/>
      <c r="O2400" s="185" t="n"/>
      <c r="P2400" s="173" t="n"/>
    </row>
    <row r="2401" ht="18.75" customHeight="1">
      <c r="A2401" s="173" t="n"/>
      <c r="B2401" s="186" t="n"/>
      <c r="G2401" s="187" t="n"/>
      <c r="H2401" s="173" t="n"/>
      <c r="I2401" s="173" t="n"/>
      <c r="J2401" s="186" t="n"/>
      <c r="O2401" s="187" t="n"/>
      <c r="P2401" s="173" t="n"/>
    </row>
    <row r="2402" ht="18.75" customHeight="1">
      <c r="A2402" s="173" t="n"/>
      <c r="B2402" s="188" t="n"/>
      <c r="C2402" s="189" t="n"/>
      <c r="D2402" s="189" t="n"/>
      <c r="E2402" s="189" t="n"/>
      <c r="F2402" s="189" t="n"/>
      <c r="G2402" s="190" t="n"/>
      <c r="H2402" s="173" t="n"/>
      <c r="I2402" s="173" t="n"/>
      <c r="J2402" s="188" t="n"/>
      <c r="K2402" s="189" t="n"/>
      <c r="L2402" s="189" t="n"/>
      <c r="M2402" s="189" t="n"/>
      <c r="N2402" s="189" t="n"/>
      <c r="O2402" s="190" t="n"/>
      <c r="P2402" s="173" t="n"/>
    </row>
    <row r="2403" ht="18.75" customHeight="1">
      <c r="A2403" s="173" t="n"/>
      <c r="B2403" s="173" t="n"/>
      <c r="C2403" s="173" t="n"/>
      <c r="D2403" s="173" t="n"/>
      <c r="E2403" s="173" t="n"/>
      <c r="F2403" s="173" t="n"/>
      <c r="G2403" s="173" t="n"/>
      <c r="H2403" s="173" t="n"/>
      <c r="I2403" s="173" t="n"/>
      <c r="J2403" s="173" t="n"/>
      <c r="K2403" s="173" t="n"/>
      <c r="L2403" s="173" t="n"/>
      <c r="M2403" s="173" t="n"/>
      <c r="N2403" s="173" t="n"/>
      <c r="O2403" s="173" t="n"/>
      <c r="P2403" s="173" t="n"/>
    </row>
    <row r="2404" ht="18.75" customHeight="1">
      <c r="A2404" s="173" t="n"/>
      <c r="B2404" s="177" t="inlineStr">
        <is>
          <t>EFEITO E REQUISITOS</t>
        </is>
      </c>
      <c r="C2404" s="178" t="n"/>
      <c r="D2404" s="178" t="n"/>
      <c r="E2404" s="178" t="n"/>
      <c r="F2404" s="178" t="n"/>
      <c r="G2404" s="179" t="n"/>
      <c r="H2404" s="173" t="n"/>
      <c r="I2404" s="173" t="n"/>
      <c r="J2404" s="177" t="inlineStr">
        <is>
          <t>EFEITO E REQUISITOS</t>
        </is>
      </c>
      <c r="K2404" s="178" t="n"/>
      <c r="L2404" s="178" t="n"/>
      <c r="M2404" s="178" t="n"/>
      <c r="N2404" s="178" t="n"/>
      <c r="O2404" s="179" t="n"/>
      <c r="P2404" s="173" t="n"/>
    </row>
    <row r="2405" ht="18.75" customHeight="1">
      <c r="A2405" s="173" t="n"/>
      <c r="B2405" s="183" t="n"/>
      <c r="C2405" s="184" t="n"/>
      <c r="D2405" s="184" t="n"/>
      <c r="E2405" s="184" t="n"/>
      <c r="F2405" s="184" t="n"/>
      <c r="G2405" s="185" t="n"/>
      <c r="H2405" s="173" t="n"/>
      <c r="I2405" s="173" t="n"/>
      <c r="J2405" s="183" t="n"/>
      <c r="K2405" s="184" t="n"/>
      <c r="L2405" s="184" t="n"/>
      <c r="M2405" s="184" t="n"/>
      <c r="N2405" s="184" t="n"/>
      <c r="O2405" s="185" t="n"/>
      <c r="P2405" s="173" t="n"/>
    </row>
    <row r="2406" ht="18.75" customHeight="1">
      <c r="A2406" s="173" t="n"/>
      <c r="B2406" s="186" t="n"/>
      <c r="G2406" s="187" t="n"/>
      <c r="H2406" s="173" t="n"/>
      <c r="I2406" s="173" t="n"/>
      <c r="J2406" s="186" t="n"/>
      <c r="O2406" s="187" t="n"/>
      <c r="P2406" s="173" t="n"/>
    </row>
    <row r="2407" ht="18.75" customHeight="1">
      <c r="A2407" s="173" t="n"/>
      <c r="B2407" s="186" t="n"/>
      <c r="G2407" s="187" t="n"/>
      <c r="H2407" s="173" t="n"/>
      <c r="I2407" s="173" t="n"/>
      <c r="J2407" s="186" t="n"/>
      <c r="O2407" s="187" t="n"/>
      <c r="P2407" s="173" t="n"/>
    </row>
    <row r="2408" ht="18.75" customHeight="1">
      <c r="A2408" s="173" t="n"/>
      <c r="B2408" s="186" t="n"/>
      <c r="G2408" s="187" t="n"/>
      <c r="H2408" s="173" t="n"/>
      <c r="I2408" s="173" t="n"/>
      <c r="J2408" s="186" t="n"/>
      <c r="O2408" s="187" t="n"/>
      <c r="P2408" s="173" t="n"/>
    </row>
    <row r="2409" ht="18.75" customHeight="1">
      <c r="A2409" s="173" t="n"/>
      <c r="B2409" s="186" t="n"/>
      <c r="G2409" s="187" t="n"/>
      <c r="H2409" s="173" t="n"/>
      <c r="I2409" s="173" t="n"/>
      <c r="J2409" s="186" t="n"/>
      <c r="O2409" s="187" t="n"/>
      <c r="P2409" s="173" t="n"/>
    </row>
    <row r="2410" ht="18.75" customHeight="1">
      <c r="A2410" s="173" t="n"/>
      <c r="B2410" s="186" t="n"/>
      <c r="G2410" s="187" t="n"/>
      <c r="H2410" s="173" t="n"/>
      <c r="I2410" s="173" t="n"/>
      <c r="J2410" s="186" t="n"/>
      <c r="O2410" s="187" t="n"/>
      <c r="P2410" s="173" t="n"/>
    </row>
    <row r="2411" ht="18.75" customHeight="1">
      <c r="A2411" s="173" t="n"/>
      <c r="B2411" s="186" t="n"/>
      <c r="G2411" s="187" t="n"/>
      <c r="H2411" s="173" t="n"/>
      <c r="I2411" s="173" t="n"/>
      <c r="J2411" s="186" t="n"/>
      <c r="O2411" s="187" t="n"/>
      <c r="P2411" s="173" t="n"/>
    </row>
    <row r="2412" ht="18.75" customHeight="1">
      <c r="A2412" s="173" t="n"/>
      <c r="B2412" s="188" t="n"/>
      <c r="C2412" s="189" t="n"/>
      <c r="D2412" s="189" t="n"/>
      <c r="E2412" s="189" t="n"/>
      <c r="F2412" s="189" t="n"/>
      <c r="G2412" s="190" t="n"/>
      <c r="H2412" s="173" t="n"/>
      <c r="I2412" s="173" t="n"/>
      <c r="J2412" s="188" t="n"/>
      <c r="K2412" s="189" t="n"/>
      <c r="L2412" s="189" t="n"/>
      <c r="M2412" s="189" t="n"/>
      <c r="N2412" s="189" t="n"/>
      <c r="O2412" s="190" t="n"/>
      <c r="P2412" s="173" t="n"/>
    </row>
    <row r="2413" ht="18.75" customHeight="1">
      <c r="A2413" s="173" t="n"/>
      <c r="B2413" s="173" t="n"/>
      <c r="C2413" s="173" t="n"/>
      <c r="D2413" s="173" t="n"/>
      <c r="E2413" s="173" t="n"/>
      <c r="F2413" s="173" t="n"/>
      <c r="G2413" s="173" t="n"/>
      <c r="H2413" s="173" t="n"/>
      <c r="I2413" s="173" t="n"/>
      <c r="J2413" s="173" t="n"/>
      <c r="K2413" s="173" t="n"/>
      <c r="L2413" s="173" t="n"/>
      <c r="M2413" s="173" t="n"/>
      <c r="N2413" s="173" t="n"/>
      <c r="O2413" s="173" t="n"/>
      <c r="P2413" s="173" t="n"/>
    </row>
    <row r="2414" ht="18.75" customHeight="1">
      <c r="A2414" s="173" t="n"/>
      <c r="B2414" s="175">
        <f>IF('DADOS_ENTIDADES'!$K$2="","","⚠ "&amp;'DADOS_ENTIDADES'!$K$2)</f>
        <v/>
      </c>
      <c r="H2414" s="173" t="n"/>
      <c r="I2414" s="173" t="n"/>
      <c r="J2414" s="175">
        <f>IF('DADOS_ENTIDADES'!$K$3="","","⚠ "&amp;'DADOS_ENTIDADES'!$K$3)</f>
        <v/>
      </c>
      <c r="P2414" s="173" t="n"/>
    </row>
    <row r="2415" ht="18.75" customHeight="1">
      <c r="A2415" s="173" t="n"/>
      <c r="H2415" s="173" t="n"/>
      <c r="I2415" s="173" t="n"/>
      <c r="P2415" s="173" t="n"/>
    </row>
    <row r="2416" ht="18.75" customHeight="1">
      <c r="A2416" s="173" t="n"/>
      <c r="B2416" s="176" t="inlineStr">
        <is>
          <t>TIPO DE ENTIDADE · 3</t>
        </is>
      </c>
      <c r="H2416" s="173" t="n"/>
      <c r="I2416" s="173" t="n"/>
      <c r="J2416" s="176" t="inlineStr">
        <is>
          <t>TIPO DE ENTIDADE · 4</t>
        </is>
      </c>
      <c r="P2416" s="173" t="n"/>
    </row>
    <row r="2417" ht="18.75" customHeight="1">
      <c r="A2417" s="173" t="n"/>
      <c r="B2417" s="177" t="inlineStr">
        <is>
          <t>NOME</t>
        </is>
      </c>
      <c r="C2417" s="178" t="n"/>
      <c r="D2417" s="178" t="n"/>
      <c r="E2417" s="179" t="n"/>
      <c r="F2417" s="177" t="inlineStr">
        <is>
          <t>MESTRE VIU</t>
        </is>
      </c>
      <c r="G2417" s="179" t="n"/>
      <c r="H2417" s="173" t="n"/>
      <c r="I2417" s="173" t="n"/>
      <c r="J2417" s="177" t="inlineStr">
        <is>
          <t>NOME</t>
        </is>
      </c>
      <c r="K2417" s="178" t="n"/>
      <c r="L2417" s="178" t="n"/>
      <c r="M2417" s="179" t="n"/>
      <c r="N2417" s="177" t="inlineStr">
        <is>
          <t>MESTRE VIU</t>
        </is>
      </c>
      <c r="O2417" s="179" t="n"/>
      <c r="P2417" s="173" t="n"/>
    </row>
    <row r="2418" ht="18.75" customHeight="1">
      <c r="A2418" s="173" t="n"/>
      <c r="B2418" s="181" t="n"/>
      <c r="C2418" s="178" t="n"/>
      <c r="D2418" s="178" t="n"/>
      <c r="E2418" s="179" t="n"/>
      <c r="F2418" s="180" t="b">
        <v>0</v>
      </c>
      <c r="G2418" s="179" t="n"/>
      <c r="H2418" s="173" t="n"/>
      <c r="I2418" s="173" t="n"/>
      <c r="J2418" s="181" t="n"/>
      <c r="K2418" s="178" t="n"/>
      <c r="L2418" s="178" t="n"/>
      <c r="M2418" s="179" t="n"/>
      <c r="N2418" s="180" t="b">
        <v>0</v>
      </c>
      <c r="O2418" s="179" t="n"/>
      <c r="P2418" s="173" t="n"/>
    </row>
    <row r="2419" ht="18.75" customHeight="1">
      <c r="A2419" s="173" t="n"/>
      <c r="B2419" s="173" t="n"/>
      <c r="C2419" s="173" t="n"/>
      <c r="D2419" s="173" t="n"/>
      <c r="E2419" s="173" t="n"/>
      <c r="F2419" s="173" t="n"/>
      <c r="G2419" s="173" t="n"/>
      <c r="H2419" s="173" t="n"/>
      <c r="I2419" s="173" t="n"/>
      <c r="J2419" s="173" t="n"/>
      <c r="K2419" s="173" t="n"/>
      <c r="L2419" s="173" t="n"/>
      <c r="M2419" s="173" t="n"/>
      <c r="N2419" s="173" t="n"/>
      <c r="O2419" s="173" t="n"/>
      <c r="P2419" s="173" t="n"/>
    </row>
    <row r="2420" ht="18.75" customHeight="1">
      <c r="A2420" s="173" t="n"/>
      <c r="B2420" s="177" t="inlineStr">
        <is>
          <t>BASE DO LIVRO</t>
        </is>
      </c>
      <c r="C2420" s="178" t="n"/>
      <c r="D2420" s="179" t="n"/>
      <c r="E2420" s="181" t="inlineStr">
        <is>
          <t>Nenhuma</t>
        </is>
      </c>
      <c r="F2420" s="178" t="n"/>
      <c r="G2420" s="179" t="n"/>
      <c r="H2420" s="173" t="n"/>
      <c r="I2420" s="173" t="n"/>
      <c r="J2420" s="177" t="inlineStr">
        <is>
          <t>BASE DO LIVRO</t>
        </is>
      </c>
      <c r="K2420" s="178" t="n"/>
      <c r="L2420" s="179" t="n"/>
      <c r="M2420" s="181" t="inlineStr">
        <is>
          <t>Nenhuma</t>
        </is>
      </c>
      <c r="N2420" s="178" t="n"/>
      <c r="O2420" s="179" t="n"/>
      <c r="P2420" s="173" t="n"/>
    </row>
    <row r="2421" ht="18.75" customHeight="1">
      <c r="A2421" s="173" t="n"/>
      <c r="B2421" s="177" t="inlineStr">
        <is>
          <t>VIDA</t>
        </is>
      </c>
      <c r="C2421" s="178" t="n"/>
      <c r="D2421" s="179" t="n"/>
      <c r="E2421" s="181" t="n"/>
      <c r="F2421" s="178" t="n"/>
      <c r="G2421" s="179" t="n"/>
      <c r="H2421" s="173" t="n"/>
      <c r="I2421" s="173" t="n"/>
      <c r="J2421" s="177" t="inlineStr">
        <is>
          <t>VIDA</t>
        </is>
      </c>
      <c r="K2421" s="178" t="n"/>
      <c r="L2421" s="179" t="n"/>
      <c r="M2421" s="181" t="n"/>
      <c r="N2421" s="178" t="n"/>
      <c r="O2421" s="179" t="n"/>
      <c r="P2421" s="173" t="n"/>
    </row>
    <row r="2422" ht="18.75" customHeight="1">
      <c r="A2422" s="173" t="n"/>
      <c r="B2422" s="177" t="inlineStr">
        <is>
          <t>TALISMÃ</t>
        </is>
      </c>
      <c r="C2422" s="178" t="n"/>
      <c r="D2422" s="179" t="n"/>
      <c r="E2422" s="181" t="n"/>
      <c r="F2422" s="178" t="n"/>
      <c r="G2422" s="179" t="n"/>
      <c r="H2422" s="173" t="n"/>
      <c r="I2422" s="173" t="n"/>
      <c r="J2422" s="177" t="inlineStr">
        <is>
          <t>TALISMÃ</t>
        </is>
      </c>
      <c r="K2422" s="178" t="n"/>
      <c r="L2422" s="179" t="n"/>
      <c r="M2422" s="181" t="n"/>
      <c r="N2422" s="178" t="n"/>
      <c r="O2422" s="179" t="n"/>
      <c r="P2422" s="173" t="n"/>
    </row>
    <row r="2423" ht="18.75" customHeight="1">
      <c r="A2423" s="173" t="n"/>
      <c r="B2423" s="173" t="n"/>
      <c r="C2423" s="173" t="n"/>
      <c r="D2423" s="173" t="n"/>
      <c r="E2423" s="173" t="n"/>
      <c r="F2423" s="173" t="n"/>
      <c r="G2423" s="173" t="n"/>
      <c r="H2423" s="173" t="n"/>
      <c r="I2423" s="173" t="n"/>
      <c r="J2423" s="173" t="n"/>
      <c r="K2423" s="173" t="n"/>
      <c r="L2423" s="173" t="n"/>
      <c r="M2423" s="173" t="n"/>
      <c r="N2423" s="173" t="n"/>
      <c r="O2423" s="173" t="n"/>
      <c r="P2423" s="173" t="n"/>
    </row>
    <row r="2424" ht="18.75" customHeight="1">
      <c r="A2424" s="173" t="n"/>
      <c r="B2424" s="177" t="inlineStr">
        <is>
          <t>RESERVA DE PE</t>
        </is>
      </c>
      <c r="C2424" s="178" t="n"/>
      <c r="D2424" s="179" t="n"/>
      <c r="E2424" s="181" t="n"/>
      <c r="F2424" s="178" t="n"/>
      <c r="G2424" s="179" t="n"/>
      <c r="H2424" s="173" t="n"/>
      <c r="I2424" s="173" t="n"/>
      <c r="J2424" s="177" t="inlineStr">
        <is>
          <t>RESERVA DE PE</t>
        </is>
      </c>
      <c r="K2424" s="178" t="n"/>
      <c r="L2424" s="179" t="n"/>
      <c r="M2424" s="181" t="n"/>
      <c r="N2424" s="178" t="n"/>
      <c r="O2424" s="179" t="n"/>
      <c r="P2424" s="173" t="n"/>
    </row>
    <row r="2425" ht="18.75" customHeight="1">
      <c r="A2425" s="173" t="n"/>
      <c r="B2425" s="173" t="n"/>
      <c r="C2425" s="173" t="n"/>
      <c r="D2425" s="173" t="n"/>
      <c r="E2425" s="173" t="n"/>
      <c r="F2425" s="173" t="n"/>
      <c r="G2425" s="173" t="n"/>
      <c r="H2425" s="173" t="n"/>
      <c r="I2425" s="173" t="n"/>
      <c r="J2425" s="173" t="n"/>
      <c r="K2425" s="173" t="n"/>
      <c r="L2425" s="173" t="n"/>
      <c r="M2425" s="173" t="n"/>
      <c r="N2425" s="173" t="n"/>
      <c r="O2425" s="173" t="n"/>
      <c r="P2425" s="173" t="n"/>
    </row>
    <row r="2426" ht="18.75" customHeight="1">
      <c r="A2426" s="173" t="n"/>
      <c r="B2426" s="173" t="n"/>
      <c r="C2426" s="173" t="n"/>
      <c r="D2426" s="173" t="n"/>
      <c r="E2426" s="173" t="n"/>
      <c r="F2426" s="173" t="n"/>
      <c r="G2426" s="173" t="n"/>
      <c r="H2426" s="173" t="n"/>
      <c r="I2426" s="173" t="n"/>
      <c r="J2426" s="173" t="n"/>
      <c r="K2426" s="173" t="n"/>
      <c r="L2426" s="173" t="n"/>
      <c r="M2426" s="173" t="n"/>
      <c r="N2426" s="173" t="n"/>
      <c r="O2426" s="173" t="n"/>
      <c r="P2426" s="173" t="n"/>
    </row>
    <row r="2427" ht="18.75" customHeight="1">
      <c r="A2427" s="173" t="n"/>
      <c r="B2427" s="177" t="inlineStr">
        <is>
          <t>DEFINIÇÃO</t>
        </is>
      </c>
      <c r="C2427" s="178" t="n"/>
      <c r="D2427" s="178" t="n"/>
      <c r="E2427" s="178" t="n"/>
      <c r="F2427" s="178" t="n"/>
      <c r="G2427" s="179" t="n"/>
      <c r="H2427" s="173" t="n"/>
      <c r="I2427" s="173" t="n"/>
      <c r="J2427" s="177" t="inlineStr">
        <is>
          <t>DEFINIÇÃO</t>
        </is>
      </c>
      <c r="K2427" s="178" t="n"/>
      <c r="L2427" s="178" t="n"/>
      <c r="M2427" s="178" t="n"/>
      <c r="N2427" s="178" t="n"/>
      <c r="O2427" s="179" t="n"/>
      <c r="P2427" s="173" t="n"/>
    </row>
    <row r="2428" ht="18.75" customHeight="1">
      <c r="A2428" s="173" t="n"/>
      <c r="B2428" s="183" t="n"/>
      <c r="C2428" s="184" t="n"/>
      <c r="D2428" s="184" t="n"/>
      <c r="E2428" s="184" t="n"/>
      <c r="F2428" s="184" t="n"/>
      <c r="G2428" s="185" t="n"/>
      <c r="H2428" s="173" t="n"/>
      <c r="I2428" s="173" t="n"/>
      <c r="J2428" s="183" t="n"/>
      <c r="K2428" s="184" t="n"/>
      <c r="L2428" s="184" t="n"/>
      <c r="M2428" s="184" t="n"/>
      <c r="N2428" s="184" t="n"/>
      <c r="O2428" s="185" t="n"/>
      <c r="P2428" s="173" t="n"/>
    </row>
    <row r="2429" ht="18.75" customHeight="1">
      <c r="A2429" s="173" t="n"/>
      <c r="B2429" s="186" t="n"/>
      <c r="G2429" s="187" t="n"/>
      <c r="H2429" s="173" t="n"/>
      <c r="I2429" s="173" t="n"/>
      <c r="J2429" s="186" t="n"/>
      <c r="O2429" s="187" t="n"/>
      <c r="P2429" s="173" t="n"/>
    </row>
    <row r="2430" ht="18.75" customHeight="1">
      <c r="A2430" s="173" t="n"/>
      <c r="B2430" s="188" t="n"/>
      <c r="C2430" s="189" t="n"/>
      <c r="D2430" s="189" t="n"/>
      <c r="E2430" s="189" t="n"/>
      <c r="F2430" s="189" t="n"/>
      <c r="G2430" s="190" t="n"/>
      <c r="H2430" s="173" t="n"/>
      <c r="I2430" s="173" t="n"/>
      <c r="J2430" s="188" t="n"/>
      <c r="K2430" s="189" t="n"/>
      <c r="L2430" s="189" t="n"/>
      <c r="M2430" s="189" t="n"/>
      <c r="N2430" s="189" t="n"/>
      <c r="O2430" s="190" t="n"/>
      <c r="P2430" s="173" t="n"/>
    </row>
    <row r="2431" ht="18.75" customHeight="1">
      <c r="A2431" s="173" t="n"/>
      <c r="B2431" s="173" t="n"/>
      <c r="C2431" s="173" t="n"/>
      <c r="D2431" s="173" t="n"/>
      <c r="E2431" s="173" t="n"/>
      <c r="F2431" s="173" t="n"/>
      <c r="G2431" s="173" t="n"/>
      <c r="H2431" s="173" t="n"/>
      <c r="I2431" s="173" t="n"/>
      <c r="J2431" s="173" t="n"/>
      <c r="K2431" s="173" t="n"/>
      <c r="L2431" s="173" t="n"/>
      <c r="M2431" s="173" t="n"/>
      <c r="N2431" s="173" t="n"/>
      <c r="O2431" s="173" t="n"/>
      <c r="P2431" s="173" t="n"/>
    </row>
    <row r="2432" ht="18.75" customHeight="1">
      <c r="A2432" s="173" t="n"/>
      <c r="B2432" s="177" t="inlineStr">
        <is>
          <t>EFEITO E REQUISITOS</t>
        </is>
      </c>
      <c r="C2432" s="178" t="n"/>
      <c r="D2432" s="178" t="n"/>
      <c r="E2432" s="178" t="n"/>
      <c r="F2432" s="178" t="n"/>
      <c r="G2432" s="179" t="n"/>
      <c r="H2432" s="173" t="n"/>
      <c r="I2432" s="173" t="n"/>
      <c r="J2432" s="177" t="inlineStr">
        <is>
          <t>EFEITO E REQUISITOS</t>
        </is>
      </c>
      <c r="K2432" s="178" t="n"/>
      <c r="L2432" s="178" t="n"/>
      <c r="M2432" s="178" t="n"/>
      <c r="N2432" s="178" t="n"/>
      <c r="O2432" s="179" t="n"/>
      <c r="P2432" s="173" t="n"/>
    </row>
    <row r="2433" ht="18.75" customHeight="1">
      <c r="A2433" s="173" t="n"/>
      <c r="B2433" s="183" t="n"/>
      <c r="C2433" s="184" t="n"/>
      <c r="D2433" s="184" t="n"/>
      <c r="E2433" s="184" t="n"/>
      <c r="F2433" s="184" t="n"/>
      <c r="G2433" s="185" t="n"/>
      <c r="H2433" s="173" t="n"/>
      <c r="I2433" s="173" t="n"/>
      <c r="J2433" s="183" t="n"/>
      <c r="K2433" s="184" t="n"/>
      <c r="L2433" s="184" t="n"/>
      <c r="M2433" s="184" t="n"/>
      <c r="N2433" s="184" t="n"/>
      <c r="O2433" s="185" t="n"/>
      <c r="P2433" s="173" t="n"/>
    </row>
    <row r="2434" ht="18.75" customHeight="1">
      <c r="A2434" s="173" t="n"/>
      <c r="B2434" s="186" t="n"/>
      <c r="G2434" s="187" t="n"/>
      <c r="H2434" s="173" t="n"/>
      <c r="I2434" s="173" t="n"/>
      <c r="J2434" s="186" t="n"/>
      <c r="O2434" s="187" t="n"/>
      <c r="P2434" s="173" t="n"/>
    </row>
    <row r="2435" ht="18.75" customHeight="1">
      <c r="A2435" s="173" t="n"/>
      <c r="B2435" s="186" t="n"/>
      <c r="G2435" s="187" t="n"/>
      <c r="H2435" s="173" t="n"/>
      <c r="I2435" s="173" t="n"/>
      <c r="J2435" s="186" t="n"/>
      <c r="O2435" s="187" t="n"/>
      <c r="P2435" s="173" t="n"/>
    </row>
    <row r="2436" ht="18.75" customHeight="1">
      <c r="A2436" s="173" t="n"/>
      <c r="B2436" s="186" t="n"/>
      <c r="G2436" s="187" t="n"/>
      <c r="H2436" s="173" t="n"/>
      <c r="I2436" s="173" t="n"/>
      <c r="J2436" s="186" t="n"/>
      <c r="O2436" s="187" t="n"/>
      <c r="P2436" s="173" t="n"/>
    </row>
    <row r="2437" ht="18.75" customHeight="1">
      <c r="A2437" s="173" t="n"/>
      <c r="B2437" s="186" t="n"/>
      <c r="G2437" s="187" t="n"/>
      <c r="H2437" s="173" t="n"/>
      <c r="I2437" s="173" t="n"/>
      <c r="J2437" s="186" t="n"/>
      <c r="O2437" s="187" t="n"/>
      <c r="P2437" s="173" t="n"/>
    </row>
    <row r="2438" ht="18.75" customHeight="1">
      <c r="A2438" s="173" t="n"/>
      <c r="B2438" s="186" t="n"/>
      <c r="G2438" s="187" t="n"/>
      <c r="H2438" s="173" t="n"/>
      <c r="I2438" s="173" t="n"/>
      <c r="J2438" s="186" t="n"/>
      <c r="O2438" s="187" t="n"/>
      <c r="P2438" s="173" t="n"/>
    </row>
    <row r="2439" ht="18.75" customHeight="1">
      <c r="A2439" s="173" t="n"/>
      <c r="B2439" s="186" t="n"/>
      <c r="G2439" s="187" t="n"/>
      <c r="H2439" s="173" t="n"/>
      <c r="I2439" s="173" t="n"/>
      <c r="J2439" s="186" t="n"/>
      <c r="O2439" s="187" t="n"/>
      <c r="P2439" s="173" t="n"/>
    </row>
    <row r="2440" ht="18.75" customHeight="1">
      <c r="A2440" s="173" t="n"/>
      <c r="B2440" s="188" t="n"/>
      <c r="C2440" s="189" t="n"/>
      <c r="D2440" s="189" t="n"/>
      <c r="E2440" s="189" t="n"/>
      <c r="F2440" s="189" t="n"/>
      <c r="G2440" s="190" t="n"/>
      <c r="H2440" s="173" t="n"/>
      <c r="I2440" s="173" t="n"/>
      <c r="J2440" s="188" t="n"/>
      <c r="K2440" s="189" t="n"/>
      <c r="L2440" s="189" t="n"/>
      <c r="M2440" s="189" t="n"/>
      <c r="N2440" s="189" t="n"/>
      <c r="O2440" s="190" t="n"/>
      <c r="P2440" s="173" t="n"/>
    </row>
    <row r="2441" ht="18.75" customHeight="1">
      <c r="A2441" s="173" t="n"/>
      <c r="B2441" s="173" t="n"/>
      <c r="C2441" s="173" t="n"/>
      <c r="D2441" s="173" t="n"/>
      <c r="E2441" s="173" t="n"/>
      <c r="F2441" s="173" t="n"/>
      <c r="G2441" s="173" t="n"/>
      <c r="H2441" s="173" t="n"/>
      <c r="I2441" s="173" t="n"/>
      <c r="J2441" s="173" t="n"/>
      <c r="K2441" s="173" t="n"/>
      <c r="L2441" s="173" t="n"/>
      <c r="M2441" s="173" t="n"/>
      <c r="N2441" s="173" t="n"/>
      <c r="O2441" s="173" t="n"/>
      <c r="P2441" s="173" t="n"/>
    </row>
    <row r="2442" ht="18.75" customHeight="1">
      <c r="A2442" s="173" t="n"/>
      <c r="B2442" s="175">
        <f>IF('DADOS_ENTIDADES'!$K$4="","","⚠ "&amp;'DADOS_ENTIDADES'!$K$4)</f>
        <v/>
      </c>
      <c r="H2442" s="173" t="n"/>
      <c r="I2442" s="173" t="n"/>
      <c r="J2442" s="175">
        <f>IF('DADOS_ENTIDADES'!$K$5="","","⚠ "&amp;'DADOS_ENTIDADES'!$K$5)</f>
        <v/>
      </c>
      <c r="P2442" s="173" t="n"/>
    </row>
    <row r="2443" ht="18.75" customHeight="1">
      <c r="A2443" s="173" t="n"/>
      <c r="H2443" s="173" t="n"/>
      <c r="I2443" s="173" t="n"/>
      <c r="P2443" s="173" t="n"/>
    </row>
    <row r="2444" ht="18.75" customHeight="1">
      <c r="A2444" s="173" t="n"/>
      <c r="B2444" s="176" t="inlineStr">
        <is>
          <t>TIPO DE ENTIDADE · 5</t>
        </is>
      </c>
      <c r="H2444" s="173" t="n"/>
      <c r="I2444" s="173" t="n"/>
      <c r="J2444" s="176" t="inlineStr">
        <is>
          <t>TIPO DE ENTIDADE · 6</t>
        </is>
      </c>
      <c r="P2444" s="173" t="n"/>
    </row>
    <row r="2445" ht="18.75" customHeight="1">
      <c r="A2445" s="173" t="n"/>
      <c r="B2445" s="177" t="inlineStr">
        <is>
          <t>NOME</t>
        </is>
      </c>
      <c r="C2445" s="178" t="n"/>
      <c r="D2445" s="178" t="n"/>
      <c r="E2445" s="179" t="n"/>
      <c r="F2445" s="177" t="inlineStr">
        <is>
          <t>MESTRE VIU</t>
        </is>
      </c>
      <c r="G2445" s="179" t="n"/>
      <c r="H2445" s="173" t="n"/>
      <c r="I2445" s="173" t="n"/>
      <c r="J2445" s="177" t="inlineStr">
        <is>
          <t>NOME</t>
        </is>
      </c>
      <c r="K2445" s="178" t="n"/>
      <c r="L2445" s="178" t="n"/>
      <c r="M2445" s="179" t="n"/>
      <c r="N2445" s="177" t="inlineStr">
        <is>
          <t>MESTRE VIU</t>
        </is>
      </c>
      <c r="O2445" s="179" t="n"/>
      <c r="P2445" s="173" t="n"/>
    </row>
    <row r="2446" ht="18.75" customHeight="1">
      <c r="A2446" s="173" t="n"/>
      <c r="B2446" s="181" t="n"/>
      <c r="C2446" s="178" t="n"/>
      <c r="D2446" s="178" t="n"/>
      <c r="E2446" s="179" t="n"/>
      <c r="F2446" s="180" t="b">
        <v>0</v>
      </c>
      <c r="G2446" s="179" t="n"/>
      <c r="H2446" s="173" t="n"/>
      <c r="I2446" s="173" t="n"/>
      <c r="J2446" s="181" t="n"/>
      <c r="K2446" s="178" t="n"/>
      <c r="L2446" s="178" t="n"/>
      <c r="M2446" s="179" t="n"/>
      <c r="N2446" s="180" t="b">
        <v>0</v>
      </c>
      <c r="O2446" s="179" t="n"/>
      <c r="P2446" s="173" t="n"/>
    </row>
    <row r="2447" ht="18.75" customHeight="1">
      <c r="A2447" s="173" t="n"/>
      <c r="B2447" s="173" t="n"/>
      <c r="C2447" s="173" t="n"/>
      <c r="D2447" s="173" t="n"/>
      <c r="E2447" s="173" t="n"/>
      <c r="F2447" s="173" t="n"/>
      <c r="G2447" s="173" t="n"/>
      <c r="H2447" s="173" t="n"/>
      <c r="I2447" s="173" t="n"/>
      <c r="J2447" s="173" t="n"/>
      <c r="K2447" s="173" t="n"/>
      <c r="L2447" s="173" t="n"/>
      <c r="M2447" s="173" t="n"/>
      <c r="N2447" s="173" t="n"/>
      <c r="O2447" s="173" t="n"/>
      <c r="P2447" s="173" t="n"/>
    </row>
    <row r="2448" ht="18.75" customHeight="1">
      <c r="A2448" s="173" t="n"/>
      <c r="B2448" s="177" t="inlineStr">
        <is>
          <t>BASE DO LIVRO</t>
        </is>
      </c>
      <c r="C2448" s="178" t="n"/>
      <c r="D2448" s="179" t="n"/>
      <c r="E2448" s="181" t="inlineStr">
        <is>
          <t>Nenhuma</t>
        </is>
      </c>
      <c r="F2448" s="178" t="n"/>
      <c r="G2448" s="179" t="n"/>
      <c r="H2448" s="173" t="n"/>
      <c r="I2448" s="173" t="n"/>
      <c r="J2448" s="177" t="inlineStr">
        <is>
          <t>BASE DO LIVRO</t>
        </is>
      </c>
      <c r="K2448" s="178" t="n"/>
      <c r="L2448" s="179" t="n"/>
      <c r="M2448" s="181" t="inlineStr">
        <is>
          <t>Nenhuma</t>
        </is>
      </c>
      <c r="N2448" s="178" t="n"/>
      <c r="O2448" s="179" t="n"/>
      <c r="P2448" s="173" t="n"/>
    </row>
    <row r="2449" ht="18.75" customHeight="1">
      <c r="A2449" s="173" t="n"/>
      <c r="B2449" s="177" t="inlineStr">
        <is>
          <t>VIDA</t>
        </is>
      </c>
      <c r="C2449" s="178" t="n"/>
      <c r="D2449" s="179" t="n"/>
      <c r="E2449" s="181" t="n"/>
      <c r="F2449" s="178" t="n"/>
      <c r="G2449" s="179" t="n"/>
      <c r="H2449" s="173" t="n"/>
      <c r="I2449" s="173" t="n"/>
      <c r="J2449" s="177" t="inlineStr">
        <is>
          <t>VIDA</t>
        </is>
      </c>
      <c r="K2449" s="178" t="n"/>
      <c r="L2449" s="179" t="n"/>
      <c r="M2449" s="181" t="n"/>
      <c r="N2449" s="178" t="n"/>
      <c r="O2449" s="179" t="n"/>
      <c r="P2449" s="173" t="n"/>
    </row>
    <row r="2450" ht="18.75" customHeight="1">
      <c r="A2450" s="173" t="n"/>
      <c r="B2450" s="177" t="inlineStr">
        <is>
          <t>TALISMÃ</t>
        </is>
      </c>
      <c r="C2450" s="178" t="n"/>
      <c r="D2450" s="179" t="n"/>
      <c r="E2450" s="181" t="n"/>
      <c r="F2450" s="178" t="n"/>
      <c r="G2450" s="179" t="n"/>
      <c r="H2450" s="173" t="n"/>
      <c r="I2450" s="173" t="n"/>
      <c r="J2450" s="177" t="inlineStr">
        <is>
          <t>TALISMÃ</t>
        </is>
      </c>
      <c r="K2450" s="178" t="n"/>
      <c r="L2450" s="179" t="n"/>
      <c r="M2450" s="181" t="n"/>
      <c r="N2450" s="178" t="n"/>
      <c r="O2450" s="179" t="n"/>
      <c r="P2450" s="173" t="n"/>
    </row>
    <row r="2451" ht="18.75" customHeight="1">
      <c r="A2451" s="173" t="n"/>
      <c r="B2451" s="173" t="n"/>
      <c r="C2451" s="173" t="n"/>
      <c r="D2451" s="173" t="n"/>
      <c r="E2451" s="173" t="n"/>
      <c r="F2451" s="173" t="n"/>
      <c r="G2451" s="173" t="n"/>
      <c r="H2451" s="173" t="n"/>
      <c r="I2451" s="173" t="n"/>
      <c r="J2451" s="173" t="n"/>
      <c r="K2451" s="173" t="n"/>
      <c r="L2451" s="173" t="n"/>
      <c r="M2451" s="173" t="n"/>
      <c r="N2451" s="173" t="n"/>
      <c r="O2451" s="173" t="n"/>
      <c r="P2451" s="173" t="n"/>
    </row>
    <row r="2452" ht="18.75" customHeight="1">
      <c r="A2452" s="173" t="n"/>
      <c r="B2452" s="177" t="inlineStr">
        <is>
          <t>RESERVA DE PE</t>
        </is>
      </c>
      <c r="C2452" s="178" t="n"/>
      <c r="D2452" s="179" t="n"/>
      <c r="E2452" s="181" t="n"/>
      <c r="F2452" s="178" t="n"/>
      <c r="G2452" s="179" t="n"/>
      <c r="H2452" s="173" t="n"/>
      <c r="I2452" s="173" t="n"/>
      <c r="J2452" s="177" t="inlineStr">
        <is>
          <t>RESERVA DE PE</t>
        </is>
      </c>
      <c r="K2452" s="178" t="n"/>
      <c r="L2452" s="179" t="n"/>
      <c r="M2452" s="181" t="n"/>
      <c r="N2452" s="178" t="n"/>
      <c r="O2452" s="179" t="n"/>
      <c r="P2452" s="173" t="n"/>
    </row>
    <row r="2453" ht="18.75" customHeight="1">
      <c r="A2453" s="173" t="n"/>
      <c r="B2453" s="173" t="n"/>
      <c r="C2453" s="173" t="n"/>
      <c r="D2453" s="173" t="n"/>
      <c r="E2453" s="173" t="n"/>
      <c r="F2453" s="173" t="n"/>
      <c r="G2453" s="173" t="n"/>
      <c r="H2453" s="173" t="n"/>
      <c r="I2453" s="173" t="n"/>
      <c r="J2453" s="173" t="n"/>
      <c r="K2453" s="173" t="n"/>
      <c r="L2453" s="173" t="n"/>
      <c r="M2453" s="173" t="n"/>
      <c r="N2453" s="173" t="n"/>
      <c r="O2453" s="173" t="n"/>
      <c r="P2453" s="173" t="n"/>
    </row>
    <row r="2454" ht="18.75" customHeight="1">
      <c r="A2454" s="173" t="n"/>
      <c r="B2454" s="173" t="n"/>
      <c r="C2454" s="173" t="n"/>
      <c r="D2454" s="173" t="n"/>
      <c r="E2454" s="173" t="n"/>
      <c r="F2454" s="173" t="n"/>
      <c r="G2454" s="173" t="n"/>
      <c r="H2454" s="173" t="n"/>
      <c r="I2454" s="173" t="n"/>
      <c r="J2454" s="173" t="n"/>
      <c r="K2454" s="173" t="n"/>
      <c r="L2454" s="173" t="n"/>
      <c r="M2454" s="173" t="n"/>
      <c r="N2454" s="173" t="n"/>
      <c r="O2454" s="173" t="n"/>
      <c r="P2454" s="173" t="n"/>
    </row>
    <row r="2455" ht="18.75" customHeight="1">
      <c r="A2455" s="173" t="n"/>
      <c r="B2455" s="177" t="inlineStr">
        <is>
          <t>DEFINIÇÃO</t>
        </is>
      </c>
      <c r="C2455" s="178" t="n"/>
      <c r="D2455" s="178" t="n"/>
      <c r="E2455" s="178" t="n"/>
      <c r="F2455" s="178" t="n"/>
      <c r="G2455" s="179" t="n"/>
      <c r="H2455" s="173" t="n"/>
      <c r="I2455" s="173" t="n"/>
      <c r="J2455" s="177" t="inlineStr">
        <is>
          <t>DEFINIÇÃO</t>
        </is>
      </c>
      <c r="K2455" s="178" t="n"/>
      <c r="L2455" s="178" t="n"/>
      <c r="M2455" s="178" t="n"/>
      <c r="N2455" s="178" t="n"/>
      <c r="O2455" s="179" t="n"/>
      <c r="P2455" s="173" t="n"/>
    </row>
    <row r="2456" ht="18.75" customHeight="1">
      <c r="A2456" s="173" t="n"/>
      <c r="B2456" s="183" t="n"/>
      <c r="C2456" s="184" t="n"/>
      <c r="D2456" s="184" t="n"/>
      <c r="E2456" s="184" t="n"/>
      <c r="F2456" s="184" t="n"/>
      <c r="G2456" s="185" t="n"/>
      <c r="H2456" s="173" t="n"/>
      <c r="I2456" s="173" t="n"/>
      <c r="J2456" s="183" t="n"/>
      <c r="K2456" s="184" t="n"/>
      <c r="L2456" s="184" t="n"/>
      <c r="M2456" s="184" t="n"/>
      <c r="N2456" s="184" t="n"/>
      <c r="O2456" s="185" t="n"/>
      <c r="P2456" s="173" t="n"/>
    </row>
    <row r="2457" ht="18.75" customHeight="1">
      <c r="A2457" s="173" t="n"/>
      <c r="B2457" s="186" t="n"/>
      <c r="G2457" s="187" t="n"/>
      <c r="H2457" s="173" t="n"/>
      <c r="I2457" s="173" t="n"/>
      <c r="J2457" s="186" t="n"/>
      <c r="O2457" s="187" t="n"/>
      <c r="P2457" s="173" t="n"/>
    </row>
    <row r="2458" ht="18.75" customHeight="1">
      <c r="A2458" s="173" t="n"/>
      <c r="B2458" s="188" t="n"/>
      <c r="C2458" s="189" t="n"/>
      <c r="D2458" s="189" t="n"/>
      <c r="E2458" s="189" t="n"/>
      <c r="F2458" s="189" t="n"/>
      <c r="G2458" s="190" t="n"/>
      <c r="H2458" s="173" t="n"/>
      <c r="I2458" s="173" t="n"/>
      <c r="J2458" s="188" t="n"/>
      <c r="K2458" s="189" t="n"/>
      <c r="L2458" s="189" t="n"/>
      <c r="M2458" s="189" t="n"/>
      <c r="N2458" s="189" t="n"/>
      <c r="O2458" s="190" t="n"/>
      <c r="P2458" s="173" t="n"/>
    </row>
    <row r="2459" ht="18.75" customHeight="1">
      <c r="A2459" s="173" t="n"/>
      <c r="B2459" s="173" t="n"/>
      <c r="C2459" s="173" t="n"/>
      <c r="D2459" s="173" t="n"/>
      <c r="E2459" s="173" t="n"/>
      <c r="F2459" s="173" t="n"/>
      <c r="G2459" s="173" t="n"/>
      <c r="H2459" s="173" t="n"/>
      <c r="I2459" s="173" t="n"/>
      <c r="J2459" s="173" t="n"/>
      <c r="K2459" s="173" t="n"/>
      <c r="L2459" s="173" t="n"/>
      <c r="M2459" s="173" t="n"/>
      <c r="N2459" s="173" t="n"/>
      <c r="O2459" s="173" t="n"/>
      <c r="P2459" s="173" t="n"/>
    </row>
    <row r="2460" ht="18.75" customHeight="1">
      <c r="A2460" s="173" t="n"/>
      <c r="B2460" s="177" t="inlineStr">
        <is>
          <t>EFEITO E REQUISITOS</t>
        </is>
      </c>
      <c r="C2460" s="178" t="n"/>
      <c r="D2460" s="178" t="n"/>
      <c r="E2460" s="178" t="n"/>
      <c r="F2460" s="178" t="n"/>
      <c r="G2460" s="179" t="n"/>
      <c r="H2460" s="173" t="n"/>
      <c r="I2460" s="173" t="n"/>
      <c r="J2460" s="177" t="inlineStr">
        <is>
          <t>EFEITO E REQUISITOS</t>
        </is>
      </c>
      <c r="K2460" s="178" t="n"/>
      <c r="L2460" s="178" t="n"/>
      <c r="M2460" s="178" t="n"/>
      <c r="N2460" s="178" t="n"/>
      <c r="O2460" s="179" t="n"/>
      <c r="P2460" s="173" t="n"/>
    </row>
    <row r="2461" ht="18.75" customHeight="1">
      <c r="A2461" s="173" t="n"/>
      <c r="B2461" s="183" t="n"/>
      <c r="C2461" s="184" t="n"/>
      <c r="D2461" s="184" t="n"/>
      <c r="E2461" s="184" t="n"/>
      <c r="F2461" s="184" t="n"/>
      <c r="G2461" s="185" t="n"/>
      <c r="H2461" s="173" t="n"/>
      <c r="I2461" s="173" t="n"/>
      <c r="J2461" s="183" t="n"/>
      <c r="K2461" s="184" t="n"/>
      <c r="L2461" s="184" t="n"/>
      <c r="M2461" s="184" t="n"/>
      <c r="N2461" s="184" t="n"/>
      <c r="O2461" s="185" t="n"/>
      <c r="P2461" s="173" t="n"/>
    </row>
    <row r="2462" ht="18.75" customHeight="1">
      <c r="A2462" s="173" t="n"/>
      <c r="B2462" s="186" t="n"/>
      <c r="G2462" s="187" t="n"/>
      <c r="H2462" s="173" t="n"/>
      <c r="I2462" s="173" t="n"/>
      <c r="J2462" s="186" t="n"/>
      <c r="O2462" s="187" t="n"/>
      <c r="P2462" s="173" t="n"/>
    </row>
    <row r="2463" ht="18.75" customHeight="1">
      <c r="A2463" s="173" t="n"/>
      <c r="B2463" s="186" t="n"/>
      <c r="G2463" s="187" t="n"/>
      <c r="H2463" s="173" t="n"/>
      <c r="I2463" s="173" t="n"/>
      <c r="J2463" s="186" t="n"/>
      <c r="O2463" s="187" t="n"/>
      <c r="P2463" s="173" t="n"/>
    </row>
    <row r="2464" ht="18.75" customHeight="1">
      <c r="A2464" s="173" t="n"/>
      <c r="B2464" s="186" t="n"/>
      <c r="G2464" s="187" t="n"/>
      <c r="H2464" s="173" t="n"/>
      <c r="I2464" s="173" t="n"/>
      <c r="J2464" s="186" t="n"/>
      <c r="O2464" s="187" t="n"/>
      <c r="P2464" s="173" t="n"/>
    </row>
    <row r="2465" ht="18.75" customHeight="1">
      <c r="A2465" s="173" t="n"/>
      <c r="B2465" s="186" t="n"/>
      <c r="G2465" s="187" t="n"/>
      <c r="H2465" s="173" t="n"/>
      <c r="I2465" s="173" t="n"/>
      <c r="J2465" s="186" t="n"/>
      <c r="O2465" s="187" t="n"/>
      <c r="P2465" s="173" t="n"/>
    </row>
    <row r="2466" ht="18.75" customHeight="1">
      <c r="A2466" s="173" t="n"/>
      <c r="B2466" s="186" t="n"/>
      <c r="G2466" s="187" t="n"/>
      <c r="H2466" s="173" t="n"/>
      <c r="I2466" s="173" t="n"/>
      <c r="J2466" s="186" t="n"/>
      <c r="O2466" s="187" t="n"/>
      <c r="P2466" s="173" t="n"/>
    </row>
    <row r="2467" ht="18.75" customHeight="1">
      <c r="A2467" s="173" t="n"/>
      <c r="B2467" s="186" t="n"/>
      <c r="G2467" s="187" t="n"/>
      <c r="H2467" s="173" t="n"/>
      <c r="I2467" s="173" t="n"/>
      <c r="J2467" s="186" t="n"/>
      <c r="O2467" s="187" t="n"/>
      <c r="P2467" s="173" t="n"/>
    </row>
    <row r="2468" ht="18.75" customHeight="1">
      <c r="A2468" s="173" t="n"/>
      <c r="B2468" s="188" t="n"/>
      <c r="C2468" s="189" t="n"/>
      <c r="D2468" s="189" t="n"/>
      <c r="E2468" s="189" t="n"/>
      <c r="F2468" s="189" t="n"/>
      <c r="G2468" s="190" t="n"/>
      <c r="H2468" s="173" t="n"/>
      <c r="I2468" s="173" t="n"/>
      <c r="J2468" s="188" t="n"/>
      <c r="K2468" s="189" t="n"/>
      <c r="L2468" s="189" t="n"/>
      <c r="M2468" s="189" t="n"/>
      <c r="N2468" s="189" t="n"/>
      <c r="O2468" s="190" t="n"/>
      <c r="P2468" s="173" t="n"/>
    </row>
    <row r="2469" ht="18.75" customHeight="1">
      <c r="A2469" s="173" t="n"/>
      <c r="B2469" s="173" t="n"/>
      <c r="C2469" s="173" t="n"/>
      <c r="D2469" s="173" t="n"/>
      <c r="E2469" s="173" t="n"/>
      <c r="F2469" s="173" t="n"/>
      <c r="G2469" s="173" t="n"/>
      <c r="H2469" s="173" t="n"/>
      <c r="I2469" s="173" t="n"/>
      <c r="J2469" s="173" t="n"/>
      <c r="K2469" s="173" t="n"/>
      <c r="L2469" s="173" t="n"/>
      <c r="M2469" s="173" t="n"/>
      <c r="N2469" s="173" t="n"/>
      <c r="O2469" s="173" t="n"/>
      <c r="P2469" s="173" t="n"/>
    </row>
    <row r="2470" ht="18.75" customHeight="1">
      <c r="A2470" s="173" t="n"/>
      <c r="B2470" s="175">
        <f>IF('DADOS_ENTIDADES'!$K$6="","","⚠ "&amp;'DADOS_ENTIDADES'!$K$6)</f>
        <v/>
      </c>
      <c r="H2470" s="173" t="n"/>
      <c r="I2470" s="173" t="n"/>
      <c r="J2470" s="175">
        <f>IF('DADOS_ENTIDADES'!$K$7="","","⚠ "&amp;'DADOS_ENTIDADES'!$K$7)</f>
        <v/>
      </c>
      <c r="P2470" s="173" t="n"/>
    </row>
    <row r="2471" ht="18.75" customHeight="1">
      <c r="A2471" s="173" t="n"/>
      <c r="H2471" s="173" t="n"/>
      <c r="I2471" s="173" t="n"/>
      <c r="P2471" s="173" t="n"/>
    </row>
    <row r="2472" ht="18.75" customHeight="1">
      <c r="A2472" s="173" t="n"/>
      <c r="B2472" s="176" t="inlineStr">
        <is>
          <t>TIPO DE ENTIDADE · 7</t>
        </is>
      </c>
      <c r="H2472" s="173" t="n"/>
      <c r="I2472" s="173" t="n"/>
      <c r="J2472" s="176" t="inlineStr">
        <is>
          <t>TIPO DE ENTIDADE · 8</t>
        </is>
      </c>
      <c r="P2472" s="173" t="n"/>
    </row>
    <row r="2473" ht="18.75" customHeight="1">
      <c r="A2473" s="173" t="n"/>
      <c r="B2473" s="177" t="inlineStr">
        <is>
          <t>NOME</t>
        </is>
      </c>
      <c r="C2473" s="178" t="n"/>
      <c r="D2473" s="178" t="n"/>
      <c r="E2473" s="179" t="n"/>
      <c r="F2473" s="177" t="inlineStr">
        <is>
          <t>MESTRE VIU</t>
        </is>
      </c>
      <c r="G2473" s="179" t="n"/>
      <c r="H2473" s="173" t="n"/>
      <c r="I2473" s="173" t="n"/>
      <c r="J2473" s="177" t="inlineStr">
        <is>
          <t>NOME</t>
        </is>
      </c>
      <c r="K2473" s="178" t="n"/>
      <c r="L2473" s="178" t="n"/>
      <c r="M2473" s="179" t="n"/>
      <c r="N2473" s="177" t="inlineStr">
        <is>
          <t>MESTRE VIU</t>
        </is>
      </c>
      <c r="O2473" s="179" t="n"/>
      <c r="P2473" s="173" t="n"/>
    </row>
    <row r="2474" ht="18.75" customHeight="1">
      <c r="A2474" s="173" t="n"/>
      <c r="B2474" s="181" t="n"/>
      <c r="C2474" s="178" t="n"/>
      <c r="D2474" s="178" t="n"/>
      <c r="E2474" s="179" t="n"/>
      <c r="F2474" s="180" t="b">
        <v>0</v>
      </c>
      <c r="G2474" s="179" t="n"/>
      <c r="H2474" s="173" t="n"/>
      <c r="I2474" s="173" t="n"/>
      <c r="J2474" s="181" t="n"/>
      <c r="K2474" s="178" t="n"/>
      <c r="L2474" s="178" t="n"/>
      <c r="M2474" s="179" t="n"/>
      <c r="N2474" s="180" t="b">
        <v>0</v>
      </c>
      <c r="O2474" s="179" t="n"/>
      <c r="P2474" s="173" t="n"/>
    </row>
    <row r="2475" ht="18.75" customHeight="1">
      <c r="A2475" s="173" t="n"/>
      <c r="B2475" s="173" t="n"/>
      <c r="C2475" s="173" t="n"/>
      <c r="D2475" s="173" t="n"/>
      <c r="E2475" s="173" t="n"/>
      <c r="F2475" s="173" t="n"/>
      <c r="G2475" s="173" t="n"/>
      <c r="H2475" s="173" t="n"/>
      <c r="I2475" s="173" t="n"/>
      <c r="J2475" s="173" t="n"/>
      <c r="K2475" s="173" t="n"/>
      <c r="L2475" s="173" t="n"/>
      <c r="M2475" s="173" t="n"/>
      <c r="N2475" s="173" t="n"/>
      <c r="O2475" s="173" t="n"/>
      <c r="P2475" s="173" t="n"/>
    </row>
    <row r="2476" ht="18.75" customHeight="1">
      <c r="A2476" s="173" t="n"/>
      <c r="B2476" s="177" t="inlineStr">
        <is>
          <t>BASE DO LIVRO</t>
        </is>
      </c>
      <c r="C2476" s="178" t="n"/>
      <c r="D2476" s="179" t="n"/>
      <c r="E2476" s="181" t="inlineStr">
        <is>
          <t>Nenhuma</t>
        </is>
      </c>
      <c r="F2476" s="178" t="n"/>
      <c r="G2476" s="179" t="n"/>
      <c r="H2476" s="173" t="n"/>
      <c r="I2476" s="173" t="n"/>
      <c r="J2476" s="177" t="inlineStr">
        <is>
          <t>BASE DO LIVRO</t>
        </is>
      </c>
      <c r="K2476" s="178" t="n"/>
      <c r="L2476" s="179" t="n"/>
      <c r="M2476" s="181" t="inlineStr">
        <is>
          <t>Nenhuma</t>
        </is>
      </c>
      <c r="N2476" s="178" t="n"/>
      <c r="O2476" s="179" t="n"/>
      <c r="P2476" s="173" t="n"/>
    </row>
    <row r="2477" ht="18.75" customHeight="1">
      <c r="A2477" s="173" t="n"/>
      <c r="B2477" s="177" t="inlineStr">
        <is>
          <t>VIDA</t>
        </is>
      </c>
      <c r="C2477" s="178" t="n"/>
      <c r="D2477" s="179" t="n"/>
      <c r="E2477" s="181" t="n"/>
      <c r="F2477" s="178" t="n"/>
      <c r="G2477" s="179" t="n"/>
      <c r="H2477" s="173" t="n"/>
      <c r="I2477" s="173" t="n"/>
      <c r="J2477" s="177" t="inlineStr">
        <is>
          <t>VIDA</t>
        </is>
      </c>
      <c r="K2477" s="178" t="n"/>
      <c r="L2477" s="179" t="n"/>
      <c r="M2477" s="181" t="n"/>
      <c r="N2477" s="178" t="n"/>
      <c r="O2477" s="179" t="n"/>
      <c r="P2477" s="173" t="n"/>
    </row>
    <row r="2478" ht="18.75" customHeight="1">
      <c r="A2478" s="173" t="n"/>
      <c r="B2478" s="177" t="inlineStr">
        <is>
          <t>TALISMÃ</t>
        </is>
      </c>
      <c r="C2478" s="178" t="n"/>
      <c r="D2478" s="179" t="n"/>
      <c r="E2478" s="181" t="n"/>
      <c r="F2478" s="178" t="n"/>
      <c r="G2478" s="179" t="n"/>
      <c r="H2478" s="173" t="n"/>
      <c r="I2478" s="173" t="n"/>
      <c r="J2478" s="177" t="inlineStr">
        <is>
          <t>TALISMÃ</t>
        </is>
      </c>
      <c r="K2478" s="178" t="n"/>
      <c r="L2478" s="179" t="n"/>
      <c r="M2478" s="181" t="n"/>
      <c r="N2478" s="178" t="n"/>
      <c r="O2478" s="179" t="n"/>
      <c r="P2478" s="173" t="n"/>
    </row>
    <row r="2479" ht="18.75" customHeight="1">
      <c r="A2479" s="173" t="n"/>
      <c r="B2479" s="173" t="n"/>
      <c r="C2479" s="173" t="n"/>
      <c r="D2479" s="173" t="n"/>
      <c r="E2479" s="173" t="n"/>
      <c r="F2479" s="173" t="n"/>
      <c r="G2479" s="173" t="n"/>
      <c r="H2479" s="173" t="n"/>
      <c r="I2479" s="173" t="n"/>
      <c r="J2479" s="173" t="n"/>
      <c r="K2479" s="173" t="n"/>
      <c r="L2479" s="173" t="n"/>
      <c r="M2479" s="173" t="n"/>
      <c r="N2479" s="173" t="n"/>
      <c r="O2479" s="173" t="n"/>
      <c r="P2479" s="173" t="n"/>
    </row>
    <row r="2480" ht="18.75" customHeight="1">
      <c r="A2480" s="173" t="n"/>
      <c r="B2480" s="177" t="inlineStr">
        <is>
          <t>RESERVA DE PE</t>
        </is>
      </c>
      <c r="C2480" s="178" t="n"/>
      <c r="D2480" s="179" t="n"/>
      <c r="E2480" s="181" t="n"/>
      <c r="F2480" s="178" t="n"/>
      <c r="G2480" s="179" t="n"/>
      <c r="H2480" s="173" t="n"/>
      <c r="I2480" s="173" t="n"/>
      <c r="J2480" s="177" t="inlineStr">
        <is>
          <t>RESERVA DE PE</t>
        </is>
      </c>
      <c r="K2480" s="178" t="n"/>
      <c r="L2480" s="179" t="n"/>
      <c r="M2480" s="181" t="n"/>
      <c r="N2480" s="178" t="n"/>
      <c r="O2480" s="179" t="n"/>
      <c r="P2480" s="173" t="n"/>
    </row>
    <row r="2481" ht="18.75" customHeight="1">
      <c r="A2481" s="173" t="n"/>
      <c r="B2481" s="173" t="n"/>
      <c r="C2481" s="173" t="n"/>
      <c r="D2481" s="173" t="n"/>
      <c r="E2481" s="173" t="n"/>
      <c r="F2481" s="173" t="n"/>
      <c r="G2481" s="173" t="n"/>
      <c r="H2481" s="173" t="n"/>
      <c r="I2481" s="173" t="n"/>
      <c r="J2481" s="173" t="n"/>
      <c r="K2481" s="173" t="n"/>
      <c r="L2481" s="173" t="n"/>
      <c r="M2481" s="173" t="n"/>
      <c r="N2481" s="173" t="n"/>
      <c r="O2481" s="173" t="n"/>
      <c r="P2481" s="173" t="n"/>
    </row>
    <row r="2482" ht="18.75" customHeight="1">
      <c r="A2482" s="173" t="n"/>
      <c r="B2482" s="173" t="n"/>
      <c r="C2482" s="173" t="n"/>
      <c r="D2482" s="173" t="n"/>
      <c r="E2482" s="173" t="n"/>
      <c r="F2482" s="173" t="n"/>
      <c r="G2482" s="173" t="n"/>
      <c r="H2482" s="173" t="n"/>
      <c r="I2482" s="173" t="n"/>
      <c r="J2482" s="173" t="n"/>
      <c r="K2482" s="173" t="n"/>
      <c r="L2482" s="173" t="n"/>
      <c r="M2482" s="173" t="n"/>
      <c r="N2482" s="173" t="n"/>
      <c r="O2482" s="173" t="n"/>
      <c r="P2482" s="173" t="n"/>
    </row>
    <row r="2483" ht="18.75" customHeight="1">
      <c r="A2483" s="173" t="n"/>
      <c r="B2483" s="177" t="inlineStr">
        <is>
          <t>DEFINIÇÃO</t>
        </is>
      </c>
      <c r="C2483" s="178" t="n"/>
      <c r="D2483" s="178" t="n"/>
      <c r="E2483" s="178" t="n"/>
      <c r="F2483" s="178" t="n"/>
      <c r="G2483" s="179" t="n"/>
      <c r="H2483" s="173" t="n"/>
      <c r="I2483" s="173" t="n"/>
      <c r="J2483" s="177" t="inlineStr">
        <is>
          <t>DEFINIÇÃO</t>
        </is>
      </c>
      <c r="K2483" s="178" t="n"/>
      <c r="L2483" s="178" t="n"/>
      <c r="M2483" s="178" t="n"/>
      <c r="N2483" s="178" t="n"/>
      <c r="O2483" s="179" t="n"/>
      <c r="P2483" s="173" t="n"/>
    </row>
    <row r="2484" ht="18.75" customHeight="1">
      <c r="A2484" s="173" t="n"/>
      <c r="B2484" s="183" t="n"/>
      <c r="C2484" s="184" t="n"/>
      <c r="D2484" s="184" t="n"/>
      <c r="E2484" s="184" t="n"/>
      <c r="F2484" s="184" t="n"/>
      <c r="G2484" s="185" t="n"/>
      <c r="H2484" s="173" t="n"/>
      <c r="I2484" s="173" t="n"/>
      <c r="J2484" s="183" t="n"/>
      <c r="K2484" s="184" t="n"/>
      <c r="L2484" s="184" t="n"/>
      <c r="M2484" s="184" t="n"/>
      <c r="N2484" s="184" t="n"/>
      <c r="O2484" s="185" t="n"/>
      <c r="P2484" s="173" t="n"/>
    </row>
    <row r="2485" ht="18.75" customHeight="1">
      <c r="A2485" s="173" t="n"/>
      <c r="B2485" s="186" t="n"/>
      <c r="G2485" s="187" t="n"/>
      <c r="H2485" s="173" t="n"/>
      <c r="I2485" s="173" t="n"/>
      <c r="J2485" s="186" t="n"/>
      <c r="O2485" s="187" t="n"/>
      <c r="P2485" s="173" t="n"/>
    </row>
    <row r="2486" ht="18.75" customHeight="1">
      <c r="A2486" s="173" t="n"/>
      <c r="B2486" s="188" t="n"/>
      <c r="C2486" s="189" t="n"/>
      <c r="D2486" s="189" t="n"/>
      <c r="E2486" s="189" t="n"/>
      <c r="F2486" s="189" t="n"/>
      <c r="G2486" s="190" t="n"/>
      <c r="H2486" s="173" t="n"/>
      <c r="I2486" s="173" t="n"/>
      <c r="J2486" s="188" t="n"/>
      <c r="K2486" s="189" t="n"/>
      <c r="L2486" s="189" t="n"/>
      <c r="M2486" s="189" t="n"/>
      <c r="N2486" s="189" t="n"/>
      <c r="O2486" s="190" t="n"/>
      <c r="P2486" s="173" t="n"/>
    </row>
    <row r="2487" ht="18.75" customHeight="1">
      <c r="A2487" s="173" t="n"/>
      <c r="B2487" s="173" t="n"/>
      <c r="C2487" s="173" t="n"/>
      <c r="D2487" s="173" t="n"/>
      <c r="E2487" s="173" t="n"/>
      <c r="F2487" s="173" t="n"/>
      <c r="G2487" s="173" t="n"/>
      <c r="H2487" s="173" t="n"/>
      <c r="I2487" s="173" t="n"/>
      <c r="J2487" s="173" t="n"/>
      <c r="K2487" s="173" t="n"/>
      <c r="L2487" s="173" t="n"/>
      <c r="M2487" s="173" t="n"/>
      <c r="N2487" s="173" t="n"/>
      <c r="O2487" s="173" t="n"/>
      <c r="P2487" s="173" t="n"/>
    </row>
    <row r="2488" ht="18.75" customHeight="1">
      <c r="A2488" s="173" t="n"/>
      <c r="B2488" s="177" t="inlineStr">
        <is>
          <t>EFEITO E REQUISITOS</t>
        </is>
      </c>
      <c r="C2488" s="178" t="n"/>
      <c r="D2488" s="178" t="n"/>
      <c r="E2488" s="178" t="n"/>
      <c r="F2488" s="178" t="n"/>
      <c r="G2488" s="179" t="n"/>
      <c r="H2488" s="173" t="n"/>
      <c r="I2488" s="173" t="n"/>
      <c r="J2488" s="177" t="inlineStr">
        <is>
          <t>EFEITO E REQUISITOS</t>
        </is>
      </c>
      <c r="K2488" s="178" t="n"/>
      <c r="L2488" s="178" t="n"/>
      <c r="M2488" s="178" t="n"/>
      <c r="N2488" s="178" t="n"/>
      <c r="O2488" s="179" t="n"/>
      <c r="P2488" s="173" t="n"/>
    </row>
    <row r="2489" ht="18.75" customHeight="1">
      <c r="A2489" s="173" t="n"/>
      <c r="B2489" s="183" t="n"/>
      <c r="C2489" s="184" t="n"/>
      <c r="D2489" s="184" t="n"/>
      <c r="E2489" s="184" t="n"/>
      <c r="F2489" s="184" t="n"/>
      <c r="G2489" s="185" t="n"/>
      <c r="H2489" s="173" t="n"/>
      <c r="I2489" s="173" t="n"/>
      <c r="J2489" s="183" t="n"/>
      <c r="K2489" s="184" t="n"/>
      <c r="L2489" s="184" t="n"/>
      <c r="M2489" s="184" t="n"/>
      <c r="N2489" s="184" t="n"/>
      <c r="O2489" s="185" t="n"/>
      <c r="P2489" s="173" t="n"/>
    </row>
    <row r="2490" ht="18.75" customHeight="1">
      <c r="A2490" s="173" t="n"/>
      <c r="B2490" s="186" t="n"/>
      <c r="G2490" s="187" t="n"/>
      <c r="H2490" s="173" t="n"/>
      <c r="I2490" s="173" t="n"/>
      <c r="J2490" s="186" t="n"/>
      <c r="O2490" s="187" t="n"/>
      <c r="P2490" s="173" t="n"/>
    </row>
    <row r="2491" ht="18.75" customHeight="1">
      <c r="A2491" s="173" t="n"/>
      <c r="B2491" s="186" t="n"/>
      <c r="G2491" s="187" t="n"/>
      <c r="H2491" s="173" t="n"/>
      <c r="I2491" s="173" t="n"/>
      <c r="J2491" s="186" t="n"/>
      <c r="O2491" s="187" t="n"/>
      <c r="P2491" s="173" t="n"/>
    </row>
    <row r="2492" ht="18.75" customHeight="1">
      <c r="A2492" s="173" t="n"/>
      <c r="B2492" s="186" t="n"/>
      <c r="G2492" s="187" t="n"/>
      <c r="H2492" s="173" t="n"/>
      <c r="I2492" s="173" t="n"/>
      <c r="J2492" s="186" t="n"/>
      <c r="O2492" s="187" t="n"/>
      <c r="P2492" s="173" t="n"/>
    </row>
    <row r="2493" ht="18.75" customHeight="1">
      <c r="A2493" s="173" t="n"/>
      <c r="B2493" s="186" t="n"/>
      <c r="G2493" s="187" t="n"/>
      <c r="H2493" s="173" t="n"/>
      <c r="I2493" s="173" t="n"/>
      <c r="J2493" s="186" t="n"/>
      <c r="O2493" s="187" t="n"/>
      <c r="P2493" s="173" t="n"/>
    </row>
    <row r="2494" ht="18.75" customHeight="1">
      <c r="A2494" s="173" t="n"/>
      <c r="B2494" s="186" t="n"/>
      <c r="G2494" s="187" t="n"/>
      <c r="H2494" s="173" t="n"/>
      <c r="I2494" s="173" t="n"/>
      <c r="J2494" s="186" t="n"/>
      <c r="O2494" s="187" t="n"/>
      <c r="P2494" s="173" t="n"/>
    </row>
    <row r="2495" ht="18.75" customHeight="1">
      <c r="A2495" s="173" t="n"/>
      <c r="B2495" s="186" t="n"/>
      <c r="G2495" s="187" t="n"/>
      <c r="H2495" s="173" t="n"/>
      <c r="I2495" s="173" t="n"/>
      <c r="J2495" s="186" t="n"/>
      <c r="O2495" s="187" t="n"/>
      <c r="P2495" s="173" t="n"/>
    </row>
    <row r="2496" ht="18.75" customHeight="1">
      <c r="A2496" s="173" t="n"/>
      <c r="B2496" s="188" t="n"/>
      <c r="C2496" s="189" t="n"/>
      <c r="D2496" s="189" t="n"/>
      <c r="E2496" s="189" t="n"/>
      <c r="F2496" s="189" t="n"/>
      <c r="G2496" s="190" t="n"/>
      <c r="H2496" s="173" t="n"/>
      <c r="I2496" s="173" t="n"/>
      <c r="J2496" s="188" t="n"/>
      <c r="K2496" s="189" t="n"/>
      <c r="L2496" s="189" t="n"/>
      <c r="M2496" s="189" t="n"/>
      <c r="N2496" s="189" t="n"/>
      <c r="O2496" s="190" t="n"/>
      <c r="P2496" s="173" t="n"/>
    </row>
    <row r="2497" ht="18.75" customHeight="1">
      <c r="A2497" s="173" t="n"/>
      <c r="B2497" s="173" t="n"/>
      <c r="C2497" s="173" t="n"/>
      <c r="D2497" s="173" t="n"/>
      <c r="E2497" s="173" t="n"/>
      <c r="F2497" s="173" t="n"/>
      <c r="G2497" s="173" t="n"/>
      <c r="H2497" s="173" t="n"/>
      <c r="I2497" s="173" t="n"/>
      <c r="J2497" s="173" t="n"/>
      <c r="K2497" s="173" t="n"/>
      <c r="L2497" s="173" t="n"/>
      <c r="M2497" s="173" t="n"/>
      <c r="N2497" s="173" t="n"/>
      <c r="O2497" s="173" t="n"/>
      <c r="P2497" s="173" t="n"/>
    </row>
    <row r="2498" ht="18.75" customHeight="1">
      <c r="A2498" s="173" t="n"/>
      <c r="B2498" s="175">
        <f>IF('DADOS_ENTIDADES'!$K$8="","","⚠ "&amp;'DADOS_ENTIDADES'!$K$8)</f>
        <v/>
      </c>
      <c r="H2498" s="173" t="n"/>
      <c r="I2498" s="173" t="n"/>
      <c r="J2498" s="175">
        <f>IF('DADOS_ENTIDADES'!$K$9="","","⚠ "&amp;'DADOS_ENTIDADES'!$K$9)</f>
        <v/>
      </c>
      <c r="P2498" s="173" t="n"/>
    </row>
    <row r="2499" ht="18.75" customHeight="1">
      <c r="A2499" s="173" t="n"/>
      <c r="H2499" s="173" t="n"/>
      <c r="I2499" s="173" t="n"/>
      <c r="P2499" s="173" t="n"/>
    </row>
    <row r="2500" ht="18.75" customHeight="1">
      <c r="A2500" s="173" t="n"/>
      <c r="B2500" s="176" t="inlineStr">
        <is>
          <t>TIPO DE ENTIDADE · 9</t>
        </is>
      </c>
      <c r="H2500" s="173" t="n"/>
      <c r="I2500" s="173" t="n"/>
      <c r="J2500" s="176" t="inlineStr">
        <is>
          <t>TIPO DE ENTIDADE · 10</t>
        </is>
      </c>
      <c r="P2500" s="173" t="n"/>
    </row>
    <row r="2501" ht="18.75" customHeight="1">
      <c r="A2501" s="173" t="n"/>
      <c r="B2501" s="177" t="inlineStr">
        <is>
          <t>NOME</t>
        </is>
      </c>
      <c r="C2501" s="178" t="n"/>
      <c r="D2501" s="178" t="n"/>
      <c r="E2501" s="179" t="n"/>
      <c r="F2501" s="177" t="inlineStr">
        <is>
          <t>MESTRE VIU</t>
        </is>
      </c>
      <c r="G2501" s="179" t="n"/>
      <c r="H2501" s="173" t="n"/>
      <c r="I2501" s="173" t="n"/>
      <c r="J2501" s="177" t="inlineStr">
        <is>
          <t>NOME</t>
        </is>
      </c>
      <c r="K2501" s="178" t="n"/>
      <c r="L2501" s="178" t="n"/>
      <c r="M2501" s="179" t="n"/>
      <c r="N2501" s="177" t="inlineStr">
        <is>
          <t>MESTRE VIU</t>
        </is>
      </c>
      <c r="O2501" s="179" t="n"/>
      <c r="P2501" s="173" t="n"/>
    </row>
    <row r="2502" ht="18.75" customHeight="1">
      <c r="A2502" s="173" t="n"/>
      <c r="B2502" s="181" t="n"/>
      <c r="C2502" s="178" t="n"/>
      <c r="D2502" s="178" t="n"/>
      <c r="E2502" s="179" t="n"/>
      <c r="F2502" s="180" t="b">
        <v>0</v>
      </c>
      <c r="G2502" s="179" t="n"/>
      <c r="H2502" s="173" t="n"/>
      <c r="I2502" s="173" t="n"/>
      <c r="J2502" s="181" t="n"/>
      <c r="K2502" s="178" t="n"/>
      <c r="L2502" s="178" t="n"/>
      <c r="M2502" s="179" t="n"/>
      <c r="N2502" s="180" t="b">
        <v>0</v>
      </c>
      <c r="O2502" s="179" t="n"/>
      <c r="P2502" s="173" t="n"/>
    </row>
    <row r="2503" ht="18.75" customHeight="1">
      <c r="A2503" s="173" t="n"/>
      <c r="B2503" s="173" t="n"/>
      <c r="C2503" s="173" t="n"/>
      <c r="D2503" s="173" t="n"/>
      <c r="E2503" s="173" t="n"/>
      <c r="F2503" s="173" t="n"/>
      <c r="G2503" s="173" t="n"/>
      <c r="H2503" s="173" t="n"/>
      <c r="I2503" s="173" t="n"/>
      <c r="J2503" s="173" t="n"/>
      <c r="K2503" s="173" t="n"/>
      <c r="L2503" s="173" t="n"/>
      <c r="M2503" s="173" t="n"/>
      <c r="N2503" s="173" t="n"/>
      <c r="O2503" s="173" t="n"/>
      <c r="P2503" s="173" t="n"/>
    </row>
    <row r="2504" ht="18.75" customHeight="1">
      <c r="A2504" s="173" t="n"/>
      <c r="B2504" s="177" t="inlineStr">
        <is>
          <t>BASE DO LIVRO</t>
        </is>
      </c>
      <c r="C2504" s="178" t="n"/>
      <c r="D2504" s="179" t="n"/>
      <c r="E2504" s="181" t="inlineStr">
        <is>
          <t>Nenhuma</t>
        </is>
      </c>
      <c r="F2504" s="178" t="n"/>
      <c r="G2504" s="179" t="n"/>
      <c r="H2504" s="173" t="n"/>
      <c r="I2504" s="173" t="n"/>
      <c r="J2504" s="177" t="inlineStr">
        <is>
          <t>BASE DO LIVRO</t>
        </is>
      </c>
      <c r="K2504" s="178" t="n"/>
      <c r="L2504" s="179" t="n"/>
      <c r="M2504" s="181" t="inlineStr">
        <is>
          <t>Nenhuma</t>
        </is>
      </c>
      <c r="N2504" s="178" t="n"/>
      <c r="O2504" s="179" t="n"/>
      <c r="P2504" s="173" t="n"/>
    </row>
    <row r="2505" ht="18.75" customHeight="1">
      <c r="A2505" s="173" t="n"/>
      <c r="B2505" s="177" t="inlineStr">
        <is>
          <t>VIDA</t>
        </is>
      </c>
      <c r="C2505" s="178" t="n"/>
      <c r="D2505" s="179" t="n"/>
      <c r="E2505" s="181" t="n"/>
      <c r="F2505" s="178" t="n"/>
      <c r="G2505" s="179" t="n"/>
      <c r="H2505" s="173" t="n"/>
      <c r="I2505" s="173" t="n"/>
      <c r="J2505" s="177" t="inlineStr">
        <is>
          <t>VIDA</t>
        </is>
      </c>
      <c r="K2505" s="178" t="n"/>
      <c r="L2505" s="179" t="n"/>
      <c r="M2505" s="181" t="n"/>
      <c r="N2505" s="178" t="n"/>
      <c r="O2505" s="179" t="n"/>
      <c r="P2505" s="173" t="n"/>
    </row>
    <row r="2506" ht="18.75" customHeight="1">
      <c r="A2506" s="173" t="n"/>
      <c r="B2506" s="177" t="inlineStr">
        <is>
          <t>TALISMÃ</t>
        </is>
      </c>
      <c r="C2506" s="178" t="n"/>
      <c r="D2506" s="179" t="n"/>
      <c r="E2506" s="181" t="n"/>
      <c r="F2506" s="178" t="n"/>
      <c r="G2506" s="179" t="n"/>
      <c r="H2506" s="173" t="n"/>
      <c r="I2506" s="173" t="n"/>
      <c r="J2506" s="177" t="inlineStr">
        <is>
          <t>TALISMÃ</t>
        </is>
      </c>
      <c r="K2506" s="178" t="n"/>
      <c r="L2506" s="179" t="n"/>
      <c r="M2506" s="181" t="n"/>
      <c r="N2506" s="178" t="n"/>
      <c r="O2506" s="179" t="n"/>
      <c r="P2506" s="173" t="n"/>
    </row>
    <row r="2507" ht="18.75" customHeight="1">
      <c r="A2507" s="173" t="n"/>
      <c r="B2507" s="173" t="n"/>
      <c r="C2507" s="173" t="n"/>
      <c r="D2507" s="173" t="n"/>
      <c r="E2507" s="173" t="n"/>
      <c r="F2507" s="173" t="n"/>
      <c r="G2507" s="173" t="n"/>
      <c r="H2507" s="173" t="n"/>
      <c r="I2507" s="173" t="n"/>
      <c r="J2507" s="173" t="n"/>
      <c r="K2507" s="173" t="n"/>
      <c r="L2507" s="173" t="n"/>
      <c r="M2507" s="173" t="n"/>
      <c r="N2507" s="173" t="n"/>
      <c r="O2507" s="173" t="n"/>
      <c r="P2507" s="173" t="n"/>
    </row>
    <row r="2508" ht="18.75" customHeight="1">
      <c r="A2508" s="173" t="n"/>
      <c r="B2508" s="177" t="inlineStr">
        <is>
          <t>RESERVA DE PE</t>
        </is>
      </c>
      <c r="C2508" s="178" t="n"/>
      <c r="D2508" s="179" t="n"/>
      <c r="E2508" s="181" t="n"/>
      <c r="F2508" s="178" t="n"/>
      <c r="G2508" s="179" t="n"/>
      <c r="H2508" s="173" t="n"/>
      <c r="I2508" s="173" t="n"/>
      <c r="J2508" s="177" t="inlineStr">
        <is>
          <t>RESERVA DE PE</t>
        </is>
      </c>
      <c r="K2508" s="178" t="n"/>
      <c r="L2508" s="179" t="n"/>
      <c r="M2508" s="181" t="n"/>
      <c r="N2508" s="178" t="n"/>
      <c r="O2508" s="179" t="n"/>
      <c r="P2508" s="173" t="n"/>
    </row>
    <row r="2509" ht="18.75" customHeight="1">
      <c r="A2509" s="173" t="n"/>
      <c r="B2509" s="173" t="n"/>
      <c r="C2509" s="173" t="n"/>
      <c r="D2509" s="173" t="n"/>
      <c r="E2509" s="173" t="n"/>
      <c r="F2509" s="173" t="n"/>
      <c r="G2509" s="173" t="n"/>
      <c r="H2509" s="173" t="n"/>
      <c r="I2509" s="173" t="n"/>
      <c r="J2509" s="173" t="n"/>
      <c r="K2509" s="173" t="n"/>
      <c r="L2509" s="173" t="n"/>
      <c r="M2509" s="173" t="n"/>
      <c r="N2509" s="173" t="n"/>
      <c r="O2509" s="173" t="n"/>
      <c r="P2509" s="173" t="n"/>
    </row>
    <row r="2510" ht="18.75" customHeight="1">
      <c r="A2510" s="173" t="n"/>
      <c r="B2510" s="173" t="n"/>
      <c r="C2510" s="173" t="n"/>
      <c r="D2510" s="173" t="n"/>
      <c r="E2510" s="173" t="n"/>
      <c r="F2510" s="173" t="n"/>
      <c r="G2510" s="173" t="n"/>
      <c r="H2510" s="173" t="n"/>
      <c r="I2510" s="173" t="n"/>
      <c r="J2510" s="173" t="n"/>
      <c r="K2510" s="173" t="n"/>
      <c r="L2510" s="173" t="n"/>
      <c r="M2510" s="173" t="n"/>
      <c r="N2510" s="173" t="n"/>
      <c r="O2510" s="173" t="n"/>
      <c r="P2510" s="173" t="n"/>
    </row>
    <row r="2511" ht="18.75" customHeight="1">
      <c r="A2511" s="173" t="n"/>
      <c r="B2511" s="177" t="inlineStr">
        <is>
          <t>DEFINIÇÃO</t>
        </is>
      </c>
      <c r="C2511" s="178" t="n"/>
      <c r="D2511" s="178" t="n"/>
      <c r="E2511" s="178" t="n"/>
      <c r="F2511" s="178" t="n"/>
      <c r="G2511" s="179" t="n"/>
      <c r="H2511" s="173" t="n"/>
      <c r="I2511" s="173" t="n"/>
      <c r="J2511" s="177" t="inlineStr">
        <is>
          <t>DEFINIÇÃO</t>
        </is>
      </c>
      <c r="K2511" s="178" t="n"/>
      <c r="L2511" s="178" t="n"/>
      <c r="M2511" s="178" t="n"/>
      <c r="N2511" s="178" t="n"/>
      <c r="O2511" s="179" t="n"/>
      <c r="P2511" s="173" t="n"/>
    </row>
    <row r="2512" ht="18.75" customHeight="1">
      <c r="A2512" s="173" t="n"/>
      <c r="B2512" s="183" t="n"/>
      <c r="C2512" s="184" t="n"/>
      <c r="D2512" s="184" t="n"/>
      <c r="E2512" s="184" t="n"/>
      <c r="F2512" s="184" t="n"/>
      <c r="G2512" s="185" t="n"/>
      <c r="H2512" s="173" t="n"/>
      <c r="I2512" s="173" t="n"/>
      <c r="J2512" s="183" t="n"/>
      <c r="K2512" s="184" t="n"/>
      <c r="L2512" s="184" t="n"/>
      <c r="M2512" s="184" t="n"/>
      <c r="N2512" s="184" t="n"/>
      <c r="O2512" s="185" t="n"/>
      <c r="P2512" s="173" t="n"/>
    </row>
    <row r="2513" ht="18.75" customHeight="1">
      <c r="A2513" s="173" t="n"/>
      <c r="B2513" s="186" t="n"/>
      <c r="G2513" s="187" t="n"/>
      <c r="H2513" s="173" t="n"/>
      <c r="I2513" s="173" t="n"/>
      <c r="J2513" s="186" t="n"/>
      <c r="O2513" s="187" t="n"/>
      <c r="P2513" s="173" t="n"/>
    </row>
    <row r="2514" ht="18.75" customHeight="1">
      <c r="A2514" s="173" t="n"/>
      <c r="B2514" s="188" t="n"/>
      <c r="C2514" s="189" t="n"/>
      <c r="D2514" s="189" t="n"/>
      <c r="E2514" s="189" t="n"/>
      <c r="F2514" s="189" t="n"/>
      <c r="G2514" s="190" t="n"/>
      <c r="H2514" s="173" t="n"/>
      <c r="I2514" s="173" t="n"/>
      <c r="J2514" s="188" t="n"/>
      <c r="K2514" s="189" t="n"/>
      <c r="L2514" s="189" t="n"/>
      <c r="M2514" s="189" t="n"/>
      <c r="N2514" s="189" t="n"/>
      <c r="O2514" s="190" t="n"/>
      <c r="P2514" s="173" t="n"/>
    </row>
    <row r="2515" ht="18.75" customHeight="1">
      <c r="A2515" s="173" t="n"/>
      <c r="B2515" s="173" t="n"/>
      <c r="C2515" s="173" t="n"/>
      <c r="D2515" s="173" t="n"/>
      <c r="E2515" s="173" t="n"/>
      <c r="F2515" s="173" t="n"/>
      <c r="G2515" s="173" t="n"/>
      <c r="H2515" s="173" t="n"/>
      <c r="I2515" s="173" t="n"/>
      <c r="J2515" s="173" t="n"/>
      <c r="K2515" s="173" t="n"/>
      <c r="L2515" s="173" t="n"/>
      <c r="M2515" s="173" t="n"/>
      <c r="N2515" s="173" t="n"/>
      <c r="O2515" s="173" t="n"/>
      <c r="P2515" s="173" t="n"/>
    </row>
    <row r="2516" ht="18.75" customHeight="1">
      <c r="A2516" s="173" t="n"/>
      <c r="B2516" s="177" t="inlineStr">
        <is>
          <t>EFEITO E REQUISITOS</t>
        </is>
      </c>
      <c r="C2516" s="178" t="n"/>
      <c r="D2516" s="178" t="n"/>
      <c r="E2516" s="178" t="n"/>
      <c r="F2516" s="178" t="n"/>
      <c r="G2516" s="179" t="n"/>
      <c r="H2516" s="173" t="n"/>
      <c r="I2516" s="173" t="n"/>
      <c r="J2516" s="177" t="inlineStr">
        <is>
          <t>EFEITO E REQUISITOS</t>
        </is>
      </c>
      <c r="K2516" s="178" t="n"/>
      <c r="L2516" s="178" t="n"/>
      <c r="M2516" s="178" t="n"/>
      <c r="N2516" s="178" t="n"/>
      <c r="O2516" s="179" t="n"/>
      <c r="P2516" s="173" t="n"/>
    </row>
    <row r="2517" ht="18.75" customHeight="1">
      <c r="A2517" s="173" t="n"/>
      <c r="B2517" s="183" t="n"/>
      <c r="C2517" s="184" t="n"/>
      <c r="D2517" s="184" t="n"/>
      <c r="E2517" s="184" t="n"/>
      <c r="F2517" s="184" t="n"/>
      <c r="G2517" s="185" t="n"/>
      <c r="H2517" s="173" t="n"/>
      <c r="I2517" s="173" t="n"/>
      <c r="J2517" s="183" t="n"/>
      <c r="K2517" s="184" t="n"/>
      <c r="L2517" s="184" t="n"/>
      <c r="M2517" s="184" t="n"/>
      <c r="N2517" s="184" t="n"/>
      <c r="O2517" s="185" t="n"/>
      <c r="P2517" s="173" t="n"/>
    </row>
    <row r="2518" ht="18.75" customHeight="1">
      <c r="A2518" s="173" t="n"/>
      <c r="B2518" s="186" t="n"/>
      <c r="G2518" s="187" t="n"/>
      <c r="H2518" s="173" t="n"/>
      <c r="I2518" s="173" t="n"/>
      <c r="J2518" s="186" t="n"/>
      <c r="O2518" s="187" t="n"/>
      <c r="P2518" s="173" t="n"/>
    </row>
    <row r="2519" ht="18.75" customHeight="1">
      <c r="A2519" s="173" t="n"/>
      <c r="B2519" s="186" t="n"/>
      <c r="G2519" s="187" t="n"/>
      <c r="H2519" s="173" t="n"/>
      <c r="I2519" s="173" t="n"/>
      <c r="J2519" s="186" t="n"/>
      <c r="O2519" s="187" t="n"/>
      <c r="P2519" s="173" t="n"/>
    </row>
    <row r="2520" ht="18.75" customHeight="1">
      <c r="A2520" s="173" t="n"/>
      <c r="B2520" s="186" t="n"/>
      <c r="G2520" s="187" t="n"/>
      <c r="H2520" s="173" t="n"/>
      <c r="I2520" s="173" t="n"/>
      <c r="J2520" s="186" t="n"/>
      <c r="O2520" s="187" t="n"/>
      <c r="P2520" s="173" t="n"/>
    </row>
    <row r="2521" ht="18.75" customHeight="1">
      <c r="A2521" s="173" t="n"/>
      <c r="B2521" s="186" t="n"/>
      <c r="G2521" s="187" t="n"/>
      <c r="H2521" s="173" t="n"/>
      <c r="I2521" s="173" t="n"/>
      <c r="J2521" s="186" t="n"/>
      <c r="O2521" s="187" t="n"/>
      <c r="P2521" s="173" t="n"/>
    </row>
    <row r="2522" ht="18.75" customHeight="1">
      <c r="A2522" s="173" t="n"/>
      <c r="B2522" s="186" t="n"/>
      <c r="G2522" s="187" t="n"/>
      <c r="H2522" s="173" t="n"/>
      <c r="I2522" s="173" t="n"/>
      <c r="J2522" s="186" t="n"/>
      <c r="O2522" s="187" t="n"/>
      <c r="P2522" s="173" t="n"/>
    </row>
    <row r="2523" ht="18.75" customHeight="1">
      <c r="A2523" s="173" t="n"/>
      <c r="B2523" s="186" t="n"/>
      <c r="G2523" s="187" t="n"/>
      <c r="H2523" s="173" t="n"/>
      <c r="I2523" s="173" t="n"/>
      <c r="J2523" s="186" t="n"/>
      <c r="O2523" s="187" t="n"/>
      <c r="P2523" s="173" t="n"/>
    </row>
    <row r="2524" ht="18.75" customHeight="1">
      <c r="A2524" s="173" t="n"/>
      <c r="B2524" s="188" t="n"/>
      <c r="C2524" s="189" t="n"/>
      <c r="D2524" s="189" t="n"/>
      <c r="E2524" s="189" t="n"/>
      <c r="F2524" s="189" t="n"/>
      <c r="G2524" s="190" t="n"/>
      <c r="H2524" s="173" t="n"/>
      <c r="I2524" s="173" t="n"/>
      <c r="J2524" s="188" t="n"/>
      <c r="K2524" s="189" t="n"/>
      <c r="L2524" s="189" t="n"/>
      <c r="M2524" s="189" t="n"/>
      <c r="N2524" s="189" t="n"/>
      <c r="O2524" s="190" t="n"/>
      <c r="P2524" s="173" t="n"/>
    </row>
    <row r="2525" ht="18.75" customHeight="1">
      <c r="A2525" s="173" t="n"/>
      <c r="B2525" s="173" t="n"/>
      <c r="C2525" s="173" t="n"/>
      <c r="D2525" s="173" t="n"/>
      <c r="E2525" s="173" t="n"/>
      <c r="F2525" s="173" t="n"/>
      <c r="G2525" s="173" t="n"/>
      <c r="H2525" s="173" t="n"/>
      <c r="I2525" s="173" t="n"/>
      <c r="J2525" s="173" t="n"/>
      <c r="K2525" s="173" t="n"/>
      <c r="L2525" s="173" t="n"/>
      <c r="M2525" s="173" t="n"/>
      <c r="N2525" s="173" t="n"/>
      <c r="O2525" s="173" t="n"/>
      <c r="P2525" s="173" t="n"/>
    </row>
    <row r="2526" ht="18.75" customHeight="1">
      <c r="A2526" s="173" t="n"/>
      <c r="B2526" s="175">
        <f>IF('DADOS_ENTIDADES'!$K$10="","","⚠ "&amp;'DADOS_ENTIDADES'!$K$10)</f>
        <v/>
      </c>
      <c r="H2526" s="173" t="n"/>
      <c r="I2526" s="173" t="n"/>
      <c r="J2526" s="175">
        <f>IF('DADOS_ENTIDADES'!$K$11="","","⚠ "&amp;'DADOS_ENTIDADES'!$K$11)</f>
        <v/>
      </c>
      <c r="P2526" s="173" t="n"/>
    </row>
    <row r="2527" ht="18.75" customHeight="1">
      <c r="A2527" s="173" t="n"/>
      <c r="H2527" s="173" t="n"/>
      <c r="I2527" s="173" t="n"/>
      <c r="P2527" s="173" t="n"/>
    </row>
    <row r="2528" ht="18.75" customHeight="1">
      <c r="A2528" s="173" t="n"/>
      <c r="B2528" s="176" t="inlineStr">
        <is>
          <t>ENTIDADES CUSTOM · TALENTOS</t>
        </is>
      </c>
      <c r="P2528" s="173" t="n"/>
    </row>
    <row r="2529" ht="18.75" customHeight="1">
      <c r="A2529" s="173" t="n"/>
      <c r="B2529" s="173" t="n"/>
      <c r="C2529" s="173" t="n"/>
      <c r="D2529" s="173" t="n"/>
      <c r="E2529" s="173" t="n"/>
      <c r="F2529" s="173" t="n"/>
      <c r="G2529" s="173" t="n"/>
      <c r="H2529" s="173" t="n"/>
      <c r="I2529" s="173" t="n"/>
      <c r="J2529" s="173" t="n"/>
      <c r="K2529" s="173" t="n"/>
      <c r="L2529" s="173" t="n"/>
      <c r="M2529" s="173" t="n"/>
      <c r="N2529" s="173" t="n"/>
      <c r="O2529" s="173" t="n"/>
      <c r="P2529" s="173" t="n"/>
    </row>
    <row r="2530" ht="18.75" customHeight="1">
      <c r="A2530" s="173" t="n"/>
      <c r="B2530" s="176" t="inlineStr">
        <is>
          <t>TALENTO · ENTIDADE · 1</t>
        </is>
      </c>
      <c r="H2530" s="173" t="n"/>
      <c r="I2530" s="173" t="n"/>
      <c r="J2530" s="176" t="inlineStr">
        <is>
          <t>TALENTO · ENTIDADE · 2</t>
        </is>
      </c>
      <c r="P2530" s="173" t="n"/>
    </row>
    <row r="2531" ht="18.75" customHeight="1">
      <c r="A2531" s="173" t="n"/>
      <c r="B2531" s="177" t="inlineStr">
        <is>
          <t>NOME</t>
        </is>
      </c>
      <c r="C2531" s="178" t="n"/>
      <c r="D2531" s="178" t="n"/>
      <c r="E2531" s="179" t="n"/>
      <c r="F2531" s="177" t="inlineStr">
        <is>
          <t>MESTRE VIU</t>
        </is>
      </c>
      <c r="G2531" s="179" t="n"/>
      <c r="H2531" s="173" t="n"/>
      <c r="I2531" s="173" t="n"/>
      <c r="J2531" s="177" t="inlineStr">
        <is>
          <t>NOME</t>
        </is>
      </c>
      <c r="K2531" s="178" t="n"/>
      <c r="L2531" s="178" t="n"/>
      <c r="M2531" s="179" t="n"/>
      <c r="N2531" s="177" t="inlineStr">
        <is>
          <t>MESTRE VIU</t>
        </is>
      </c>
      <c r="O2531" s="179" t="n"/>
      <c r="P2531" s="173" t="n"/>
    </row>
    <row r="2532" ht="18.75" customHeight="1">
      <c r="A2532" s="173" t="n"/>
      <c r="B2532" s="181" t="n"/>
      <c r="C2532" s="178" t="n"/>
      <c r="D2532" s="178" t="n"/>
      <c r="E2532" s="179" t="n"/>
      <c r="F2532" s="180" t="b">
        <v>0</v>
      </c>
      <c r="G2532" s="179" t="n"/>
      <c r="H2532" s="173" t="n"/>
      <c r="I2532" s="173" t="n"/>
      <c r="J2532" s="181" t="n"/>
      <c r="K2532" s="178" t="n"/>
      <c r="L2532" s="178" t="n"/>
      <c r="M2532" s="179" t="n"/>
      <c r="N2532" s="180" t="b">
        <v>0</v>
      </c>
      <c r="O2532" s="179" t="n"/>
      <c r="P2532" s="173" t="n"/>
    </row>
    <row r="2533" ht="18.75" customHeight="1">
      <c r="A2533" s="173" t="n"/>
      <c r="B2533" s="173" t="n"/>
      <c r="C2533" s="173" t="n"/>
      <c r="D2533" s="173" t="n"/>
      <c r="E2533" s="173" t="n"/>
      <c r="F2533" s="173" t="n"/>
      <c r="G2533" s="173" t="n"/>
      <c r="H2533" s="173" t="n"/>
      <c r="I2533" s="173" t="n"/>
      <c r="J2533" s="173" t="n"/>
      <c r="K2533" s="173" t="n"/>
      <c r="L2533" s="173" t="n"/>
      <c r="M2533" s="173" t="n"/>
      <c r="N2533" s="173" t="n"/>
      <c r="O2533" s="173" t="n"/>
      <c r="P2533" s="173" t="n"/>
    </row>
    <row r="2534" ht="18.75" customHeight="1">
      <c r="A2534" s="173" t="n"/>
      <c r="B2534" s="177" t="inlineStr">
        <is>
          <t>BASE DO LIVRO</t>
        </is>
      </c>
      <c r="C2534" s="178" t="n"/>
      <c r="D2534" s="179" t="n"/>
      <c r="E2534" s="181" t="inlineStr">
        <is>
          <t>Nenhuma</t>
        </is>
      </c>
      <c r="F2534" s="178" t="n"/>
      <c r="G2534" s="179" t="n"/>
      <c r="H2534" s="173" t="n"/>
      <c r="I2534" s="173" t="n"/>
      <c r="J2534" s="177" t="inlineStr">
        <is>
          <t>BASE DO LIVRO</t>
        </is>
      </c>
      <c r="K2534" s="178" t="n"/>
      <c r="L2534" s="179" t="n"/>
      <c r="M2534" s="181" t="inlineStr">
        <is>
          <t>Nenhuma</t>
        </is>
      </c>
      <c r="N2534" s="178" t="n"/>
      <c r="O2534" s="179" t="n"/>
      <c r="P2534" s="173" t="n"/>
    </row>
    <row r="2535" ht="18.75" customHeight="1">
      <c r="A2535" s="173" t="n"/>
      <c r="B2535" s="177" t="inlineStr">
        <is>
          <t>CATEGORIA DE EFEITO</t>
        </is>
      </c>
      <c r="C2535" s="178" t="n"/>
      <c r="D2535" s="179" t="n"/>
      <c r="E2535" s="181" t="n"/>
      <c r="F2535" s="178" t="n"/>
      <c r="G2535" s="179" t="n"/>
      <c r="H2535" s="173" t="n"/>
      <c r="I2535" s="173" t="n"/>
      <c r="J2535" s="177" t="inlineStr">
        <is>
          <t>CATEGORIA DE EFEITO</t>
        </is>
      </c>
      <c r="K2535" s="178" t="n"/>
      <c r="L2535" s="179" t="n"/>
      <c r="M2535" s="181" t="n"/>
      <c r="N2535" s="178" t="n"/>
      <c r="O2535" s="179" t="n"/>
      <c r="P2535" s="173" t="n"/>
    </row>
    <row r="2536" ht="18.75" customHeight="1">
      <c r="A2536" s="173" t="n"/>
      <c r="B2536" s="173" t="n"/>
      <c r="C2536" s="173" t="n"/>
      <c r="D2536" s="173" t="n"/>
      <c r="E2536" s="173" t="n"/>
      <c r="F2536" s="173" t="n"/>
      <c r="G2536" s="173" t="n"/>
      <c r="H2536" s="173" t="n"/>
      <c r="I2536" s="173" t="n"/>
      <c r="J2536" s="173" t="n"/>
      <c r="K2536" s="173" t="n"/>
      <c r="L2536" s="173" t="n"/>
      <c r="M2536" s="173" t="n"/>
      <c r="N2536" s="173" t="n"/>
      <c r="O2536" s="173" t="n"/>
      <c r="P2536" s="173" t="n"/>
    </row>
    <row r="2537" ht="18.75" customHeight="1">
      <c r="A2537" s="173" t="n"/>
      <c r="B2537" s="173" t="n"/>
      <c r="C2537" s="173" t="n"/>
      <c r="D2537" s="173" t="n"/>
      <c r="E2537" s="173" t="n"/>
      <c r="F2537" s="173" t="n"/>
      <c r="G2537" s="173" t="n"/>
      <c r="H2537" s="173" t="n"/>
      <c r="I2537" s="173" t="n"/>
      <c r="J2537" s="173" t="n"/>
      <c r="K2537" s="173" t="n"/>
      <c r="L2537" s="173" t="n"/>
      <c r="M2537" s="173" t="n"/>
      <c r="N2537" s="173" t="n"/>
      <c r="O2537" s="173" t="n"/>
      <c r="P2537" s="173" t="n"/>
    </row>
    <row r="2538" ht="18.75" customHeight="1">
      <c r="A2538" s="173" t="n"/>
      <c r="B2538" s="173" t="n"/>
      <c r="C2538" s="173" t="n"/>
      <c r="D2538" s="173" t="n"/>
      <c r="E2538" s="173" t="n"/>
      <c r="F2538" s="173" t="n"/>
      <c r="G2538" s="173" t="n"/>
      <c r="H2538" s="173" t="n"/>
      <c r="I2538" s="173" t="n"/>
      <c r="J2538" s="173" t="n"/>
      <c r="K2538" s="173" t="n"/>
      <c r="L2538" s="173" t="n"/>
      <c r="M2538" s="173" t="n"/>
      <c r="N2538" s="173" t="n"/>
      <c r="O2538" s="173" t="n"/>
      <c r="P2538" s="173" t="n"/>
    </row>
    <row r="2539" ht="18.75" customHeight="1">
      <c r="A2539" s="173" t="n"/>
      <c r="B2539" s="173" t="n"/>
      <c r="C2539" s="173" t="n"/>
      <c r="D2539" s="173" t="n"/>
      <c r="E2539" s="173" t="n"/>
      <c r="F2539" s="173" t="n"/>
      <c r="G2539" s="173" t="n"/>
      <c r="H2539" s="173" t="n"/>
      <c r="I2539" s="173" t="n"/>
      <c r="J2539" s="173" t="n"/>
      <c r="K2539" s="173" t="n"/>
      <c r="L2539" s="173" t="n"/>
      <c r="M2539" s="173" t="n"/>
      <c r="N2539" s="173" t="n"/>
      <c r="O2539" s="173" t="n"/>
      <c r="P2539" s="173" t="n"/>
    </row>
    <row r="2540" ht="18.75" customHeight="1">
      <c r="A2540" s="173" t="n"/>
      <c r="B2540" s="173" t="n"/>
      <c r="C2540" s="173" t="n"/>
      <c r="D2540" s="173" t="n"/>
      <c r="E2540" s="173" t="n"/>
      <c r="F2540" s="173" t="n"/>
      <c r="G2540" s="173" t="n"/>
      <c r="H2540" s="173" t="n"/>
      <c r="I2540" s="173" t="n"/>
      <c r="J2540" s="173" t="n"/>
      <c r="K2540" s="173" t="n"/>
      <c r="L2540" s="173" t="n"/>
      <c r="M2540" s="173" t="n"/>
      <c r="N2540" s="173" t="n"/>
      <c r="O2540" s="173" t="n"/>
      <c r="P2540" s="173" t="n"/>
    </row>
    <row r="2541" ht="18.75" customHeight="1">
      <c r="A2541" s="173" t="n"/>
      <c r="B2541" s="177" t="inlineStr">
        <is>
          <t>REQUISITOS</t>
        </is>
      </c>
      <c r="C2541" s="178" t="n"/>
      <c r="D2541" s="178" t="n"/>
      <c r="E2541" s="178" t="n"/>
      <c r="F2541" s="178" t="n"/>
      <c r="G2541" s="179" t="n"/>
      <c r="H2541" s="173" t="n"/>
      <c r="I2541" s="173" t="n"/>
      <c r="J2541" s="177" t="inlineStr">
        <is>
          <t>REQUISITOS</t>
        </is>
      </c>
      <c r="K2541" s="178" t="n"/>
      <c r="L2541" s="178" t="n"/>
      <c r="M2541" s="178" t="n"/>
      <c r="N2541" s="178" t="n"/>
      <c r="O2541" s="179" t="n"/>
      <c r="P2541" s="173" t="n"/>
    </row>
    <row r="2542" ht="18.75" customHeight="1">
      <c r="A2542" s="173" t="n"/>
      <c r="B2542" s="183" t="n"/>
      <c r="C2542" s="184" t="n"/>
      <c r="D2542" s="184" t="n"/>
      <c r="E2542" s="184" t="n"/>
      <c r="F2542" s="184" t="n"/>
      <c r="G2542" s="185" t="n"/>
      <c r="H2542" s="173" t="n"/>
      <c r="I2542" s="173" t="n"/>
      <c r="J2542" s="183" t="n"/>
      <c r="K2542" s="184" t="n"/>
      <c r="L2542" s="184" t="n"/>
      <c r="M2542" s="184" t="n"/>
      <c r="N2542" s="184" t="n"/>
      <c r="O2542" s="185" t="n"/>
      <c r="P2542" s="173" t="n"/>
    </row>
    <row r="2543" ht="18.75" customHeight="1">
      <c r="A2543" s="173" t="n"/>
      <c r="B2543" s="186" t="n"/>
      <c r="G2543" s="187" t="n"/>
      <c r="H2543" s="173" t="n"/>
      <c r="I2543" s="173" t="n"/>
      <c r="J2543" s="186" t="n"/>
      <c r="O2543" s="187" t="n"/>
      <c r="P2543" s="173" t="n"/>
    </row>
    <row r="2544" ht="18.75" customHeight="1">
      <c r="A2544" s="173" t="n"/>
      <c r="B2544" s="188" t="n"/>
      <c r="C2544" s="189" t="n"/>
      <c r="D2544" s="189" t="n"/>
      <c r="E2544" s="189" t="n"/>
      <c r="F2544" s="189" t="n"/>
      <c r="G2544" s="190" t="n"/>
      <c r="H2544" s="173" t="n"/>
      <c r="I2544" s="173" t="n"/>
      <c r="J2544" s="188" t="n"/>
      <c r="K2544" s="189" t="n"/>
      <c r="L2544" s="189" t="n"/>
      <c r="M2544" s="189" t="n"/>
      <c r="N2544" s="189" t="n"/>
      <c r="O2544" s="190" t="n"/>
      <c r="P2544" s="173" t="n"/>
    </row>
    <row r="2545" ht="18.75" customHeight="1">
      <c r="A2545" s="173" t="n"/>
      <c r="B2545" s="173" t="n"/>
      <c r="C2545" s="173" t="n"/>
      <c r="D2545" s="173" t="n"/>
      <c r="E2545" s="173" t="n"/>
      <c r="F2545" s="173" t="n"/>
      <c r="G2545" s="173" t="n"/>
      <c r="H2545" s="173" t="n"/>
      <c r="I2545" s="173" t="n"/>
      <c r="J2545" s="173" t="n"/>
      <c r="K2545" s="173" t="n"/>
      <c r="L2545" s="173" t="n"/>
      <c r="M2545" s="173" t="n"/>
      <c r="N2545" s="173" t="n"/>
      <c r="O2545" s="173" t="n"/>
      <c r="P2545" s="173" t="n"/>
    </row>
    <row r="2546" ht="18.75" customHeight="1">
      <c r="A2546" s="173" t="n"/>
      <c r="B2546" s="177" t="inlineStr">
        <is>
          <t>EFEITO</t>
        </is>
      </c>
      <c r="C2546" s="178" t="n"/>
      <c r="D2546" s="178" t="n"/>
      <c r="E2546" s="178" t="n"/>
      <c r="F2546" s="178" t="n"/>
      <c r="G2546" s="179" t="n"/>
      <c r="H2546" s="173" t="n"/>
      <c r="I2546" s="173" t="n"/>
      <c r="J2546" s="177" t="inlineStr">
        <is>
          <t>EFEITO</t>
        </is>
      </c>
      <c r="K2546" s="178" t="n"/>
      <c r="L2546" s="178" t="n"/>
      <c r="M2546" s="178" t="n"/>
      <c r="N2546" s="178" t="n"/>
      <c r="O2546" s="179" t="n"/>
      <c r="P2546" s="173" t="n"/>
    </row>
    <row r="2547" ht="18.75" customHeight="1">
      <c r="A2547" s="173" t="n"/>
      <c r="B2547" s="183" t="n"/>
      <c r="C2547" s="184" t="n"/>
      <c r="D2547" s="184" t="n"/>
      <c r="E2547" s="184" t="n"/>
      <c r="F2547" s="184" t="n"/>
      <c r="G2547" s="185" t="n"/>
      <c r="H2547" s="173" t="n"/>
      <c r="I2547" s="173" t="n"/>
      <c r="J2547" s="183" t="n"/>
      <c r="K2547" s="184" t="n"/>
      <c r="L2547" s="184" t="n"/>
      <c r="M2547" s="184" t="n"/>
      <c r="N2547" s="184" t="n"/>
      <c r="O2547" s="185" t="n"/>
      <c r="P2547" s="173" t="n"/>
    </row>
    <row r="2548" ht="18.75" customHeight="1">
      <c r="A2548" s="173" t="n"/>
      <c r="B2548" s="186" t="n"/>
      <c r="G2548" s="187" t="n"/>
      <c r="H2548" s="173" t="n"/>
      <c r="I2548" s="173" t="n"/>
      <c r="J2548" s="186" t="n"/>
      <c r="O2548" s="187" t="n"/>
      <c r="P2548" s="173" t="n"/>
    </row>
    <row r="2549" ht="18.75" customHeight="1">
      <c r="A2549" s="173" t="n"/>
      <c r="B2549" s="186" t="n"/>
      <c r="G2549" s="187" t="n"/>
      <c r="H2549" s="173" t="n"/>
      <c r="I2549" s="173" t="n"/>
      <c r="J2549" s="186" t="n"/>
      <c r="O2549" s="187" t="n"/>
      <c r="P2549" s="173" t="n"/>
    </row>
    <row r="2550" ht="18.75" customHeight="1">
      <c r="A2550" s="173" t="n"/>
      <c r="B2550" s="186" t="n"/>
      <c r="G2550" s="187" t="n"/>
      <c r="H2550" s="173" t="n"/>
      <c r="I2550" s="173" t="n"/>
      <c r="J2550" s="186" t="n"/>
      <c r="O2550" s="187" t="n"/>
      <c r="P2550" s="173" t="n"/>
    </row>
    <row r="2551" ht="18.75" customHeight="1">
      <c r="A2551" s="173" t="n"/>
      <c r="B2551" s="186" t="n"/>
      <c r="G2551" s="187" t="n"/>
      <c r="H2551" s="173" t="n"/>
      <c r="I2551" s="173" t="n"/>
      <c r="J2551" s="186" t="n"/>
      <c r="O2551" s="187" t="n"/>
      <c r="P2551" s="173" t="n"/>
    </row>
    <row r="2552" ht="18.75" customHeight="1">
      <c r="A2552" s="173" t="n"/>
      <c r="B2552" s="186" t="n"/>
      <c r="G2552" s="187" t="n"/>
      <c r="H2552" s="173" t="n"/>
      <c r="I2552" s="173" t="n"/>
      <c r="J2552" s="186" t="n"/>
      <c r="O2552" s="187" t="n"/>
      <c r="P2552" s="173" t="n"/>
    </row>
    <row r="2553" ht="18.75" customHeight="1">
      <c r="A2553" s="173" t="n"/>
      <c r="B2553" s="186" t="n"/>
      <c r="G2553" s="187" t="n"/>
      <c r="H2553" s="173" t="n"/>
      <c r="I2553" s="173" t="n"/>
      <c r="J2553" s="186" t="n"/>
      <c r="O2553" s="187" t="n"/>
      <c r="P2553" s="173" t="n"/>
    </row>
    <row r="2554" ht="18.75" customHeight="1">
      <c r="A2554" s="173" t="n"/>
      <c r="B2554" s="188" t="n"/>
      <c r="C2554" s="189" t="n"/>
      <c r="D2554" s="189" t="n"/>
      <c r="E2554" s="189" t="n"/>
      <c r="F2554" s="189" t="n"/>
      <c r="G2554" s="190" t="n"/>
      <c r="H2554" s="173" t="n"/>
      <c r="I2554" s="173" t="n"/>
      <c r="J2554" s="188" t="n"/>
      <c r="K2554" s="189" t="n"/>
      <c r="L2554" s="189" t="n"/>
      <c r="M2554" s="189" t="n"/>
      <c r="N2554" s="189" t="n"/>
      <c r="O2554" s="190" t="n"/>
      <c r="P2554" s="173" t="n"/>
    </row>
    <row r="2555" ht="18.75" customHeight="1">
      <c r="A2555" s="173" t="n"/>
      <c r="B2555" s="173" t="n"/>
      <c r="C2555" s="173" t="n"/>
      <c r="D2555" s="173" t="n"/>
      <c r="E2555" s="173" t="n"/>
      <c r="F2555" s="173" t="n"/>
      <c r="G2555" s="173" t="n"/>
      <c r="H2555" s="173" t="n"/>
      <c r="I2555" s="173" t="n"/>
      <c r="J2555" s="173" t="n"/>
      <c r="K2555" s="173" t="n"/>
      <c r="L2555" s="173" t="n"/>
      <c r="M2555" s="173" t="n"/>
      <c r="N2555" s="173" t="n"/>
      <c r="O2555" s="173" t="n"/>
      <c r="P2555" s="173" t="n"/>
    </row>
    <row r="2556" ht="18.75" customHeight="1">
      <c r="A2556" s="173" t="n"/>
      <c r="B2556" s="175">
        <f>IF('DADOS_ENTIDADES'!$AG$2="","","⚠ "&amp;'DADOS_ENTIDADES'!$AG$2)</f>
        <v/>
      </c>
      <c r="H2556" s="173" t="n"/>
      <c r="I2556" s="173" t="n"/>
      <c r="J2556" s="175">
        <f>IF('DADOS_ENTIDADES'!$AG$3="","","⚠ "&amp;'DADOS_ENTIDADES'!$AG$3)</f>
        <v/>
      </c>
      <c r="P2556" s="173" t="n"/>
    </row>
    <row r="2557" ht="18.75" customHeight="1">
      <c r="A2557" s="173" t="n"/>
      <c r="H2557" s="173" t="n"/>
      <c r="I2557" s="173" t="n"/>
      <c r="P2557" s="173" t="n"/>
    </row>
    <row r="2558" ht="18.75" customHeight="1">
      <c r="A2558" s="173" t="n"/>
      <c r="B2558" s="176" t="inlineStr">
        <is>
          <t>TALENTO · ENTIDADE · 3</t>
        </is>
      </c>
      <c r="H2558" s="173" t="n"/>
      <c r="I2558" s="173" t="n"/>
      <c r="J2558" s="176" t="inlineStr">
        <is>
          <t>TALENTO · ENTIDADE · 4</t>
        </is>
      </c>
      <c r="P2558" s="173" t="n"/>
    </row>
    <row r="2559" ht="18.75" customHeight="1">
      <c r="A2559" s="173" t="n"/>
      <c r="B2559" s="177" t="inlineStr">
        <is>
          <t>NOME</t>
        </is>
      </c>
      <c r="C2559" s="178" t="n"/>
      <c r="D2559" s="178" t="n"/>
      <c r="E2559" s="179" t="n"/>
      <c r="F2559" s="177" t="inlineStr">
        <is>
          <t>MESTRE VIU</t>
        </is>
      </c>
      <c r="G2559" s="179" t="n"/>
      <c r="H2559" s="173" t="n"/>
      <c r="I2559" s="173" t="n"/>
      <c r="J2559" s="177" t="inlineStr">
        <is>
          <t>NOME</t>
        </is>
      </c>
      <c r="K2559" s="178" t="n"/>
      <c r="L2559" s="178" t="n"/>
      <c r="M2559" s="179" t="n"/>
      <c r="N2559" s="177" t="inlineStr">
        <is>
          <t>MESTRE VIU</t>
        </is>
      </c>
      <c r="O2559" s="179" t="n"/>
      <c r="P2559" s="173" t="n"/>
    </row>
    <row r="2560" ht="18.75" customHeight="1">
      <c r="A2560" s="173" t="n"/>
      <c r="B2560" s="181" t="n"/>
      <c r="C2560" s="178" t="n"/>
      <c r="D2560" s="178" t="n"/>
      <c r="E2560" s="179" t="n"/>
      <c r="F2560" s="180" t="b">
        <v>0</v>
      </c>
      <c r="G2560" s="179" t="n"/>
      <c r="H2560" s="173" t="n"/>
      <c r="I2560" s="173" t="n"/>
      <c r="J2560" s="181" t="n"/>
      <c r="K2560" s="178" t="n"/>
      <c r="L2560" s="178" t="n"/>
      <c r="M2560" s="179" t="n"/>
      <c r="N2560" s="180" t="b">
        <v>0</v>
      </c>
      <c r="O2560" s="179" t="n"/>
      <c r="P2560" s="173" t="n"/>
    </row>
    <row r="2561" ht="18.75" customHeight="1">
      <c r="A2561" s="173" t="n"/>
      <c r="B2561" s="173" t="n"/>
      <c r="C2561" s="173" t="n"/>
      <c r="D2561" s="173" t="n"/>
      <c r="E2561" s="173" t="n"/>
      <c r="F2561" s="173" t="n"/>
      <c r="G2561" s="173" t="n"/>
      <c r="H2561" s="173" t="n"/>
      <c r="I2561" s="173" t="n"/>
      <c r="J2561" s="173" t="n"/>
      <c r="K2561" s="173" t="n"/>
      <c r="L2561" s="173" t="n"/>
      <c r="M2561" s="173" t="n"/>
      <c r="N2561" s="173" t="n"/>
      <c r="O2561" s="173" t="n"/>
      <c r="P2561" s="173" t="n"/>
    </row>
    <row r="2562" ht="18.75" customHeight="1">
      <c r="A2562" s="173" t="n"/>
      <c r="B2562" s="177" t="inlineStr">
        <is>
          <t>BASE DO LIVRO</t>
        </is>
      </c>
      <c r="C2562" s="178" t="n"/>
      <c r="D2562" s="179" t="n"/>
      <c r="E2562" s="181" t="inlineStr">
        <is>
          <t>Nenhuma</t>
        </is>
      </c>
      <c r="F2562" s="178" t="n"/>
      <c r="G2562" s="179" t="n"/>
      <c r="H2562" s="173" t="n"/>
      <c r="I2562" s="173" t="n"/>
      <c r="J2562" s="177" t="inlineStr">
        <is>
          <t>BASE DO LIVRO</t>
        </is>
      </c>
      <c r="K2562" s="178" t="n"/>
      <c r="L2562" s="179" t="n"/>
      <c r="M2562" s="181" t="inlineStr">
        <is>
          <t>Nenhuma</t>
        </is>
      </c>
      <c r="N2562" s="178" t="n"/>
      <c r="O2562" s="179" t="n"/>
      <c r="P2562" s="173" t="n"/>
    </row>
    <row r="2563" ht="18.75" customHeight="1">
      <c r="A2563" s="173" t="n"/>
      <c r="B2563" s="177" t="inlineStr">
        <is>
          <t>CATEGORIA DE EFEITO</t>
        </is>
      </c>
      <c r="C2563" s="178" t="n"/>
      <c r="D2563" s="179" t="n"/>
      <c r="E2563" s="181" t="n"/>
      <c r="F2563" s="178" t="n"/>
      <c r="G2563" s="179" t="n"/>
      <c r="H2563" s="173" t="n"/>
      <c r="I2563" s="173" t="n"/>
      <c r="J2563" s="177" t="inlineStr">
        <is>
          <t>CATEGORIA DE EFEITO</t>
        </is>
      </c>
      <c r="K2563" s="178" t="n"/>
      <c r="L2563" s="179" t="n"/>
      <c r="M2563" s="181" t="n"/>
      <c r="N2563" s="178" t="n"/>
      <c r="O2563" s="179" t="n"/>
      <c r="P2563" s="173" t="n"/>
    </row>
    <row r="2564" ht="18.75" customHeight="1">
      <c r="A2564" s="173" t="n"/>
      <c r="B2564" s="173" t="n"/>
      <c r="C2564" s="173" t="n"/>
      <c r="D2564" s="173" t="n"/>
      <c r="E2564" s="173" t="n"/>
      <c r="F2564" s="173" t="n"/>
      <c r="G2564" s="173" t="n"/>
      <c r="H2564" s="173" t="n"/>
      <c r="I2564" s="173" t="n"/>
      <c r="J2564" s="173" t="n"/>
      <c r="K2564" s="173" t="n"/>
      <c r="L2564" s="173" t="n"/>
      <c r="M2564" s="173" t="n"/>
      <c r="N2564" s="173" t="n"/>
      <c r="O2564" s="173" t="n"/>
      <c r="P2564" s="173" t="n"/>
    </row>
    <row r="2565" ht="18.75" customHeight="1">
      <c r="A2565" s="173" t="n"/>
      <c r="B2565" s="173" t="n"/>
      <c r="C2565" s="173" t="n"/>
      <c r="D2565" s="173" t="n"/>
      <c r="E2565" s="173" t="n"/>
      <c r="F2565" s="173" t="n"/>
      <c r="G2565" s="173" t="n"/>
      <c r="H2565" s="173" t="n"/>
      <c r="I2565" s="173" t="n"/>
      <c r="J2565" s="173" t="n"/>
      <c r="K2565" s="173" t="n"/>
      <c r="L2565" s="173" t="n"/>
      <c r="M2565" s="173" t="n"/>
      <c r="N2565" s="173" t="n"/>
      <c r="O2565" s="173" t="n"/>
      <c r="P2565" s="173" t="n"/>
    </row>
    <row r="2566" ht="18.75" customHeight="1">
      <c r="A2566" s="173" t="n"/>
      <c r="B2566" s="173" t="n"/>
      <c r="C2566" s="173" t="n"/>
      <c r="D2566" s="173" t="n"/>
      <c r="E2566" s="173" t="n"/>
      <c r="F2566" s="173" t="n"/>
      <c r="G2566" s="173" t="n"/>
      <c r="H2566" s="173" t="n"/>
      <c r="I2566" s="173" t="n"/>
      <c r="J2566" s="173" t="n"/>
      <c r="K2566" s="173" t="n"/>
      <c r="L2566" s="173" t="n"/>
      <c r="M2566" s="173" t="n"/>
      <c r="N2566" s="173" t="n"/>
      <c r="O2566" s="173" t="n"/>
      <c r="P2566" s="173" t="n"/>
    </row>
    <row r="2567" ht="18.75" customHeight="1">
      <c r="A2567" s="173" t="n"/>
      <c r="B2567" s="173" t="n"/>
      <c r="C2567" s="173" t="n"/>
      <c r="D2567" s="173" t="n"/>
      <c r="E2567" s="173" t="n"/>
      <c r="F2567" s="173" t="n"/>
      <c r="G2567" s="173" t="n"/>
      <c r="H2567" s="173" t="n"/>
      <c r="I2567" s="173" t="n"/>
      <c r="J2567" s="173" t="n"/>
      <c r="K2567" s="173" t="n"/>
      <c r="L2567" s="173" t="n"/>
      <c r="M2567" s="173" t="n"/>
      <c r="N2567" s="173" t="n"/>
      <c r="O2567" s="173" t="n"/>
      <c r="P2567" s="173" t="n"/>
    </row>
    <row r="2568" ht="18.75" customHeight="1">
      <c r="A2568" s="173" t="n"/>
      <c r="B2568" s="173" t="n"/>
      <c r="C2568" s="173" t="n"/>
      <c r="D2568" s="173" t="n"/>
      <c r="E2568" s="173" t="n"/>
      <c r="F2568" s="173" t="n"/>
      <c r="G2568" s="173" t="n"/>
      <c r="H2568" s="173" t="n"/>
      <c r="I2568" s="173" t="n"/>
      <c r="J2568" s="173" t="n"/>
      <c r="K2568" s="173" t="n"/>
      <c r="L2568" s="173" t="n"/>
      <c r="M2568" s="173" t="n"/>
      <c r="N2568" s="173" t="n"/>
      <c r="O2568" s="173" t="n"/>
      <c r="P2568" s="173" t="n"/>
    </row>
    <row r="2569" ht="18.75" customHeight="1">
      <c r="A2569" s="173" t="n"/>
      <c r="B2569" s="177" t="inlineStr">
        <is>
          <t>REQUISITOS</t>
        </is>
      </c>
      <c r="C2569" s="178" t="n"/>
      <c r="D2569" s="178" t="n"/>
      <c r="E2569" s="178" t="n"/>
      <c r="F2569" s="178" t="n"/>
      <c r="G2569" s="179" t="n"/>
      <c r="H2569" s="173" t="n"/>
      <c r="I2569" s="173" t="n"/>
      <c r="J2569" s="177" t="inlineStr">
        <is>
          <t>REQUISITOS</t>
        </is>
      </c>
      <c r="K2569" s="178" t="n"/>
      <c r="L2569" s="178" t="n"/>
      <c r="M2569" s="178" t="n"/>
      <c r="N2569" s="178" t="n"/>
      <c r="O2569" s="179" t="n"/>
      <c r="P2569" s="173" t="n"/>
    </row>
    <row r="2570" ht="18.75" customHeight="1">
      <c r="A2570" s="173" t="n"/>
      <c r="B2570" s="183" t="n"/>
      <c r="C2570" s="184" t="n"/>
      <c r="D2570" s="184" t="n"/>
      <c r="E2570" s="184" t="n"/>
      <c r="F2570" s="184" t="n"/>
      <c r="G2570" s="185" t="n"/>
      <c r="H2570" s="173" t="n"/>
      <c r="I2570" s="173" t="n"/>
      <c r="J2570" s="183" t="n"/>
      <c r="K2570" s="184" t="n"/>
      <c r="L2570" s="184" t="n"/>
      <c r="M2570" s="184" t="n"/>
      <c r="N2570" s="184" t="n"/>
      <c r="O2570" s="185" t="n"/>
      <c r="P2570" s="173" t="n"/>
    </row>
    <row r="2571" ht="18.75" customHeight="1">
      <c r="A2571" s="173" t="n"/>
      <c r="B2571" s="186" t="n"/>
      <c r="G2571" s="187" t="n"/>
      <c r="H2571" s="173" t="n"/>
      <c r="I2571" s="173" t="n"/>
      <c r="J2571" s="186" t="n"/>
      <c r="O2571" s="187" t="n"/>
      <c r="P2571" s="173" t="n"/>
    </row>
    <row r="2572" ht="18.75" customHeight="1">
      <c r="A2572" s="173" t="n"/>
      <c r="B2572" s="188" t="n"/>
      <c r="C2572" s="189" t="n"/>
      <c r="D2572" s="189" t="n"/>
      <c r="E2572" s="189" t="n"/>
      <c r="F2572" s="189" t="n"/>
      <c r="G2572" s="190" t="n"/>
      <c r="H2572" s="173" t="n"/>
      <c r="I2572" s="173" t="n"/>
      <c r="J2572" s="188" t="n"/>
      <c r="K2572" s="189" t="n"/>
      <c r="L2572" s="189" t="n"/>
      <c r="M2572" s="189" t="n"/>
      <c r="N2572" s="189" t="n"/>
      <c r="O2572" s="190" t="n"/>
      <c r="P2572" s="173" t="n"/>
    </row>
    <row r="2573" ht="18.75" customHeight="1">
      <c r="A2573" s="173" t="n"/>
      <c r="B2573" s="173" t="n"/>
      <c r="C2573" s="173" t="n"/>
      <c r="D2573" s="173" t="n"/>
      <c r="E2573" s="173" t="n"/>
      <c r="F2573" s="173" t="n"/>
      <c r="G2573" s="173" t="n"/>
      <c r="H2573" s="173" t="n"/>
      <c r="I2573" s="173" t="n"/>
      <c r="J2573" s="173" t="n"/>
      <c r="K2573" s="173" t="n"/>
      <c r="L2573" s="173" t="n"/>
      <c r="M2573" s="173" t="n"/>
      <c r="N2573" s="173" t="n"/>
      <c r="O2573" s="173" t="n"/>
      <c r="P2573" s="173" t="n"/>
    </row>
    <row r="2574" ht="18.75" customHeight="1">
      <c r="A2574" s="173" t="n"/>
      <c r="B2574" s="177" t="inlineStr">
        <is>
          <t>EFEITO</t>
        </is>
      </c>
      <c r="C2574" s="178" t="n"/>
      <c r="D2574" s="178" t="n"/>
      <c r="E2574" s="178" t="n"/>
      <c r="F2574" s="178" t="n"/>
      <c r="G2574" s="179" t="n"/>
      <c r="H2574" s="173" t="n"/>
      <c r="I2574" s="173" t="n"/>
      <c r="J2574" s="177" t="inlineStr">
        <is>
          <t>EFEITO</t>
        </is>
      </c>
      <c r="K2574" s="178" t="n"/>
      <c r="L2574" s="178" t="n"/>
      <c r="M2574" s="178" t="n"/>
      <c r="N2574" s="178" t="n"/>
      <c r="O2574" s="179" t="n"/>
      <c r="P2574" s="173" t="n"/>
    </row>
    <row r="2575" ht="18.75" customHeight="1">
      <c r="A2575" s="173" t="n"/>
      <c r="B2575" s="183" t="n"/>
      <c r="C2575" s="184" t="n"/>
      <c r="D2575" s="184" t="n"/>
      <c r="E2575" s="184" t="n"/>
      <c r="F2575" s="184" t="n"/>
      <c r="G2575" s="185" t="n"/>
      <c r="H2575" s="173" t="n"/>
      <c r="I2575" s="173" t="n"/>
      <c r="J2575" s="183" t="n"/>
      <c r="K2575" s="184" t="n"/>
      <c r="L2575" s="184" t="n"/>
      <c r="M2575" s="184" t="n"/>
      <c r="N2575" s="184" t="n"/>
      <c r="O2575" s="185" t="n"/>
      <c r="P2575" s="173" t="n"/>
    </row>
    <row r="2576" ht="18.75" customHeight="1">
      <c r="A2576" s="173" t="n"/>
      <c r="B2576" s="186" t="n"/>
      <c r="G2576" s="187" t="n"/>
      <c r="H2576" s="173" t="n"/>
      <c r="I2576" s="173" t="n"/>
      <c r="J2576" s="186" t="n"/>
      <c r="O2576" s="187" t="n"/>
      <c r="P2576" s="173" t="n"/>
    </row>
    <row r="2577" ht="18.75" customHeight="1">
      <c r="A2577" s="173" t="n"/>
      <c r="B2577" s="186" t="n"/>
      <c r="G2577" s="187" t="n"/>
      <c r="H2577" s="173" t="n"/>
      <c r="I2577" s="173" t="n"/>
      <c r="J2577" s="186" t="n"/>
      <c r="O2577" s="187" t="n"/>
      <c r="P2577" s="173" t="n"/>
    </row>
    <row r="2578" ht="18.75" customHeight="1">
      <c r="A2578" s="173" t="n"/>
      <c r="B2578" s="186" t="n"/>
      <c r="G2578" s="187" t="n"/>
      <c r="H2578" s="173" t="n"/>
      <c r="I2578" s="173" t="n"/>
      <c r="J2578" s="186" t="n"/>
      <c r="O2578" s="187" t="n"/>
      <c r="P2578" s="173" t="n"/>
    </row>
    <row r="2579" ht="18.75" customHeight="1">
      <c r="A2579" s="173" t="n"/>
      <c r="B2579" s="186" t="n"/>
      <c r="G2579" s="187" t="n"/>
      <c r="H2579" s="173" t="n"/>
      <c r="I2579" s="173" t="n"/>
      <c r="J2579" s="186" t="n"/>
      <c r="O2579" s="187" t="n"/>
      <c r="P2579" s="173" t="n"/>
    </row>
    <row r="2580" ht="18.75" customHeight="1">
      <c r="A2580" s="173" t="n"/>
      <c r="B2580" s="186" t="n"/>
      <c r="G2580" s="187" t="n"/>
      <c r="H2580" s="173" t="n"/>
      <c r="I2580" s="173" t="n"/>
      <c r="J2580" s="186" t="n"/>
      <c r="O2580" s="187" t="n"/>
      <c r="P2580" s="173" t="n"/>
    </row>
    <row r="2581" ht="18.75" customHeight="1">
      <c r="A2581" s="173" t="n"/>
      <c r="B2581" s="186" t="n"/>
      <c r="G2581" s="187" t="n"/>
      <c r="H2581" s="173" t="n"/>
      <c r="I2581" s="173" t="n"/>
      <c r="J2581" s="186" t="n"/>
      <c r="O2581" s="187" t="n"/>
      <c r="P2581" s="173" t="n"/>
    </row>
    <row r="2582" ht="18.75" customHeight="1">
      <c r="A2582" s="173" t="n"/>
      <c r="B2582" s="188" t="n"/>
      <c r="C2582" s="189" t="n"/>
      <c r="D2582" s="189" t="n"/>
      <c r="E2582" s="189" t="n"/>
      <c r="F2582" s="189" t="n"/>
      <c r="G2582" s="190" t="n"/>
      <c r="H2582" s="173" t="n"/>
      <c r="I2582" s="173" t="n"/>
      <c r="J2582" s="188" t="n"/>
      <c r="K2582" s="189" t="n"/>
      <c r="L2582" s="189" t="n"/>
      <c r="M2582" s="189" t="n"/>
      <c r="N2582" s="189" t="n"/>
      <c r="O2582" s="190" t="n"/>
      <c r="P2582" s="173" t="n"/>
    </row>
    <row r="2583" ht="18.75" customHeight="1">
      <c r="A2583" s="173" t="n"/>
      <c r="B2583" s="173" t="n"/>
      <c r="C2583" s="173" t="n"/>
      <c r="D2583" s="173" t="n"/>
      <c r="E2583" s="173" t="n"/>
      <c r="F2583" s="173" t="n"/>
      <c r="G2583" s="173" t="n"/>
      <c r="H2583" s="173" t="n"/>
      <c r="I2583" s="173" t="n"/>
      <c r="J2583" s="173" t="n"/>
      <c r="K2583" s="173" t="n"/>
      <c r="L2583" s="173" t="n"/>
      <c r="M2583" s="173" t="n"/>
      <c r="N2583" s="173" t="n"/>
      <c r="O2583" s="173" t="n"/>
      <c r="P2583" s="173" t="n"/>
    </row>
    <row r="2584" ht="18.75" customHeight="1">
      <c r="A2584" s="173" t="n"/>
      <c r="B2584" s="175">
        <f>IF('DADOS_ENTIDADES'!$AG$4="","","⚠ "&amp;'DADOS_ENTIDADES'!$AG$4)</f>
        <v/>
      </c>
      <c r="H2584" s="173" t="n"/>
      <c r="I2584" s="173" t="n"/>
      <c r="J2584" s="175">
        <f>IF('DADOS_ENTIDADES'!$AG$5="","","⚠ "&amp;'DADOS_ENTIDADES'!$AG$5)</f>
        <v/>
      </c>
      <c r="P2584" s="173" t="n"/>
    </row>
    <row r="2585" ht="18.75" customHeight="1">
      <c r="A2585" s="173" t="n"/>
      <c r="H2585" s="173" t="n"/>
      <c r="I2585" s="173" t="n"/>
      <c r="P2585" s="173" t="n"/>
    </row>
    <row r="2586" ht="18.75" customHeight="1">
      <c r="A2586" s="173" t="n"/>
      <c r="B2586" s="176" t="inlineStr">
        <is>
          <t>TALENTO · ENTIDADE · 5</t>
        </is>
      </c>
      <c r="H2586" s="173" t="n"/>
      <c r="I2586" s="173" t="n"/>
      <c r="J2586" s="176" t="inlineStr">
        <is>
          <t>TALENTO · ENTIDADE · 6</t>
        </is>
      </c>
      <c r="P2586" s="173" t="n"/>
    </row>
    <row r="2587" ht="18.75" customHeight="1">
      <c r="A2587" s="173" t="n"/>
      <c r="B2587" s="177" t="inlineStr">
        <is>
          <t>NOME</t>
        </is>
      </c>
      <c r="C2587" s="178" t="n"/>
      <c r="D2587" s="178" t="n"/>
      <c r="E2587" s="179" t="n"/>
      <c r="F2587" s="177" t="inlineStr">
        <is>
          <t>MESTRE VIU</t>
        </is>
      </c>
      <c r="G2587" s="179" t="n"/>
      <c r="H2587" s="173" t="n"/>
      <c r="I2587" s="173" t="n"/>
      <c r="J2587" s="177" t="inlineStr">
        <is>
          <t>NOME</t>
        </is>
      </c>
      <c r="K2587" s="178" t="n"/>
      <c r="L2587" s="178" t="n"/>
      <c r="M2587" s="179" t="n"/>
      <c r="N2587" s="177" t="inlineStr">
        <is>
          <t>MESTRE VIU</t>
        </is>
      </c>
      <c r="O2587" s="179" t="n"/>
      <c r="P2587" s="173" t="n"/>
    </row>
    <row r="2588" ht="18.75" customHeight="1">
      <c r="A2588" s="173" t="n"/>
      <c r="B2588" s="181" t="n"/>
      <c r="C2588" s="178" t="n"/>
      <c r="D2588" s="178" t="n"/>
      <c r="E2588" s="179" t="n"/>
      <c r="F2588" s="180" t="b">
        <v>0</v>
      </c>
      <c r="G2588" s="179" t="n"/>
      <c r="H2588" s="173" t="n"/>
      <c r="I2588" s="173" t="n"/>
      <c r="J2588" s="181" t="n"/>
      <c r="K2588" s="178" t="n"/>
      <c r="L2588" s="178" t="n"/>
      <c r="M2588" s="179" t="n"/>
      <c r="N2588" s="180" t="b">
        <v>0</v>
      </c>
      <c r="O2588" s="179" t="n"/>
      <c r="P2588" s="173" t="n"/>
    </row>
    <row r="2589" ht="18.75" customHeight="1">
      <c r="A2589" s="173" t="n"/>
      <c r="B2589" s="173" t="n"/>
      <c r="C2589" s="173" t="n"/>
      <c r="D2589" s="173" t="n"/>
      <c r="E2589" s="173" t="n"/>
      <c r="F2589" s="173" t="n"/>
      <c r="G2589" s="173" t="n"/>
      <c r="H2589" s="173" t="n"/>
      <c r="I2589" s="173" t="n"/>
      <c r="J2589" s="173" t="n"/>
      <c r="K2589" s="173" t="n"/>
      <c r="L2589" s="173" t="n"/>
      <c r="M2589" s="173" t="n"/>
      <c r="N2589" s="173" t="n"/>
      <c r="O2589" s="173" t="n"/>
      <c r="P2589" s="173" t="n"/>
    </row>
    <row r="2590" ht="18.75" customHeight="1">
      <c r="A2590" s="173" t="n"/>
      <c r="B2590" s="177" t="inlineStr">
        <is>
          <t>BASE DO LIVRO</t>
        </is>
      </c>
      <c r="C2590" s="178" t="n"/>
      <c r="D2590" s="179" t="n"/>
      <c r="E2590" s="181" t="inlineStr">
        <is>
          <t>Nenhuma</t>
        </is>
      </c>
      <c r="F2590" s="178" t="n"/>
      <c r="G2590" s="179" t="n"/>
      <c r="H2590" s="173" t="n"/>
      <c r="I2590" s="173" t="n"/>
      <c r="J2590" s="177" t="inlineStr">
        <is>
          <t>BASE DO LIVRO</t>
        </is>
      </c>
      <c r="K2590" s="178" t="n"/>
      <c r="L2590" s="179" t="n"/>
      <c r="M2590" s="181" t="inlineStr">
        <is>
          <t>Nenhuma</t>
        </is>
      </c>
      <c r="N2590" s="178" t="n"/>
      <c r="O2590" s="179" t="n"/>
      <c r="P2590" s="173" t="n"/>
    </row>
    <row r="2591" ht="18.75" customHeight="1">
      <c r="A2591" s="173" t="n"/>
      <c r="B2591" s="177" t="inlineStr">
        <is>
          <t>CATEGORIA DE EFEITO</t>
        </is>
      </c>
      <c r="C2591" s="178" t="n"/>
      <c r="D2591" s="179" t="n"/>
      <c r="E2591" s="181" t="n"/>
      <c r="F2591" s="178" t="n"/>
      <c r="G2591" s="179" t="n"/>
      <c r="H2591" s="173" t="n"/>
      <c r="I2591" s="173" t="n"/>
      <c r="J2591" s="177" t="inlineStr">
        <is>
          <t>CATEGORIA DE EFEITO</t>
        </is>
      </c>
      <c r="K2591" s="178" t="n"/>
      <c r="L2591" s="179" t="n"/>
      <c r="M2591" s="181" t="n"/>
      <c r="N2591" s="178" t="n"/>
      <c r="O2591" s="179" t="n"/>
      <c r="P2591" s="173" t="n"/>
    </row>
    <row r="2592" ht="18.75" customHeight="1">
      <c r="A2592" s="173" t="n"/>
      <c r="B2592" s="173" t="n"/>
      <c r="C2592" s="173" t="n"/>
      <c r="D2592" s="173" t="n"/>
      <c r="E2592" s="173" t="n"/>
      <c r="F2592" s="173" t="n"/>
      <c r="G2592" s="173" t="n"/>
      <c r="H2592" s="173" t="n"/>
      <c r="I2592" s="173" t="n"/>
      <c r="J2592" s="173" t="n"/>
      <c r="K2592" s="173" t="n"/>
      <c r="L2592" s="173" t="n"/>
      <c r="M2592" s="173" t="n"/>
      <c r="N2592" s="173" t="n"/>
      <c r="O2592" s="173" t="n"/>
      <c r="P2592" s="173" t="n"/>
    </row>
    <row r="2593" ht="18.75" customHeight="1">
      <c r="A2593" s="173" t="n"/>
      <c r="B2593" s="173" t="n"/>
      <c r="C2593" s="173" t="n"/>
      <c r="D2593" s="173" t="n"/>
      <c r="E2593" s="173" t="n"/>
      <c r="F2593" s="173" t="n"/>
      <c r="G2593" s="173" t="n"/>
      <c r="H2593" s="173" t="n"/>
      <c r="I2593" s="173" t="n"/>
      <c r="J2593" s="173" t="n"/>
      <c r="K2593" s="173" t="n"/>
      <c r="L2593" s="173" t="n"/>
      <c r="M2593" s="173" t="n"/>
      <c r="N2593" s="173" t="n"/>
      <c r="O2593" s="173" t="n"/>
      <c r="P2593" s="173" t="n"/>
    </row>
    <row r="2594" ht="18.75" customHeight="1">
      <c r="A2594" s="173" t="n"/>
      <c r="B2594" s="173" t="n"/>
      <c r="C2594" s="173" t="n"/>
      <c r="D2594" s="173" t="n"/>
      <c r="E2594" s="173" t="n"/>
      <c r="F2594" s="173" t="n"/>
      <c r="G2594" s="173" t="n"/>
      <c r="H2594" s="173" t="n"/>
      <c r="I2594" s="173" t="n"/>
      <c r="J2594" s="173" t="n"/>
      <c r="K2594" s="173" t="n"/>
      <c r="L2594" s="173" t="n"/>
      <c r="M2594" s="173" t="n"/>
      <c r="N2594" s="173" t="n"/>
      <c r="O2594" s="173" t="n"/>
      <c r="P2594" s="173" t="n"/>
    </row>
    <row r="2595" ht="18.75" customHeight="1">
      <c r="A2595" s="173" t="n"/>
      <c r="B2595" s="173" t="n"/>
      <c r="C2595" s="173" t="n"/>
      <c r="D2595" s="173" t="n"/>
      <c r="E2595" s="173" t="n"/>
      <c r="F2595" s="173" t="n"/>
      <c r="G2595" s="173" t="n"/>
      <c r="H2595" s="173" t="n"/>
      <c r="I2595" s="173" t="n"/>
      <c r="J2595" s="173" t="n"/>
      <c r="K2595" s="173" t="n"/>
      <c r="L2595" s="173" t="n"/>
      <c r="M2595" s="173" t="n"/>
      <c r="N2595" s="173" t="n"/>
      <c r="O2595" s="173" t="n"/>
      <c r="P2595" s="173" t="n"/>
    </row>
    <row r="2596" ht="18.75" customHeight="1">
      <c r="A2596" s="173" t="n"/>
      <c r="B2596" s="173" t="n"/>
      <c r="C2596" s="173" t="n"/>
      <c r="D2596" s="173" t="n"/>
      <c r="E2596" s="173" t="n"/>
      <c r="F2596" s="173" t="n"/>
      <c r="G2596" s="173" t="n"/>
      <c r="H2596" s="173" t="n"/>
      <c r="I2596" s="173" t="n"/>
      <c r="J2596" s="173" t="n"/>
      <c r="K2596" s="173" t="n"/>
      <c r="L2596" s="173" t="n"/>
      <c r="M2596" s="173" t="n"/>
      <c r="N2596" s="173" t="n"/>
      <c r="O2596" s="173" t="n"/>
      <c r="P2596" s="173" t="n"/>
    </row>
    <row r="2597" ht="18.75" customHeight="1">
      <c r="A2597" s="173" t="n"/>
      <c r="B2597" s="177" t="inlineStr">
        <is>
          <t>REQUISITOS</t>
        </is>
      </c>
      <c r="C2597" s="178" t="n"/>
      <c r="D2597" s="178" t="n"/>
      <c r="E2597" s="178" t="n"/>
      <c r="F2597" s="178" t="n"/>
      <c r="G2597" s="179" t="n"/>
      <c r="H2597" s="173" t="n"/>
      <c r="I2597" s="173" t="n"/>
      <c r="J2597" s="177" t="inlineStr">
        <is>
          <t>REQUISITOS</t>
        </is>
      </c>
      <c r="K2597" s="178" t="n"/>
      <c r="L2597" s="178" t="n"/>
      <c r="M2597" s="178" t="n"/>
      <c r="N2597" s="178" t="n"/>
      <c r="O2597" s="179" t="n"/>
      <c r="P2597" s="173" t="n"/>
    </row>
    <row r="2598" ht="18.75" customHeight="1">
      <c r="A2598" s="173" t="n"/>
      <c r="B2598" s="183" t="n"/>
      <c r="C2598" s="184" t="n"/>
      <c r="D2598" s="184" t="n"/>
      <c r="E2598" s="184" t="n"/>
      <c r="F2598" s="184" t="n"/>
      <c r="G2598" s="185" t="n"/>
      <c r="H2598" s="173" t="n"/>
      <c r="I2598" s="173" t="n"/>
      <c r="J2598" s="183" t="n"/>
      <c r="K2598" s="184" t="n"/>
      <c r="L2598" s="184" t="n"/>
      <c r="M2598" s="184" t="n"/>
      <c r="N2598" s="184" t="n"/>
      <c r="O2598" s="185" t="n"/>
      <c r="P2598" s="173" t="n"/>
    </row>
    <row r="2599" ht="18.75" customHeight="1">
      <c r="A2599" s="173" t="n"/>
      <c r="B2599" s="186" t="n"/>
      <c r="G2599" s="187" t="n"/>
      <c r="H2599" s="173" t="n"/>
      <c r="I2599" s="173" t="n"/>
      <c r="J2599" s="186" t="n"/>
      <c r="O2599" s="187" t="n"/>
      <c r="P2599" s="173" t="n"/>
    </row>
    <row r="2600" ht="18.75" customHeight="1">
      <c r="A2600" s="173" t="n"/>
      <c r="B2600" s="188" t="n"/>
      <c r="C2600" s="189" t="n"/>
      <c r="D2600" s="189" t="n"/>
      <c r="E2600" s="189" t="n"/>
      <c r="F2600" s="189" t="n"/>
      <c r="G2600" s="190" t="n"/>
      <c r="H2600" s="173" t="n"/>
      <c r="I2600" s="173" t="n"/>
      <c r="J2600" s="188" t="n"/>
      <c r="K2600" s="189" t="n"/>
      <c r="L2600" s="189" t="n"/>
      <c r="M2600" s="189" t="n"/>
      <c r="N2600" s="189" t="n"/>
      <c r="O2600" s="190" t="n"/>
      <c r="P2600" s="173" t="n"/>
    </row>
    <row r="2601" ht="18.75" customHeight="1">
      <c r="A2601" s="173" t="n"/>
      <c r="B2601" s="173" t="n"/>
      <c r="C2601" s="173" t="n"/>
      <c r="D2601" s="173" t="n"/>
      <c r="E2601" s="173" t="n"/>
      <c r="F2601" s="173" t="n"/>
      <c r="G2601" s="173" t="n"/>
      <c r="H2601" s="173" t="n"/>
      <c r="I2601" s="173" t="n"/>
      <c r="J2601" s="173" t="n"/>
      <c r="K2601" s="173" t="n"/>
      <c r="L2601" s="173" t="n"/>
      <c r="M2601" s="173" t="n"/>
      <c r="N2601" s="173" t="n"/>
      <c r="O2601" s="173" t="n"/>
      <c r="P2601" s="173" t="n"/>
    </row>
    <row r="2602" ht="18.75" customHeight="1">
      <c r="A2602" s="173" t="n"/>
      <c r="B2602" s="177" t="inlineStr">
        <is>
          <t>EFEITO</t>
        </is>
      </c>
      <c r="C2602" s="178" t="n"/>
      <c r="D2602" s="178" t="n"/>
      <c r="E2602" s="178" t="n"/>
      <c r="F2602" s="178" t="n"/>
      <c r="G2602" s="179" t="n"/>
      <c r="H2602" s="173" t="n"/>
      <c r="I2602" s="173" t="n"/>
      <c r="J2602" s="177" t="inlineStr">
        <is>
          <t>EFEITO</t>
        </is>
      </c>
      <c r="K2602" s="178" t="n"/>
      <c r="L2602" s="178" t="n"/>
      <c r="M2602" s="178" t="n"/>
      <c r="N2602" s="178" t="n"/>
      <c r="O2602" s="179" t="n"/>
      <c r="P2602" s="173" t="n"/>
    </row>
    <row r="2603" ht="18.75" customHeight="1">
      <c r="A2603" s="173" t="n"/>
      <c r="B2603" s="183" t="n"/>
      <c r="C2603" s="184" t="n"/>
      <c r="D2603" s="184" t="n"/>
      <c r="E2603" s="184" t="n"/>
      <c r="F2603" s="184" t="n"/>
      <c r="G2603" s="185" t="n"/>
      <c r="H2603" s="173" t="n"/>
      <c r="I2603" s="173" t="n"/>
      <c r="J2603" s="183" t="n"/>
      <c r="K2603" s="184" t="n"/>
      <c r="L2603" s="184" t="n"/>
      <c r="M2603" s="184" t="n"/>
      <c r="N2603" s="184" t="n"/>
      <c r="O2603" s="185" t="n"/>
      <c r="P2603" s="173" t="n"/>
    </row>
    <row r="2604" ht="18.75" customHeight="1">
      <c r="A2604" s="173" t="n"/>
      <c r="B2604" s="186" t="n"/>
      <c r="G2604" s="187" t="n"/>
      <c r="H2604" s="173" t="n"/>
      <c r="I2604" s="173" t="n"/>
      <c r="J2604" s="186" t="n"/>
      <c r="O2604" s="187" t="n"/>
      <c r="P2604" s="173" t="n"/>
    </row>
    <row r="2605" ht="18.75" customHeight="1">
      <c r="A2605" s="173" t="n"/>
      <c r="B2605" s="186" t="n"/>
      <c r="G2605" s="187" t="n"/>
      <c r="H2605" s="173" t="n"/>
      <c r="I2605" s="173" t="n"/>
      <c r="J2605" s="186" t="n"/>
      <c r="O2605" s="187" t="n"/>
      <c r="P2605" s="173" t="n"/>
    </row>
    <row r="2606" ht="18.75" customHeight="1">
      <c r="A2606" s="173" t="n"/>
      <c r="B2606" s="186" t="n"/>
      <c r="G2606" s="187" t="n"/>
      <c r="H2606" s="173" t="n"/>
      <c r="I2606" s="173" t="n"/>
      <c r="J2606" s="186" t="n"/>
      <c r="O2606" s="187" t="n"/>
      <c r="P2606" s="173" t="n"/>
    </row>
    <row r="2607" ht="18.75" customHeight="1">
      <c r="A2607" s="173" t="n"/>
      <c r="B2607" s="186" t="n"/>
      <c r="G2607" s="187" t="n"/>
      <c r="H2607" s="173" t="n"/>
      <c r="I2607" s="173" t="n"/>
      <c r="J2607" s="186" t="n"/>
      <c r="O2607" s="187" t="n"/>
      <c r="P2607" s="173" t="n"/>
    </row>
    <row r="2608" ht="18.75" customHeight="1">
      <c r="A2608" s="173" t="n"/>
      <c r="B2608" s="186" t="n"/>
      <c r="G2608" s="187" t="n"/>
      <c r="H2608" s="173" t="n"/>
      <c r="I2608" s="173" t="n"/>
      <c r="J2608" s="186" t="n"/>
      <c r="O2608" s="187" t="n"/>
      <c r="P2608" s="173" t="n"/>
    </row>
    <row r="2609" ht="18.75" customHeight="1">
      <c r="A2609" s="173" t="n"/>
      <c r="B2609" s="186" t="n"/>
      <c r="G2609" s="187" t="n"/>
      <c r="H2609" s="173" t="n"/>
      <c r="I2609" s="173" t="n"/>
      <c r="J2609" s="186" t="n"/>
      <c r="O2609" s="187" t="n"/>
      <c r="P2609" s="173" t="n"/>
    </row>
    <row r="2610" ht="18.75" customHeight="1">
      <c r="A2610" s="173" t="n"/>
      <c r="B2610" s="188" t="n"/>
      <c r="C2610" s="189" t="n"/>
      <c r="D2610" s="189" t="n"/>
      <c r="E2610" s="189" t="n"/>
      <c r="F2610" s="189" t="n"/>
      <c r="G2610" s="190" t="n"/>
      <c r="H2610" s="173" t="n"/>
      <c r="I2610" s="173" t="n"/>
      <c r="J2610" s="188" t="n"/>
      <c r="K2610" s="189" t="n"/>
      <c r="L2610" s="189" t="n"/>
      <c r="M2610" s="189" t="n"/>
      <c r="N2610" s="189" t="n"/>
      <c r="O2610" s="190" t="n"/>
      <c r="P2610" s="173" t="n"/>
    </row>
    <row r="2611" ht="18.75" customHeight="1">
      <c r="A2611" s="173" t="n"/>
      <c r="B2611" s="173" t="n"/>
      <c r="C2611" s="173" t="n"/>
      <c r="D2611" s="173" t="n"/>
      <c r="E2611" s="173" t="n"/>
      <c r="F2611" s="173" t="n"/>
      <c r="G2611" s="173" t="n"/>
      <c r="H2611" s="173" t="n"/>
      <c r="I2611" s="173" t="n"/>
      <c r="J2611" s="173" t="n"/>
      <c r="K2611" s="173" t="n"/>
      <c r="L2611" s="173" t="n"/>
      <c r="M2611" s="173" t="n"/>
      <c r="N2611" s="173" t="n"/>
      <c r="O2611" s="173" t="n"/>
      <c r="P2611" s="173" t="n"/>
    </row>
    <row r="2612" ht="18.75" customHeight="1">
      <c r="A2612" s="173" t="n"/>
      <c r="B2612" s="175">
        <f>IF('DADOS_ENTIDADES'!$AG$6="","","⚠ "&amp;'DADOS_ENTIDADES'!$AG$6)</f>
        <v/>
      </c>
      <c r="H2612" s="173" t="n"/>
      <c r="I2612" s="173" t="n"/>
      <c r="J2612" s="175">
        <f>IF('DADOS_ENTIDADES'!$AG$7="","","⚠ "&amp;'DADOS_ENTIDADES'!$AG$7)</f>
        <v/>
      </c>
      <c r="P2612" s="173" t="n"/>
    </row>
    <row r="2613" ht="18.75" customHeight="1">
      <c r="A2613" s="173" t="n"/>
      <c r="H2613" s="173" t="n"/>
      <c r="I2613" s="173" t="n"/>
      <c r="P2613" s="173" t="n"/>
    </row>
    <row r="2614" ht="18.75" customHeight="1">
      <c r="A2614" s="173" t="n"/>
      <c r="B2614" s="176" t="inlineStr">
        <is>
          <t>TALENTO · ENTIDADE · 7</t>
        </is>
      </c>
      <c r="H2614" s="173" t="n"/>
      <c r="I2614" s="173" t="n"/>
      <c r="J2614" s="176" t="inlineStr">
        <is>
          <t>TALENTO · ENTIDADE · 8</t>
        </is>
      </c>
      <c r="P2614" s="173" t="n"/>
    </row>
    <row r="2615" ht="18.75" customHeight="1">
      <c r="A2615" s="173" t="n"/>
      <c r="B2615" s="177" t="inlineStr">
        <is>
          <t>NOME</t>
        </is>
      </c>
      <c r="C2615" s="178" t="n"/>
      <c r="D2615" s="178" t="n"/>
      <c r="E2615" s="179" t="n"/>
      <c r="F2615" s="177" t="inlineStr">
        <is>
          <t>MESTRE VIU</t>
        </is>
      </c>
      <c r="G2615" s="179" t="n"/>
      <c r="H2615" s="173" t="n"/>
      <c r="I2615" s="173" t="n"/>
      <c r="J2615" s="177" t="inlineStr">
        <is>
          <t>NOME</t>
        </is>
      </c>
      <c r="K2615" s="178" t="n"/>
      <c r="L2615" s="178" t="n"/>
      <c r="M2615" s="179" t="n"/>
      <c r="N2615" s="177" t="inlineStr">
        <is>
          <t>MESTRE VIU</t>
        </is>
      </c>
      <c r="O2615" s="179" t="n"/>
      <c r="P2615" s="173" t="n"/>
    </row>
    <row r="2616" ht="18.75" customHeight="1">
      <c r="A2616" s="173" t="n"/>
      <c r="B2616" s="181" t="n"/>
      <c r="C2616" s="178" t="n"/>
      <c r="D2616" s="178" t="n"/>
      <c r="E2616" s="179" t="n"/>
      <c r="F2616" s="180" t="b">
        <v>0</v>
      </c>
      <c r="G2616" s="179" t="n"/>
      <c r="H2616" s="173" t="n"/>
      <c r="I2616" s="173" t="n"/>
      <c r="J2616" s="181" t="n"/>
      <c r="K2616" s="178" t="n"/>
      <c r="L2616" s="178" t="n"/>
      <c r="M2616" s="179" t="n"/>
      <c r="N2616" s="180" t="b">
        <v>0</v>
      </c>
      <c r="O2616" s="179" t="n"/>
      <c r="P2616" s="173" t="n"/>
    </row>
    <row r="2617" ht="18.75" customHeight="1">
      <c r="A2617" s="173" t="n"/>
      <c r="B2617" s="173" t="n"/>
      <c r="C2617" s="173" t="n"/>
      <c r="D2617" s="173" t="n"/>
      <c r="E2617" s="173" t="n"/>
      <c r="F2617" s="173" t="n"/>
      <c r="G2617" s="173" t="n"/>
      <c r="H2617" s="173" t="n"/>
      <c r="I2617" s="173" t="n"/>
      <c r="J2617" s="173" t="n"/>
      <c r="K2617" s="173" t="n"/>
      <c r="L2617" s="173" t="n"/>
      <c r="M2617" s="173" t="n"/>
      <c r="N2617" s="173" t="n"/>
      <c r="O2617" s="173" t="n"/>
      <c r="P2617" s="173" t="n"/>
    </row>
    <row r="2618" ht="18.75" customHeight="1">
      <c r="A2618" s="173" t="n"/>
      <c r="B2618" s="177" t="inlineStr">
        <is>
          <t>BASE DO LIVRO</t>
        </is>
      </c>
      <c r="C2618" s="178" t="n"/>
      <c r="D2618" s="179" t="n"/>
      <c r="E2618" s="181" t="inlineStr">
        <is>
          <t>Nenhuma</t>
        </is>
      </c>
      <c r="F2618" s="178" t="n"/>
      <c r="G2618" s="179" t="n"/>
      <c r="H2618" s="173" t="n"/>
      <c r="I2618" s="173" t="n"/>
      <c r="J2618" s="177" t="inlineStr">
        <is>
          <t>BASE DO LIVRO</t>
        </is>
      </c>
      <c r="K2618" s="178" t="n"/>
      <c r="L2618" s="179" t="n"/>
      <c r="M2618" s="181" t="inlineStr">
        <is>
          <t>Nenhuma</t>
        </is>
      </c>
      <c r="N2618" s="178" t="n"/>
      <c r="O2618" s="179" t="n"/>
      <c r="P2618" s="173" t="n"/>
    </row>
    <row r="2619" ht="18.75" customHeight="1">
      <c r="A2619" s="173" t="n"/>
      <c r="B2619" s="177" t="inlineStr">
        <is>
          <t>CATEGORIA DE EFEITO</t>
        </is>
      </c>
      <c r="C2619" s="178" t="n"/>
      <c r="D2619" s="179" t="n"/>
      <c r="E2619" s="181" t="n"/>
      <c r="F2619" s="178" t="n"/>
      <c r="G2619" s="179" t="n"/>
      <c r="H2619" s="173" t="n"/>
      <c r="I2619" s="173" t="n"/>
      <c r="J2619" s="177" t="inlineStr">
        <is>
          <t>CATEGORIA DE EFEITO</t>
        </is>
      </c>
      <c r="K2619" s="178" t="n"/>
      <c r="L2619" s="179" t="n"/>
      <c r="M2619" s="181" t="n"/>
      <c r="N2619" s="178" t="n"/>
      <c r="O2619" s="179" t="n"/>
      <c r="P2619" s="173" t="n"/>
    </row>
    <row r="2620" ht="18.75" customHeight="1">
      <c r="A2620" s="173" t="n"/>
      <c r="B2620" s="173" t="n"/>
      <c r="C2620" s="173" t="n"/>
      <c r="D2620" s="173" t="n"/>
      <c r="E2620" s="173" t="n"/>
      <c r="F2620" s="173" t="n"/>
      <c r="G2620" s="173" t="n"/>
      <c r="H2620" s="173" t="n"/>
      <c r="I2620" s="173" t="n"/>
      <c r="J2620" s="173" t="n"/>
      <c r="K2620" s="173" t="n"/>
      <c r="L2620" s="173" t="n"/>
      <c r="M2620" s="173" t="n"/>
      <c r="N2620" s="173" t="n"/>
      <c r="O2620" s="173" t="n"/>
      <c r="P2620" s="173" t="n"/>
    </row>
    <row r="2621" ht="18.75" customHeight="1">
      <c r="A2621" s="173" t="n"/>
      <c r="B2621" s="173" t="n"/>
      <c r="C2621" s="173" t="n"/>
      <c r="D2621" s="173" t="n"/>
      <c r="E2621" s="173" t="n"/>
      <c r="F2621" s="173" t="n"/>
      <c r="G2621" s="173" t="n"/>
      <c r="H2621" s="173" t="n"/>
      <c r="I2621" s="173" t="n"/>
      <c r="J2621" s="173" t="n"/>
      <c r="K2621" s="173" t="n"/>
      <c r="L2621" s="173" t="n"/>
      <c r="M2621" s="173" t="n"/>
      <c r="N2621" s="173" t="n"/>
      <c r="O2621" s="173" t="n"/>
      <c r="P2621" s="173" t="n"/>
    </row>
    <row r="2622" ht="18.75" customHeight="1">
      <c r="A2622" s="173" t="n"/>
      <c r="B2622" s="173" t="n"/>
      <c r="C2622" s="173" t="n"/>
      <c r="D2622" s="173" t="n"/>
      <c r="E2622" s="173" t="n"/>
      <c r="F2622" s="173" t="n"/>
      <c r="G2622" s="173" t="n"/>
      <c r="H2622" s="173" t="n"/>
      <c r="I2622" s="173" t="n"/>
      <c r="J2622" s="173" t="n"/>
      <c r="K2622" s="173" t="n"/>
      <c r="L2622" s="173" t="n"/>
      <c r="M2622" s="173" t="n"/>
      <c r="N2622" s="173" t="n"/>
      <c r="O2622" s="173" t="n"/>
      <c r="P2622" s="173" t="n"/>
    </row>
    <row r="2623" ht="18.75" customHeight="1">
      <c r="A2623" s="173" t="n"/>
      <c r="B2623" s="173" t="n"/>
      <c r="C2623" s="173" t="n"/>
      <c r="D2623" s="173" t="n"/>
      <c r="E2623" s="173" t="n"/>
      <c r="F2623" s="173" t="n"/>
      <c r="G2623" s="173" t="n"/>
      <c r="H2623" s="173" t="n"/>
      <c r="I2623" s="173" t="n"/>
      <c r="J2623" s="173" t="n"/>
      <c r="K2623" s="173" t="n"/>
      <c r="L2623" s="173" t="n"/>
      <c r="M2623" s="173" t="n"/>
      <c r="N2623" s="173" t="n"/>
      <c r="O2623" s="173" t="n"/>
      <c r="P2623" s="173" t="n"/>
    </row>
    <row r="2624" ht="18.75" customHeight="1">
      <c r="A2624" s="173" t="n"/>
      <c r="B2624" s="173" t="n"/>
      <c r="C2624" s="173" t="n"/>
      <c r="D2624" s="173" t="n"/>
      <c r="E2624" s="173" t="n"/>
      <c r="F2624" s="173" t="n"/>
      <c r="G2624" s="173" t="n"/>
      <c r="H2624" s="173" t="n"/>
      <c r="I2624" s="173" t="n"/>
      <c r="J2624" s="173" t="n"/>
      <c r="K2624" s="173" t="n"/>
      <c r="L2624" s="173" t="n"/>
      <c r="M2624" s="173" t="n"/>
      <c r="N2624" s="173" t="n"/>
      <c r="O2624" s="173" t="n"/>
      <c r="P2624" s="173" t="n"/>
    </row>
    <row r="2625" ht="18.75" customHeight="1">
      <c r="A2625" s="173" t="n"/>
      <c r="B2625" s="177" t="inlineStr">
        <is>
          <t>REQUISITOS</t>
        </is>
      </c>
      <c r="C2625" s="178" t="n"/>
      <c r="D2625" s="178" t="n"/>
      <c r="E2625" s="178" t="n"/>
      <c r="F2625" s="178" t="n"/>
      <c r="G2625" s="179" t="n"/>
      <c r="H2625" s="173" t="n"/>
      <c r="I2625" s="173" t="n"/>
      <c r="J2625" s="177" t="inlineStr">
        <is>
          <t>REQUISITOS</t>
        </is>
      </c>
      <c r="K2625" s="178" t="n"/>
      <c r="L2625" s="178" t="n"/>
      <c r="M2625" s="178" t="n"/>
      <c r="N2625" s="178" t="n"/>
      <c r="O2625" s="179" t="n"/>
      <c r="P2625" s="173" t="n"/>
    </row>
    <row r="2626" ht="18.75" customHeight="1">
      <c r="A2626" s="173" t="n"/>
      <c r="B2626" s="183" t="n"/>
      <c r="C2626" s="184" t="n"/>
      <c r="D2626" s="184" t="n"/>
      <c r="E2626" s="184" t="n"/>
      <c r="F2626" s="184" t="n"/>
      <c r="G2626" s="185" t="n"/>
      <c r="H2626" s="173" t="n"/>
      <c r="I2626" s="173" t="n"/>
      <c r="J2626" s="183" t="n"/>
      <c r="K2626" s="184" t="n"/>
      <c r="L2626" s="184" t="n"/>
      <c r="M2626" s="184" t="n"/>
      <c r="N2626" s="184" t="n"/>
      <c r="O2626" s="185" t="n"/>
      <c r="P2626" s="173" t="n"/>
    </row>
    <row r="2627" ht="18.75" customHeight="1">
      <c r="A2627" s="173" t="n"/>
      <c r="B2627" s="186" t="n"/>
      <c r="G2627" s="187" t="n"/>
      <c r="H2627" s="173" t="n"/>
      <c r="I2627" s="173" t="n"/>
      <c r="J2627" s="186" t="n"/>
      <c r="O2627" s="187" t="n"/>
      <c r="P2627" s="173" t="n"/>
    </row>
    <row r="2628" ht="18.75" customHeight="1">
      <c r="A2628" s="173" t="n"/>
      <c r="B2628" s="188" t="n"/>
      <c r="C2628" s="189" t="n"/>
      <c r="D2628" s="189" t="n"/>
      <c r="E2628" s="189" t="n"/>
      <c r="F2628" s="189" t="n"/>
      <c r="G2628" s="190" t="n"/>
      <c r="H2628" s="173" t="n"/>
      <c r="I2628" s="173" t="n"/>
      <c r="J2628" s="188" t="n"/>
      <c r="K2628" s="189" t="n"/>
      <c r="L2628" s="189" t="n"/>
      <c r="M2628" s="189" t="n"/>
      <c r="N2628" s="189" t="n"/>
      <c r="O2628" s="190" t="n"/>
      <c r="P2628" s="173" t="n"/>
    </row>
    <row r="2629" ht="18.75" customHeight="1">
      <c r="A2629" s="173" t="n"/>
      <c r="B2629" s="173" t="n"/>
      <c r="C2629" s="173" t="n"/>
      <c r="D2629" s="173" t="n"/>
      <c r="E2629" s="173" t="n"/>
      <c r="F2629" s="173" t="n"/>
      <c r="G2629" s="173" t="n"/>
      <c r="H2629" s="173" t="n"/>
      <c r="I2629" s="173" t="n"/>
      <c r="J2629" s="173" t="n"/>
      <c r="K2629" s="173" t="n"/>
      <c r="L2629" s="173" t="n"/>
      <c r="M2629" s="173" t="n"/>
      <c r="N2629" s="173" t="n"/>
      <c r="O2629" s="173" t="n"/>
      <c r="P2629" s="173" t="n"/>
    </row>
    <row r="2630" ht="18.75" customHeight="1">
      <c r="A2630" s="173" t="n"/>
      <c r="B2630" s="177" t="inlineStr">
        <is>
          <t>EFEITO</t>
        </is>
      </c>
      <c r="C2630" s="178" t="n"/>
      <c r="D2630" s="178" t="n"/>
      <c r="E2630" s="178" t="n"/>
      <c r="F2630" s="178" t="n"/>
      <c r="G2630" s="179" t="n"/>
      <c r="H2630" s="173" t="n"/>
      <c r="I2630" s="173" t="n"/>
      <c r="J2630" s="177" t="inlineStr">
        <is>
          <t>EFEITO</t>
        </is>
      </c>
      <c r="K2630" s="178" t="n"/>
      <c r="L2630" s="178" t="n"/>
      <c r="M2630" s="178" t="n"/>
      <c r="N2630" s="178" t="n"/>
      <c r="O2630" s="179" t="n"/>
      <c r="P2630" s="173" t="n"/>
    </row>
    <row r="2631" ht="18.75" customHeight="1">
      <c r="A2631" s="173" t="n"/>
      <c r="B2631" s="183" t="n"/>
      <c r="C2631" s="184" t="n"/>
      <c r="D2631" s="184" t="n"/>
      <c r="E2631" s="184" t="n"/>
      <c r="F2631" s="184" t="n"/>
      <c r="G2631" s="185" t="n"/>
      <c r="H2631" s="173" t="n"/>
      <c r="I2631" s="173" t="n"/>
      <c r="J2631" s="183" t="n"/>
      <c r="K2631" s="184" t="n"/>
      <c r="L2631" s="184" t="n"/>
      <c r="M2631" s="184" t="n"/>
      <c r="N2631" s="184" t="n"/>
      <c r="O2631" s="185" t="n"/>
      <c r="P2631" s="173" t="n"/>
    </row>
    <row r="2632" ht="18.75" customHeight="1">
      <c r="A2632" s="173" t="n"/>
      <c r="B2632" s="186" t="n"/>
      <c r="G2632" s="187" t="n"/>
      <c r="H2632" s="173" t="n"/>
      <c r="I2632" s="173" t="n"/>
      <c r="J2632" s="186" t="n"/>
      <c r="O2632" s="187" t="n"/>
      <c r="P2632" s="173" t="n"/>
    </row>
    <row r="2633" ht="18.75" customHeight="1">
      <c r="A2633" s="173" t="n"/>
      <c r="B2633" s="186" t="n"/>
      <c r="G2633" s="187" t="n"/>
      <c r="H2633" s="173" t="n"/>
      <c r="I2633" s="173" t="n"/>
      <c r="J2633" s="186" t="n"/>
      <c r="O2633" s="187" t="n"/>
      <c r="P2633" s="173" t="n"/>
    </row>
    <row r="2634" ht="18.75" customHeight="1">
      <c r="A2634" s="173" t="n"/>
      <c r="B2634" s="186" t="n"/>
      <c r="G2634" s="187" t="n"/>
      <c r="H2634" s="173" t="n"/>
      <c r="I2634" s="173" t="n"/>
      <c r="J2634" s="186" t="n"/>
      <c r="O2634" s="187" t="n"/>
      <c r="P2634" s="173" t="n"/>
    </row>
    <row r="2635" ht="18.75" customHeight="1">
      <c r="A2635" s="173" t="n"/>
      <c r="B2635" s="186" t="n"/>
      <c r="G2635" s="187" t="n"/>
      <c r="H2635" s="173" t="n"/>
      <c r="I2635" s="173" t="n"/>
      <c r="J2635" s="186" t="n"/>
      <c r="O2635" s="187" t="n"/>
      <c r="P2635" s="173" t="n"/>
    </row>
    <row r="2636" ht="18.75" customHeight="1">
      <c r="A2636" s="173" t="n"/>
      <c r="B2636" s="186" t="n"/>
      <c r="G2636" s="187" t="n"/>
      <c r="H2636" s="173" t="n"/>
      <c r="I2636" s="173" t="n"/>
      <c r="J2636" s="186" t="n"/>
      <c r="O2636" s="187" t="n"/>
      <c r="P2636" s="173" t="n"/>
    </row>
    <row r="2637" ht="18.75" customHeight="1">
      <c r="A2637" s="173" t="n"/>
      <c r="B2637" s="186" t="n"/>
      <c r="G2637" s="187" t="n"/>
      <c r="H2637" s="173" t="n"/>
      <c r="I2637" s="173" t="n"/>
      <c r="J2637" s="186" t="n"/>
      <c r="O2637" s="187" t="n"/>
      <c r="P2637" s="173" t="n"/>
    </row>
    <row r="2638" ht="18.75" customHeight="1">
      <c r="A2638" s="173" t="n"/>
      <c r="B2638" s="188" t="n"/>
      <c r="C2638" s="189" t="n"/>
      <c r="D2638" s="189" t="n"/>
      <c r="E2638" s="189" t="n"/>
      <c r="F2638" s="189" t="n"/>
      <c r="G2638" s="190" t="n"/>
      <c r="H2638" s="173" t="n"/>
      <c r="I2638" s="173" t="n"/>
      <c r="J2638" s="188" t="n"/>
      <c r="K2638" s="189" t="n"/>
      <c r="L2638" s="189" t="n"/>
      <c r="M2638" s="189" t="n"/>
      <c r="N2638" s="189" t="n"/>
      <c r="O2638" s="190" t="n"/>
      <c r="P2638" s="173" t="n"/>
    </row>
    <row r="2639" ht="18.75" customHeight="1">
      <c r="A2639" s="173" t="n"/>
      <c r="B2639" s="173" t="n"/>
      <c r="C2639" s="173" t="n"/>
      <c r="D2639" s="173" t="n"/>
      <c r="E2639" s="173" t="n"/>
      <c r="F2639" s="173" t="n"/>
      <c r="G2639" s="173" t="n"/>
      <c r="H2639" s="173" t="n"/>
      <c r="I2639" s="173" t="n"/>
      <c r="J2639" s="173" t="n"/>
      <c r="K2639" s="173" t="n"/>
      <c r="L2639" s="173" t="n"/>
      <c r="M2639" s="173" t="n"/>
      <c r="N2639" s="173" t="n"/>
      <c r="O2639" s="173" t="n"/>
      <c r="P2639" s="173" t="n"/>
    </row>
    <row r="2640" ht="18.75" customHeight="1">
      <c r="A2640" s="173" t="n"/>
      <c r="B2640" s="175">
        <f>IF('DADOS_ENTIDADES'!$AG$8="","","⚠ "&amp;'DADOS_ENTIDADES'!$AG$8)</f>
        <v/>
      </c>
      <c r="H2640" s="173" t="n"/>
      <c r="I2640" s="173" t="n"/>
      <c r="J2640" s="175">
        <f>IF('DADOS_ENTIDADES'!$AG$9="","","⚠ "&amp;'DADOS_ENTIDADES'!$AG$9)</f>
        <v/>
      </c>
      <c r="P2640" s="173" t="n"/>
    </row>
    <row r="2641" ht="18.75" customHeight="1">
      <c r="A2641" s="173" t="n"/>
      <c r="H2641" s="173" t="n"/>
      <c r="I2641" s="173" t="n"/>
      <c r="P2641" s="173" t="n"/>
    </row>
    <row r="2642" ht="18.75" customHeight="1">
      <c r="A2642" s="173" t="n"/>
      <c r="B2642" s="176" t="inlineStr">
        <is>
          <t>TALENTO · ENTIDADE · 9</t>
        </is>
      </c>
      <c r="H2642" s="173" t="n"/>
      <c r="I2642" s="173" t="n"/>
      <c r="J2642" s="176" t="inlineStr">
        <is>
          <t>TALENTO · ENTIDADE · 10</t>
        </is>
      </c>
      <c r="P2642" s="173" t="n"/>
    </row>
    <row r="2643" ht="18.75" customHeight="1">
      <c r="A2643" s="173" t="n"/>
      <c r="B2643" s="177" t="inlineStr">
        <is>
          <t>NOME</t>
        </is>
      </c>
      <c r="C2643" s="178" t="n"/>
      <c r="D2643" s="178" t="n"/>
      <c r="E2643" s="179" t="n"/>
      <c r="F2643" s="177" t="inlineStr">
        <is>
          <t>MESTRE VIU</t>
        </is>
      </c>
      <c r="G2643" s="179" t="n"/>
      <c r="H2643" s="173" t="n"/>
      <c r="I2643" s="173" t="n"/>
      <c r="J2643" s="177" t="inlineStr">
        <is>
          <t>NOME</t>
        </is>
      </c>
      <c r="K2643" s="178" t="n"/>
      <c r="L2643" s="178" t="n"/>
      <c r="M2643" s="179" t="n"/>
      <c r="N2643" s="177" t="inlineStr">
        <is>
          <t>MESTRE VIU</t>
        </is>
      </c>
      <c r="O2643" s="179" t="n"/>
      <c r="P2643" s="173" t="n"/>
    </row>
    <row r="2644" ht="18.75" customHeight="1">
      <c r="A2644" s="173" t="n"/>
      <c r="B2644" s="181" t="n"/>
      <c r="C2644" s="178" t="n"/>
      <c r="D2644" s="178" t="n"/>
      <c r="E2644" s="179" t="n"/>
      <c r="F2644" s="180" t="b">
        <v>0</v>
      </c>
      <c r="G2644" s="179" t="n"/>
      <c r="H2644" s="173" t="n"/>
      <c r="I2644" s="173" t="n"/>
      <c r="J2644" s="181" t="n"/>
      <c r="K2644" s="178" t="n"/>
      <c r="L2644" s="178" t="n"/>
      <c r="M2644" s="179" t="n"/>
      <c r="N2644" s="180" t="b">
        <v>0</v>
      </c>
      <c r="O2644" s="179" t="n"/>
      <c r="P2644" s="173" t="n"/>
    </row>
    <row r="2645" ht="18.75" customHeight="1">
      <c r="A2645" s="173" t="n"/>
      <c r="B2645" s="173" t="n"/>
      <c r="C2645" s="173" t="n"/>
      <c r="D2645" s="173" t="n"/>
      <c r="E2645" s="173" t="n"/>
      <c r="F2645" s="173" t="n"/>
      <c r="G2645" s="173" t="n"/>
      <c r="H2645" s="173" t="n"/>
      <c r="I2645" s="173" t="n"/>
      <c r="J2645" s="173" t="n"/>
      <c r="K2645" s="173" t="n"/>
      <c r="L2645" s="173" t="n"/>
      <c r="M2645" s="173" t="n"/>
      <c r="N2645" s="173" t="n"/>
      <c r="O2645" s="173" t="n"/>
      <c r="P2645" s="173" t="n"/>
    </row>
    <row r="2646" ht="18.75" customHeight="1">
      <c r="A2646" s="173" t="n"/>
      <c r="B2646" s="177" t="inlineStr">
        <is>
          <t>BASE DO LIVRO</t>
        </is>
      </c>
      <c r="C2646" s="178" t="n"/>
      <c r="D2646" s="179" t="n"/>
      <c r="E2646" s="181" t="inlineStr">
        <is>
          <t>Nenhuma</t>
        </is>
      </c>
      <c r="F2646" s="178" t="n"/>
      <c r="G2646" s="179" t="n"/>
      <c r="H2646" s="173" t="n"/>
      <c r="I2646" s="173" t="n"/>
      <c r="J2646" s="177" t="inlineStr">
        <is>
          <t>BASE DO LIVRO</t>
        </is>
      </c>
      <c r="K2646" s="178" t="n"/>
      <c r="L2646" s="179" t="n"/>
      <c r="M2646" s="181" t="inlineStr">
        <is>
          <t>Nenhuma</t>
        </is>
      </c>
      <c r="N2646" s="178" t="n"/>
      <c r="O2646" s="179" t="n"/>
      <c r="P2646" s="173" t="n"/>
    </row>
    <row r="2647" ht="18.75" customHeight="1">
      <c r="A2647" s="173" t="n"/>
      <c r="B2647" s="177" t="inlineStr">
        <is>
          <t>CATEGORIA DE EFEITO</t>
        </is>
      </c>
      <c r="C2647" s="178" t="n"/>
      <c r="D2647" s="179" t="n"/>
      <c r="E2647" s="181" t="n"/>
      <c r="F2647" s="178" t="n"/>
      <c r="G2647" s="179" t="n"/>
      <c r="H2647" s="173" t="n"/>
      <c r="I2647" s="173" t="n"/>
      <c r="J2647" s="177" t="inlineStr">
        <is>
          <t>CATEGORIA DE EFEITO</t>
        </is>
      </c>
      <c r="K2647" s="178" t="n"/>
      <c r="L2647" s="179" t="n"/>
      <c r="M2647" s="181" t="n"/>
      <c r="N2647" s="178" t="n"/>
      <c r="O2647" s="179" t="n"/>
      <c r="P2647" s="173" t="n"/>
    </row>
    <row r="2648" ht="18.75" customHeight="1">
      <c r="A2648" s="173" t="n"/>
      <c r="B2648" s="173" t="n"/>
      <c r="C2648" s="173" t="n"/>
      <c r="D2648" s="173" t="n"/>
      <c r="E2648" s="173" t="n"/>
      <c r="F2648" s="173" t="n"/>
      <c r="G2648" s="173" t="n"/>
      <c r="H2648" s="173" t="n"/>
      <c r="I2648" s="173" t="n"/>
      <c r="J2648" s="173" t="n"/>
      <c r="K2648" s="173" t="n"/>
      <c r="L2648" s="173" t="n"/>
      <c r="M2648" s="173" t="n"/>
      <c r="N2648" s="173" t="n"/>
      <c r="O2648" s="173" t="n"/>
      <c r="P2648" s="173" t="n"/>
    </row>
    <row r="2649" ht="18.75" customHeight="1">
      <c r="A2649" s="173" t="n"/>
      <c r="B2649" s="173" t="n"/>
      <c r="C2649" s="173" t="n"/>
      <c r="D2649" s="173" t="n"/>
      <c r="E2649" s="173" t="n"/>
      <c r="F2649" s="173" t="n"/>
      <c r="G2649" s="173" t="n"/>
      <c r="H2649" s="173" t="n"/>
      <c r="I2649" s="173" t="n"/>
      <c r="J2649" s="173" t="n"/>
      <c r="K2649" s="173" t="n"/>
      <c r="L2649" s="173" t="n"/>
      <c r="M2649" s="173" t="n"/>
      <c r="N2649" s="173" t="n"/>
      <c r="O2649" s="173" t="n"/>
      <c r="P2649" s="173" t="n"/>
    </row>
    <row r="2650" ht="18.75" customHeight="1">
      <c r="A2650" s="173" t="n"/>
      <c r="B2650" s="173" t="n"/>
      <c r="C2650" s="173" t="n"/>
      <c r="D2650" s="173" t="n"/>
      <c r="E2650" s="173" t="n"/>
      <c r="F2650" s="173" t="n"/>
      <c r="G2650" s="173" t="n"/>
      <c r="H2650" s="173" t="n"/>
      <c r="I2650" s="173" t="n"/>
      <c r="J2650" s="173" t="n"/>
      <c r="K2650" s="173" t="n"/>
      <c r="L2650" s="173" t="n"/>
      <c r="M2650" s="173" t="n"/>
      <c r="N2650" s="173" t="n"/>
      <c r="O2650" s="173" t="n"/>
      <c r="P2650" s="173" t="n"/>
    </row>
    <row r="2651" ht="18.75" customHeight="1">
      <c r="A2651" s="173" t="n"/>
      <c r="B2651" s="173" t="n"/>
      <c r="C2651" s="173" t="n"/>
      <c r="D2651" s="173" t="n"/>
      <c r="E2651" s="173" t="n"/>
      <c r="F2651" s="173" t="n"/>
      <c r="G2651" s="173" t="n"/>
      <c r="H2651" s="173" t="n"/>
      <c r="I2651" s="173" t="n"/>
      <c r="J2651" s="173" t="n"/>
      <c r="K2651" s="173" t="n"/>
      <c r="L2651" s="173" t="n"/>
      <c r="M2651" s="173" t="n"/>
      <c r="N2651" s="173" t="n"/>
      <c r="O2651" s="173" t="n"/>
      <c r="P2651" s="173" t="n"/>
    </row>
    <row r="2652" ht="18.75" customHeight="1">
      <c r="A2652" s="173" t="n"/>
      <c r="B2652" s="173" t="n"/>
      <c r="C2652" s="173" t="n"/>
      <c r="D2652" s="173" t="n"/>
      <c r="E2652" s="173" t="n"/>
      <c r="F2652" s="173" t="n"/>
      <c r="G2652" s="173" t="n"/>
      <c r="H2652" s="173" t="n"/>
      <c r="I2652" s="173" t="n"/>
      <c r="J2652" s="173" t="n"/>
      <c r="K2652" s="173" t="n"/>
      <c r="L2652" s="173" t="n"/>
      <c r="M2652" s="173" t="n"/>
      <c r="N2652" s="173" t="n"/>
      <c r="O2652" s="173" t="n"/>
      <c r="P2652" s="173" t="n"/>
    </row>
    <row r="2653" ht="18.75" customHeight="1">
      <c r="A2653" s="173" t="n"/>
      <c r="B2653" s="177" t="inlineStr">
        <is>
          <t>REQUISITOS</t>
        </is>
      </c>
      <c r="C2653" s="178" t="n"/>
      <c r="D2653" s="178" t="n"/>
      <c r="E2653" s="178" t="n"/>
      <c r="F2653" s="178" t="n"/>
      <c r="G2653" s="179" t="n"/>
      <c r="H2653" s="173" t="n"/>
      <c r="I2653" s="173" t="n"/>
      <c r="J2653" s="177" t="inlineStr">
        <is>
          <t>REQUISITOS</t>
        </is>
      </c>
      <c r="K2653" s="178" t="n"/>
      <c r="L2653" s="178" t="n"/>
      <c r="M2653" s="178" t="n"/>
      <c r="N2653" s="178" t="n"/>
      <c r="O2653" s="179" t="n"/>
      <c r="P2653" s="173" t="n"/>
    </row>
    <row r="2654" ht="18.75" customHeight="1">
      <c r="A2654" s="173" t="n"/>
      <c r="B2654" s="183" t="n"/>
      <c r="C2654" s="184" t="n"/>
      <c r="D2654" s="184" t="n"/>
      <c r="E2654" s="184" t="n"/>
      <c r="F2654" s="184" t="n"/>
      <c r="G2654" s="185" t="n"/>
      <c r="H2654" s="173" t="n"/>
      <c r="I2654" s="173" t="n"/>
      <c r="J2654" s="183" t="n"/>
      <c r="K2654" s="184" t="n"/>
      <c r="L2654" s="184" t="n"/>
      <c r="M2654" s="184" t="n"/>
      <c r="N2654" s="184" t="n"/>
      <c r="O2654" s="185" t="n"/>
      <c r="P2654" s="173" t="n"/>
    </row>
    <row r="2655" ht="18.75" customHeight="1">
      <c r="A2655" s="173" t="n"/>
      <c r="B2655" s="186" t="n"/>
      <c r="G2655" s="187" t="n"/>
      <c r="H2655" s="173" t="n"/>
      <c r="I2655" s="173" t="n"/>
      <c r="J2655" s="186" t="n"/>
      <c r="O2655" s="187" t="n"/>
      <c r="P2655" s="173" t="n"/>
    </row>
    <row r="2656" ht="18.75" customHeight="1">
      <c r="A2656" s="173" t="n"/>
      <c r="B2656" s="188" t="n"/>
      <c r="C2656" s="189" t="n"/>
      <c r="D2656" s="189" t="n"/>
      <c r="E2656" s="189" t="n"/>
      <c r="F2656" s="189" t="n"/>
      <c r="G2656" s="190" t="n"/>
      <c r="H2656" s="173" t="n"/>
      <c r="I2656" s="173" t="n"/>
      <c r="J2656" s="188" t="n"/>
      <c r="K2656" s="189" t="n"/>
      <c r="L2656" s="189" t="n"/>
      <c r="M2656" s="189" t="n"/>
      <c r="N2656" s="189" t="n"/>
      <c r="O2656" s="190" t="n"/>
      <c r="P2656" s="173" t="n"/>
    </row>
    <row r="2657" ht="18.75" customHeight="1">
      <c r="A2657" s="173" t="n"/>
      <c r="B2657" s="173" t="n"/>
      <c r="C2657" s="173" t="n"/>
      <c r="D2657" s="173" t="n"/>
      <c r="E2657" s="173" t="n"/>
      <c r="F2657" s="173" t="n"/>
      <c r="G2657" s="173" t="n"/>
      <c r="H2657" s="173" t="n"/>
      <c r="I2657" s="173" t="n"/>
      <c r="J2657" s="173" t="n"/>
      <c r="K2657" s="173" t="n"/>
      <c r="L2657" s="173" t="n"/>
      <c r="M2657" s="173" t="n"/>
      <c r="N2657" s="173" t="n"/>
      <c r="O2657" s="173" t="n"/>
      <c r="P2657" s="173" t="n"/>
    </row>
    <row r="2658" ht="18.75" customHeight="1">
      <c r="A2658" s="173" t="n"/>
      <c r="B2658" s="177" t="inlineStr">
        <is>
          <t>EFEITO</t>
        </is>
      </c>
      <c r="C2658" s="178" t="n"/>
      <c r="D2658" s="178" t="n"/>
      <c r="E2658" s="178" t="n"/>
      <c r="F2658" s="178" t="n"/>
      <c r="G2658" s="179" t="n"/>
      <c r="H2658" s="173" t="n"/>
      <c r="I2658" s="173" t="n"/>
      <c r="J2658" s="177" t="inlineStr">
        <is>
          <t>EFEITO</t>
        </is>
      </c>
      <c r="K2658" s="178" t="n"/>
      <c r="L2658" s="178" t="n"/>
      <c r="M2658" s="178" t="n"/>
      <c r="N2658" s="178" t="n"/>
      <c r="O2658" s="179" t="n"/>
      <c r="P2658" s="173" t="n"/>
    </row>
    <row r="2659" ht="18.75" customHeight="1">
      <c r="A2659" s="173" t="n"/>
      <c r="B2659" s="183" t="n"/>
      <c r="C2659" s="184" t="n"/>
      <c r="D2659" s="184" t="n"/>
      <c r="E2659" s="184" t="n"/>
      <c r="F2659" s="184" t="n"/>
      <c r="G2659" s="185" t="n"/>
      <c r="H2659" s="173" t="n"/>
      <c r="I2659" s="173" t="n"/>
      <c r="J2659" s="183" t="n"/>
      <c r="K2659" s="184" t="n"/>
      <c r="L2659" s="184" t="n"/>
      <c r="M2659" s="184" t="n"/>
      <c r="N2659" s="184" t="n"/>
      <c r="O2659" s="185" t="n"/>
      <c r="P2659" s="173" t="n"/>
    </row>
    <row r="2660" ht="18.75" customHeight="1">
      <c r="A2660" s="173" t="n"/>
      <c r="B2660" s="186" t="n"/>
      <c r="G2660" s="187" t="n"/>
      <c r="H2660" s="173" t="n"/>
      <c r="I2660" s="173" t="n"/>
      <c r="J2660" s="186" t="n"/>
      <c r="O2660" s="187" t="n"/>
      <c r="P2660" s="173" t="n"/>
    </row>
    <row r="2661" ht="18.75" customHeight="1">
      <c r="A2661" s="173" t="n"/>
      <c r="B2661" s="186" t="n"/>
      <c r="G2661" s="187" t="n"/>
      <c r="H2661" s="173" t="n"/>
      <c r="I2661" s="173" t="n"/>
      <c r="J2661" s="186" t="n"/>
      <c r="O2661" s="187" t="n"/>
      <c r="P2661" s="173" t="n"/>
    </row>
    <row r="2662" ht="18.75" customHeight="1">
      <c r="A2662" s="173" t="n"/>
      <c r="B2662" s="186" t="n"/>
      <c r="G2662" s="187" t="n"/>
      <c r="H2662" s="173" t="n"/>
      <c r="I2662" s="173" t="n"/>
      <c r="J2662" s="186" t="n"/>
      <c r="O2662" s="187" t="n"/>
      <c r="P2662" s="173" t="n"/>
    </row>
    <row r="2663" ht="18.75" customHeight="1">
      <c r="A2663" s="173" t="n"/>
      <c r="B2663" s="186" t="n"/>
      <c r="G2663" s="187" t="n"/>
      <c r="H2663" s="173" t="n"/>
      <c r="I2663" s="173" t="n"/>
      <c r="J2663" s="186" t="n"/>
      <c r="O2663" s="187" t="n"/>
      <c r="P2663" s="173" t="n"/>
    </row>
    <row r="2664" ht="18.75" customHeight="1">
      <c r="A2664" s="173" t="n"/>
      <c r="B2664" s="186" t="n"/>
      <c r="G2664" s="187" t="n"/>
      <c r="H2664" s="173" t="n"/>
      <c r="I2664" s="173" t="n"/>
      <c r="J2664" s="186" t="n"/>
      <c r="O2664" s="187" t="n"/>
      <c r="P2664" s="173" t="n"/>
    </row>
    <row r="2665" ht="18.75" customHeight="1">
      <c r="A2665" s="173" t="n"/>
      <c r="B2665" s="186" t="n"/>
      <c r="G2665" s="187" t="n"/>
      <c r="H2665" s="173" t="n"/>
      <c r="I2665" s="173" t="n"/>
      <c r="J2665" s="186" t="n"/>
      <c r="O2665" s="187" t="n"/>
      <c r="P2665" s="173" t="n"/>
    </row>
    <row r="2666" ht="18.75" customHeight="1">
      <c r="A2666" s="173" t="n"/>
      <c r="B2666" s="188" t="n"/>
      <c r="C2666" s="189" t="n"/>
      <c r="D2666" s="189" t="n"/>
      <c r="E2666" s="189" t="n"/>
      <c r="F2666" s="189" t="n"/>
      <c r="G2666" s="190" t="n"/>
      <c r="H2666" s="173" t="n"/>
      <c r="I2666" s="173" t="n"/>
      <c r="J2666" s="188" t="n"/>
      <c r="K2666" s="189" t="n"/>
      <c r="L2666" s="189" t="n"/>
      <c r="M2666" s="189" t="n"/>
      <c r="N2666" s="189" t="n"/>
      <c r="O2666" s="190" t="n"/>
      <c r="P2666" s="173" t="n"/>
    </row>
    <row r="2667" ht="18.75" customHeight="1">
      <c r="A2667" s="173" t="n"/>
      <c r="B2667" s="173" t="n"/>
      <c r="C2667" s="173" t="n"/>
      <c r="D2667" s="173" t="n"/>
      <c r="E2667" s="173" t="n"/>
      <c r="F2667" s="173" t="n"/>
      <c r="G2667" s="173" t="n"/>
      <c r="H2667" s="173" t="n"/>
      <c r="I2667" s="173" t="n"/>
      <c r="J2667" s="173" t="n"/>
      <c r="K2667" s="173" t="n"/>
      <c r="L2667" s="173" t="n"/>
      <c r="M2667" s="173" t="n"/>
      <c r="N2667" s="173" t="n"/>
      <c r="O2667" s="173" t="n"/>
      <c r="P2667" s="173" t="n"/>
    </row>
    <row r="2668" ht="18.75" customHeight="1">
      <c r="A2668" s="173" t="n"/>
      <c r="B2668" s="175">
        <f>IF('DADOS_ENTIDADES'!$AG$10="","","⚠ "&amp;'DADOS_ENTIDADES'!$AG$10)</f>
        <v/>
      </c>
      <c r="H2668" s="173" t="n"/>
      <c r="I2668" s="173" t="n"/>
      <c r="J2668" s="175">
        <f>IF('DADOS_ENTIDADES'!$AG$11="","","⚠ "&amp;'DADOS_ENTIDADES'!$AG$11)</f>
        <v/>
      </c>
      <c r="P2668" s="173" t="n"/>
    </row>
    <row r="2669" ht="18.75" customHeight="1">
      <c r="A2669" s="173" t="n"/>
      <c r="H2669" s="173" t="n"/>
      <c r="I2669" s="173" t="n"/>
      <c r="P2669" s="173" t="n"/>
    </row>
    <row r="2670" ht="18.75" customHeight="1">
      <c r="A2670" s="173" t="n"/>
      <c r="B2670" s="176" t="inlineStr">
        <is>
          <t>TALENTO · ENTIDADE · 11</t>
        </is>
      </c>
      <c r="H2670" s="173" t="n"/>
      <c r="I2670" s="173" t="n"/>
      <c r="J2670" s="176" t="inlineStr">
        <is>
          <t>TALENTO · ENTIDADE · 12</t>
        </is>
      </c>
      <c r="P2670" s="173" t="n"/>
    </row>
    <row r="2671" ht="18.75" customHeight="1">
      <c r="A2671" s="173" t="n"/>
      <c r="B2671" s="177" t="inlineStr">
        <is>
          <t>NOME</t>
        </is>
      </c>
      <c r="C2671" s="178" t="n"/>
      <c r="D2671" s="178" t="n"/>
      <c r="E2671" s="179" t="n"/>
      <c r="F2671" s="177" t="inlineStr">
        <is>
          <t>MESTRE VIU</t>
        </is>
      </c>
      <c r="G2671" s="179" t="n"/>
      <c r="H2671" s="173" t="n"/>
      <c r="I2671" s="173" t="n"/>
      <c r="J2671" s="177" t="inlineStr">
        <is>
          <t>NOME</t>
        </is>
      </c>
      <c r="K2671" s="178" t="n"/>
      <c r="L2671" s="178" t="n"/>
      <c r="M2671" s="179" t="n"/>
      <c r="N2671" s="177" t="inlineStr">
        <is>
          <t>MESTRE VIU</t>
        </is>
      </c>
      <c r="O2671" s="179" t="n"/>
      <c r="P2671" s="173" t="n"/>
    </row>
    <row r="2672" ht="18.75" customHeight="1">
      <c r="A2672" s="173" t="n"/>
      <c r="B2672" s="181" t="n"/>
      <c r="C2672" s="178" t="n"/>
      <c r="D2672" s="178" t="n"/>
      <c r="E2672" s="179" t="n"/>
      <c r="F2672" s="180" t="b">
        <v>0</v>
      </c>
      <c r="G2672" s="179" t="n"/>
      <c r="H2672" s="173" t="n"/>
      <c r="I2672" s="173" t="n"/>
      <c r="J2672" s="181" t="n"/>
      <c r="K2672" s="178" t="n"/>
      <c r="L2672" s="178" t="n"/>
      <c r="M2672" s="179" t="n"/>
      <c r="N2672" s="180" t="b">
        <v>0</v>
      </c>
      <c r="O2672" s="179" t="n"/>
      <c r="P2672" s="173" t="n"/>
    </row>
    <row r="2673" ht="18.75" customHeight="1">
      <c r="A2673" s="173" t="n"/>
      <c r="B2673" s="173" t="n"/>
      <c r="C2673" s="173" t="n"/>
      <c r="D2673" s="173" t="n"/>
      <c r="E2673" s="173" t="n"/>
      <c r="F2673" s="173" t="n"/>
      <c r="G2673" s="173" t="n"/>
      <c r="H2673" s="173" t="n"/>
      <c r="I2673" s="173" t="n"/>
      <c r="J2673" s="173" t="n"/>
      <c r="K2673" s="173" t="n"/>
      <c r="L2673" s="173" t="n"/>
      <c r="M2673" s="173" t="n"/>
      <c r="N2673" s="173" t="n"/>
      <c r="O2673" s="173" t="n"/>
      <c r="P2673" s="173" t="n"/>
    </row>
    <row r="2674" ht="18.75" customHeight="1">
      <c r="A2674" s="173" t="n"/>
      <c r="B2674" s="177" t="inlineStr">
        <is>
          <t>BASE DO LIVRO</t>
        </is>
      </c>
      <c r="C2674" s="178" t="n"/>
      <c r="D2674" s="179" t="n"/>
      <c r="E2674" s="181" t="inlineStr">
        <is>
          <t>Nenhuma</t>
        </is>
      </c>
      <c r="F2674" s="178" t="n"/>
      <c r="G2674" s="179" t="n"/>
      <c r="H2674" s="173" t="n"/>
      <c r="I2674" s="173" t="n"/>
      <c r="J2674" s="177" t="inlineStr">
        <is>
          <t>BASE DO LIVRO</t>
        </is>
      </c>
      <c r="K2674" s="178" t="n"/>
      <c r="L2674" s="179" t="n"/>
      <c r="M2674" s="181" t="inlineStr">
        <is>
          <t>Nenhuma</t>
        </is>
      </c>
      <c r="N2674" s="178" t="n"/>
      <c r="O2674" s="179" t="n"/>
      <c r="P2674" s="173" t="n"/>
    </row>
    <row r="2675" ht="18.75" customHeight="1">
      <c r="A2675" s="173" t="n"/>
      <c r="B2675" s="177" t="inlineStr">
        <is>
          <t>CATEGORIA DE EFEITO</t>
        </is>
      </c>
      <c r="C2675" s="178" t="n"/>
      <c r="D2675" s="179" t="n"/>
      <c r="E2675" s="181" t="n"/>
      <c r="F2675" s="178" t="n"/>
      <c r="G2675" s="179" t="n"/>
      <c r="H2675" s="173" t="n"/>
      <c r="I2675" s="173" t="n"/>
      <c r="J2675" s="177" t="inlineStr">
        <is>
          <t>CATEGORIA DE EFEITO</t>
        </is>
      </c>
      <c r="K2675" s="178" t="n"/>
      <c r="L2675" s="179" t="n"/>
      <c r="M2675" s="181" t="n"/>
      <c r="N2675" s="178" t="n"/>
      <c r="O2675" s="179" t="n"/>
      <c r="P2675" s="173" t="n"/>
    </row>
    <row r="2676" ht="18.75" customHeight="1">
      <c r="A2676" s="173" t="n"/>
      <c r="B2676" s="173" t="n"/>
      <c r="C2676" s="173" t="n"/>
      <c r="D2676" s="173" t="n"/>
      <c r="E2676" s="173" t="n"/>
      <c r="F2676" s="173" t="n"/>
      <c r="G2676" s="173" t="n"/>
      <c r="H2676" s="173" t="n"/>
      <c r="I2676" s="173" t="n"/>
      <c r="J2676" s="173" t="n"/>
      <c r="K2676" s="173" t="n"/>
      <c r="L2676" s="173" t="n"/>
      <c r="M2676" s="173" t="n"/>
      <c r="N2676" s="173" t="n"/>
      <c r="O2676" s="173" t="n"/>
      <c r="P2676" s="173" t="n"/>
    </row>
    <row r="2677" ht="18.75" customHeight="1">
      <c r="A2677" s="173" t="n"/>
      <c r="B2677" s="173" t="n"/>
      <c r="C2677" s="173" t="n"/>
      <c r="D2677" s="173" t="n"/>
      <c r="E2677" s="173" t="n"/>
      <c r="F2677" s="173" t="n"/>
      <c r="G2677" s="173" t="n"/>
      <c r="H2677" s="173" t="n"/>
      <c r="I2677" s="173" t="n"/>
      <c r="J2677" s="173" t="n"/>
      <c r="K2677" s="173" t="n"/>
      <c r="L2677" s="173" t="n"/>
      <c r="M2677" s="173" t="n"/>
      <c r="N2677" s="173" t="n"/>
      <c r="O2677" s="173" t="n"/>
      <c r="P2677" s="173" t="n"/>
    </row>
    <row r="2678" ht="18.75" customHeight="1">
      <c r="A2678" s="173" t="n"/>
      <c r="B2678" s="173" t="n"/>
      <c r="C2678" s="173" t="n"/>
      <c r="D2678" s="173" t="n"/>
      <c r="E2678" s="173" t="n"/>
      <c r="F2678" s="173" t="n"/>
      <c r="G2678" s="173" t="n"/>
      <c r="H2678" s="173" t="n"/>
      <c r="I2678" s="173" t="n"/>
      <c r="J2678" s="173" t="n"/>
      <c r="K2678" s="173" t="n"/>
      <c r="L2678" s="173" t="n"/>
      <c r="M2678" s="173" t="n"/>
      <c r="N2678" s="173" t="n"/>
      <c r="O2678" s="173" t="n"/>
      <c r="P2678" s="173" t="n"/>
    </row>
    <row r="2679" ht="18.75" customHeight="1">
      <c r="A2679" s="173" t="n"/>
      <c r="B2679" s="173" t="n"/>
      <c r="C2679" s="173" t="n"/>
      <c r="D2679" s="173" t="n"/>
      <c r="E2679" s="173" t="n"/>
      <c r="F2679" s="173" t="n"/>
      <c r="G2679" s="173" t="n"/>
      <c r="H2679" s="173" t="n"/>
      <c r="I2679" s="173" t="n"/>
      <c r="J2679" s="173" t="n"/>
      <c r="K2679" s="173" t="n"/>
      <c r="L2679" s="173" t="n"/>
      <c r="M2679" s="173" t="n"/>
      <c r="N2679" s="173" t="n"/>
      <c r="O2679" s="173" t="n"/>
      <c r="P2679" s="173" t="n"/>
    </row>
    <row r="2680" ht="18.75" customHeight="1">
      <c r="A2680" s="173" t="n"/>
      <c r="B2680" s="173" t="n"/>
      <c r="C2680" s="173" t="n"/>
      <c r="D2680" s="173" t="n"/>
      <c r="E2680" s="173" t="n"/>
      <c r="F2680" s="173" t="n"/>
      <c r="G2680" s="173" t="n"/>
      <c r="H2680" s="173" t="n"/>
      <c r="I2680" s="173" t="n"/>
      <c r="J2680" s="173" t="n"/>
      <c r="K2680" s="173" t="n"/>
      <c r="L2680" s="173" t="n"/>
      <c r="M2680" s="173" t="n"/>
      <c r="N2680" s="173" t="n"/>
      <c r="O2680" s="173" t="n"/>
      <c r="P2680" s="173" t="n"/>
    </row>
    <row r="2681" ht="18.75" customHeight="1">
      <c r="A2681" s="173" t="n"/>
      <c r="B2681" s="177" t="inlineStr">
        <is>
          <t>REQUISITOS</t>
        </is>
      </c>
      <c r="C2681" s="178" t="n"/>
      <c r="D2681" s="178" t="n"/>
      <c r="E2681" s="178" t="n"/>
      <c r="F2681" s="178" t="n"/>
      <c r="G2681" s="179" t="n"/>
      <c r="H2681" s="173" t="n"/>
      <c r="I2681" s="173" t="n"/>
      <c r="J2681" s="177" t="inlineStr">
        <is>
          <t>REQUISITOS</t>
        </is>
      </c>
      <c r="K2681" s="178" t="n"/>
      <c r="L2681" s="178" t="n"/>
      <c r="M2681" s="178" t="n"/>
      <c r="N2681" s="178" t="n"/>
      <c r="O2681" s="179" t="n"/>
      <c r="P2681" s="173" t="n"/>
    </row>
    <row r="2682" ht="18.75" customHeight="1">
      <c r="A2682" s="173" t="n"/>
      <c r="B2682" s="183" t="n"/>
      <c r="C2682" s="184" t="n"/>
      <c r="D2682" s="184" t="n"/>
      <c r="E2682" s="184" t="n"/>
      <c r="F2682" s="184" t="n"/>
      <c r="G2682" s="185" t="n"/>
      <c r="H2682" s="173" t="n"/>
      <c r="I2682" s="173" t="n"/>
      <c r="J2682" s="183" t="n"/>
      <c r="K2682" s="184" t="n"/>
      <c r="L2682" s="184" t="n"/>
      <c r="M2682" s="184" t="n"/>
      <c r="N2682" s="184" t="n"/>
      <c r="O2682" s="185" t="n"/>
      <c r="P2682" s="173" t="n"/>
    </row>
    <row r="2683" ht="18.75" customHeight="1">
      <c r="A2683" s="173" t="n"/>
      <c r="B2683" s="186" t="n"/>
      <c r="G2683" s="187" t="n"/>
      <c r="H2683" s="173" t="n"/>
      <c r="I2683" s="173" t="n"/>
      <c r="J2683" s="186" t="n"/>
      <c r="O2683" s="187" t="n"/>
      <c r="P2683" s="173" t="n"/>
    </row>
    <row r="2684" ht="18.75" customHeight="1">
      <c r="A2684" s="173" t="n"/>
      <c r="B2684" s="188" t="n"/>
      <c r="C2684" s="189" t="n"/>
      <c r="D2684" s="189" t="n"/>
      <c r="E2684" s="189" t="n"/>
      <c r="F2684" s="189" t="n"/>
      <c r="G2684" s="190" t="n"/>
      <c r="H2684" s="173" t="n"/>
      <c r="I2684" s="173" t="n"/>
      <c r="J2684" s="188" t="n"/>
      <c r="K2684" s="189" t="n"/>
      <c r="L2684" s="189" t="n"/>
      <c r="M2684" s="189" t="n"/>
      <c r="N2684" s="189" t="n"/>
      <c r="O2684" s="190" t="n"/>
      <c r="P2684" s="173" t="n"/>
    </row>
    <row r="2685" ht="18.75" customHeight="1">
      <c r="A2685" s="173" t="n"/>
      <c r="B2685" s="173" t="n"/>
      <c r="C2685" s="173" t="n"/>
      <c r="D2685" s="173" t="n"/>
      <c r="E2685" s="173" t="n"/>
      <c r="F2685" s="173" t="n"/>
      <c r="G2685" s="173" t="n"/>
      <c r="H2685" s="173" t="n"/>
      <c r="I2685" s="173" t="n"/>
      <c r="J2685" s="173" t="n"/>
      <c r="K2685" s="173" t="n"/>
      <c r="L2685" s="173" t="n"/>
      <c r="M2685" s="173" t="n"/>
      <c r="N2685" s="173" t="n"/>
      <c r="O2685" s="173" t="n"/>
      <c r="P2685" s="173" t="n"/>
    </row>
    <row r="2686" ht="18.75" customHeight="1">
      <c r="A2686" s="173" t="n"/>
      <c r="B2686" s="177" t="inlineStr">
        <is>
          <t>EFEITO</t>
        </is>
      </c>
      <c r="C2686" s="178" t="n"/>
      <c r="D2686" s="178" t="n"/>
      <c r="E2686" s="178" t="n"/>
      <c r="F2686" s="178" t="n"/>
      <c r="G2686" s="179" t="n"/>
      <c r="H2686" s="173" t="n"/>
      <c r="I2686" s="173" t="n"/>
      <c r="J2686" s="177" t="inlineStr">
        <is>
          <t>EFEITO</t>
        </is>
      </c>
      <c r="K2686" s="178" t="n"/>
      <c r="L2686" s="178" t="n"/>
      <c r="M2686" s="178" t="n"/>
      <c r="N2686" s="178" t="n"/>
      <c r="O2686" s="179" t="n"/>
      <c r="P2686" s="173" t="n"/>
    </row>
    <row r="2687" ht="18.75" customHeight="1">
      <c r="A2687" s="173" t="n"/>
      <c r="B2687" s="183" t="n"/>
      <c r="C2687" s="184" t="n"/>
      <c r="D2687" s="184" t="n"/>
      <c r="E2687" s="184" t="n"/>
      <c r="F2687" s="184" t="n"/>
      <c r="G2687" s="185" t="n"/>
      <c r="H2687" s="173" t="n"/>
      <c r="I2687" s="173" t="n"/>
      <c r="J2687" s="183" t="n"/>
      <c r="K2687" s="184" t="n"/>
      <c r="L2687" s="184" t="n"/>
      <c r="M2687" s="184" t="n"/>
      <c r="N2687" s="184" t="n"/>
      <c r="O2687" s="185" t="n"/>
      <c r="P2687" s="173" t="n"/>
    </row>
    <row r="2688" ht="18.75" customHeight="1">
      <c r="A2688" s="173" t="n"/>
      <c r="B2688" s="186" t="n"/>
      <c r="G2688" s="187" t="n"/>
      <c r="H2688" s="173" t="n"/>
      <c r="I2688" s="173" t="n"/>
      <c r="J2688" s="186" t="n"/>
      <c r="O2688" s="187" t="n"/>
      <c r="P2688" s="173" t="n"/>
    </row>
    <row r="2689" ht="18.75" customHeight="1">
      <c r="A2689" s="173" t="n"/>
      <c r="B2689" s="186" t="n"/>
      <c r="G2689" s="187" t="n"/>
      <c r="H2689" s="173" t="n"/>
      <c r="I2689" s="173" t="n"/>
      <c r="J2689" s="186" t="n"/>
      <c r="O2689" s="187" t="n"/>
      <c r="P2689" s="173" t="n"/>
    </row>
    <row r="2690" ht="18.75" customHeight="1">
      <c r="A2690" s="173" t="n"/>
      <c r="B2690" s="186" t="n"/>
      <c r="G2690" s="187" t="n"/>
      <c r="H2690" s="173" t="n"/>
      <c r="I2690" s="173" t="n"/>
      <c r="J2690" s="186" t="n"/>
      <c r="O2690" s="187" t="n"/>
      <c r="P2690" s="173" t="n"/>
    </row>
    <row r="2691" ht="18.75" customHeight="1">
      <c r="A2691" s="173" t="n"/>
      <c r="B2691" s="186" t="n"/>
      <c r="G2691" s="187" t="n"/>
      <c r="H2691" s="173" t="n"/>
      <c r="I2691" s="173" t="n"/>
      <c r="J2691" s="186" t="n"/>
      <c r="O2691" s="187" t="n"/>
      <c r="P2691" s="173" t="n"/>
    </row>
    <row r="2692" ht="18.75" customHeight="1">
      <c r="A2692" s="173" t="n"/>
      <c r="B2692" s="186" t="n"/>
      <c r="G2692" s="187" t="n"/>
      <c r="H2692" s="173" t="n"/>
      <c r="I2692" s="173" t="n"/>
      <c r="J2692" s="186" t="n"/>
      <c r="O2692" s="187" t="n"/>
      <c r="P2692" s="173" t="n"/>
    </row>
    <row r="2693" ht="18.75" customHeight="1">
      <c r="A2693" s="173" t="n"/>
      <c r="B2693" s="186" t="n"/>
      <c r="G2693" s="187" t="n"/>
      <c r="H2693" s="173" t="n"/>
      <c r="I2693" s="173" t="n"/>
      <c r="J2693" s="186" t="n"/>
      <c r="O2693" s="187" t="n"/>
      <c r="P2693" s="173" t="n"/>
    </row>
    <row r="2694" ht="18.75" customHeight="1">
      <c r="A2694" s="173" t="n"/>
      <c r="B2694" s="188" t="n"/>
      <c r="C2694" s="189" t="n"/>
      <c r="D2694" s="189" t="n"/>
      <c r="E2694" s="189" t="n"/>
      <c r="F2694" s="189" t="n"/>
      <c r="G2694" s="190" t="n"/>
      <c r="H2694" s="173" t="n"/>
      <c r="I2694" s="173" t="n"/>
      <c r="J2694" s="188" t="n"/>
      <c r="K2694" s="189" t="n"/>
      <c r="L2694" s="189" t="n"/>
      <c r="M2694" s="189" t="n"/>
      <c r="N2694" s="189" t="n"/>
      <c r="O2694" s="190" t="n"/>
      <c r="P2694" s="173" t="n"/>
    </row>
    <row r="2695" ht="18.75" customHeight="1">
      <c r="A2695" s="173" t="n"/>
      <c r="B2695" s="173" t="n"/>
      <c r="C2695" s="173" t="n"/>
      <c r="D2695" s="173" t="n"/>
      <c r="E2695" s="173" t="n"/>
      <c r="F2695" s="173" t="n"/>
      <c r="G2695" s="173" t="n"/>
      <c r="H2695" s="173" t="n"/>
      <c r="I2695" s="173" t="n"/>
      <c r="J2695" s="173" t="n"/>
      <c r="K2695" s="173" t="n"/>
      <c r="L2695" s="173" t="n"/>
      <c r="M2695" s="173" t="n"/>
      <c r="N2695" s="173" t="n"/>
      <c r="O2695" s="173" t="n"/>
      <c r="P2695" s="173" t="n"/>
    </row>
    <row r="2696" ht="18.75" customHeight="1">
      <c r="A2696" s="173" t="n"/>
      <c r="B2696" s="175">
        <f>IF('DADOS_ENTIDADES'!$AG$12="","","⚠ "&amp;'DADOS_ENTIDADES'!$AG$12)</f>
        <v/>
      </c>
      <c r="H2696" s="173" t="n"/>
      <c r="I2696" s="173" t="n"/>
      <c r="J2696" s="175">
        <f>IF('DADOS_ENTIDADES'!$AG$13="","","⚠ "&amp;'DADOS_ENTIDADES'!$AG$13)</f>
        <v/>
      </c>
      <c r="P2696" s="173" t="n"/>
    </row>
    <row r="2697" ht="18.75" customHeight="1">
      <c r="A2697" s="173" t="n"/>
      <c r="H2697" s="173" t="n"/>
      <c r="I2697" s="173" t="n"/>
      <c r="P2697" s="173" t="n"/>
    </row>
    <row r="2698" ht="18.75" customHeight="1">
      <c r="A2698" s="173" t="n"/>
      <c r="B2698" s="176" t="inlineStr">
        <is>
          <t>TALENTO · ENTIDADE · 13</t>
        </is>
      </c>
      <c r="H2698" s="173" t="n"/>
      <c r="I2698" s="173" t="n"/>
      <c r="J2698" s="176" t="inlineStr">
        <is>
          <t>TALENTO · ENTIDADE · 14</t>
        </is>
      </c>
      <c r="P2698" s="173" t="n"/>
    </row>
    <row r="2699" ht="18.75" customHeight="1">
      <c r="A2699" s="173" t="n"/>
      <c r="B2699" s="177" t="inlineStr">
        <is>
          <t>NOME</t>
        </is>
      </c>
      <c r="C2699" s="178" t="n"/>
      <c r="D2699" s="178" t="n"/>
      <c r="E2699" s="179" t="n"/>
      <c r="F2699" s="177" t="inlineStr">
        <is>
          <t>MESTRE VIU</t>
        </is>
      </c>
      <c r="G2699" s="179" t="n"/>
      <c r="H2699" s="173" t="n"/>
      <c r="I2699" s="173" t="n"/>
      <c r="J2699" s="177" t="inlineStr">
        <is>
          <t>NOME</t>
        </is>
      </c>
      <c r="K2699" s="178" t="n"/>
      <c r="L2699" s="178" t="n"/>
      <c r="M2699" s="179" t="n"/>
      <c r="N2699" s="177" t="inlineStr">
        <is>
          <t>MESTRE VIU</t>
        </is>
      </c>
      <c r="O2699" s="179" t="n"/>
      <c r="P2699" s="173" t="n"/>
    </row>
    <row r="2700" ht="18.75" customHeight="1">
      <c r="A2700" s="173" t="n"/>
      <c r="B2700" s="181" t="n"/>
      <c r="C2700" s="178" t="n"/>
      <c r="D2700" s="178" t="n"/>
      <c r="E2700" s="179" t="n"/>
      <c r="F2700" s="180" t="b">
        <v>0</v>
      </c>
      <c r="G2700" s="179" t="n"/>
      <c r="H2700" s="173" t="n"/>
      <c r="I2700" s="173" t="n"/>
      <c r="J2700" s="181" t="n"/>
      <c r="K2700" s="178" t="n"/>
      <c r="L2700" s="178" t="n"/>
      <c r="M2700" s="179" t="n"/>
      <c r="N2700" s="180" t="b">
        <v>0</v>
      </c>
      <c r="O2700" s="179" t="n"/>
      <c r="P2700" s="173" t="n"/>
    </row>
    <row r="2701" ht="18.75" customHeight="1">
      <c r="A2701" s="173" t="n"/>
      <c r="B2701" s="173" t="n"/>
      <c r="C2701" s="173" t="n"/>
      <c r="D2701" s="173" t="n"/>
      <c r="E2701" s="173" t="n"/>
      <c r="F2701" s="173" t="n"/>
      <c r="G2701" s="173" t="n"/>
      <c r="H2701" s="173" t="n"/>
      <c r="I2701" s="173" t="n"/>
      <c r="J2701" s="173" t="n"/>
      <c r="K2701" s="173" t="n"/>
      <c r="L2701" s="173" t="n"/>
      <c r="M2701" s="173" t="n"/>
      <c r="N2701" s="173" t="n"/>
      <c r="O2701" s="173" t="n"/>
      <c r="P2701" s="173" t="n"/>
    </row>
    <row r="2702" ht="18.75" customHeight="1">
      <c r="A2702" s="173" t="n"/>
      <c r="B2702" s="177" t="inlineStr">
        <is>
          <t>BASE DO LIVRO</t>
        </is>
      </c>
      <c r="C2702" s="178" t="n"/>
      <c r="D2702" s="179" t="n"/>
      <c r="E2702" s="181" t="inlineStr">
        <is>
          <t>Nenhuma</t>
        </is>
      </c>
      <c r="F2702" s="178" t="n"/>
      <c r="G2702" s="179" t="n"/>
      <c r="H2702" s="173" t="n"/>
      <c r="I2702" s="173" t="n"/>
      <c r="J2702" s="177" t="inlineStr">
        <is>
          <t>BASE DO LIVRO</t>
        </is>
      </c>
      <c r="K2702" s="178" t="n"/>
      <c r="L2702" s="179" t="n"/>
      <c r="M2702" s="181" t="inlineStr">
        <is>
          <t>Nenhuma</t>
        </is>
      </c>
      <c r="N2702" s="178" t="n"/>
      <c r="O2702" s="179" t="n"/>
      <c r="P2702" s="173" t="n"/>
    </row>
    <row r="2703" ht="18.75" customHeight="1">
      <c r="A2703" s="173" t="n"/>
      <c r="B2703" s="177" t="inlineStr">
        <is>
          <t>CATEGORIA DE EFEITO</t>
        </is>
      </c>
      <c r="C2703" s="178" t="n"/>
      <c r="D2703" s="179" t="n"/>
      <c r="E2703" s="181" t="n"/>
      <c r="F2703" s="178" t="n"/>
      <c r="G2703" s="179" t="n"/>
      <c r="H2703" s="173" t="n"/>
      <c r="I2703" s="173" t="n"/>
      <c r="J2703" s="177" t="inlineStr">
        <is>
          <t>CATEGORIA DE EFEITO</t>
        </is>
      </c>
      <c r="K2703" s="178" t="n"/>
      <c r="L2703" s="179" t="n"/>
      <c r="M2703" s="181" t="n"/>
      <c r="N2703" s="178" t="n"/>
      <c r="O2703" s="179" t="n"/>
      <c r="P2703" s="173" t="n"/>
    </row>
    <row r="2704" ht="18.75" customHeight="1">
      <c r="A2704" s="173" t="n"/>
      <c r="B2704" s="173" t="n"/>
      <c r="C2704" s="173" t="n"/>
      <c r="D2704" s="173" t="n"/>
      <c r="E2704" s="173" t="n"/>
      <c r="F2704" s="173" t="n"/>
      <c r="G2704" s="173" t="n"/>
      <c r="H2704" s="173" t="n"/>
      <c r="I2704" s="173" t="n"/>
      <c r="J2704" s="173" t="n"/>
      <c r="K2704" s="173" t="n"/>
      <c r="L2704" s="173" t="n"/>
      <c r="M2704" s="173" t="n"/>
      <c r="N2704" s="173" t="n"/>
      <c r="O2704" s="173" t="n"/>
      <c r="P2704" s="173" t="n"/>
    </row>
    <row r="2705" ht="18.75" customHeight="1">
      <c r="A2705" s="173" t="n"/>
      <c r="B2705" s="173" t="n"/>
      <c r="C2705" s="173" t="n"/>
      <c r="D2705" s="173" t="n"/>
      <c r="E2705" s="173" t="n"/>
      <c r="F2705" s="173" t="n"/>
      <c r="G2705" s="173" t="n"/>
      <c r="H2705" s="173" t="n"/>
      <c r="I2705" s="173" t="n"/>
      <c r="J2705" s="173" t="n"/>
      <c r="K2705" s="173" t="n"/>
      <c r="L2705" s="173" t="n"/>
      <c r="M2705" s="173" t="n"/>
      <c r="N2705" s="173" t="n"/>
      <c r="O2705" s="173" t="n"/>
      <c r="P2705" s="173" t="n"/>
    </row>
    <row r="2706" ht="18.75" customHeight="1">
      <c r="A2706" s="173" t="n"/>
      <c r="B2706" s="173" t="n"/>
      <c r="C2706" s="173" t="n"/>
      <c r="D2706" s="173" t="n"/>
      <c r="E2706" s="173" t="n"/>
      <c r="F2706" s="173" t="n"/>
      <c r="G2706" s="173" t="n"/>
      <c r="H2706" s="173" t="n"/>
      <c r="I2706" s="173" t="n"/>
      <c r="J2706" s="173" t="n"/>
      <c r="K2706" s="173" t="n"/>
      <c r="L2706" s="173" t="n"/>
      <c r="M2706" s="173" t="n"/>
      <c r="N2706" s="173" t="n"/>
      <c r="O2706" s="173" t="n"/>
      <c r="P2706" s="173" t="n"/>
    </row>
    <row r="2707" ht="18.75" customHeight="1">
      <c r="A2707" s="173" t="n"/>
      <c r="B2707" s="173" t="n"/>
      <c r="C2707" s="173" t="n"/>
      <c r="D2707" s="173" t="n"/>
      <c r="E2707" s="173" t="n"/>
      <c r="F2707" s="173" t="n"/>
      <c r="G2707" s="173" t="n"/>
      <c r="H2707" s="173" t="n"/>
      <c r="I2707" s="173" t="n"/>
      <c r="J2707" s="173" t="n"/>
      <c r="K2707" s="173" t="n"/>
      <c r="L2707" s="173" t="n"/>
      <c r="M2707" s="173" t="n"/>
      <c r="N2707" s="173" t="n"/>
      <c r="O2707" s="173" t="n"/>
      <c r="P2707" s="173" t="n"/>
    </row>
    <row r="2708" ht="18.75" customHeight="1">
      <c r="A2708" s="173" t="n"/>
      <c r="B2708" s="173" t="n"/>
      <c r="C2708" s="173" t="n"/>
      <c r="D2708" s="173" t="n"/>
      <c r="E2708" s="173" t="n"/>
      <c r="F2708" s="173" t="n"/>
      <c r="G2708" s="173" t="n"/>
      <c r="H2708" s="173" t="n"/>
      <c r="I2708" s="173" t="n"/>
      <c r="J2708" s="173" t="n"/>
      <c r="K2708" s="173" t="n"/>
      <c r="L2708" s="173" t="n"/>
      <c r="M2708" s="173" t="n"/>
      <c r="N2708" s="173" t="n"/>
      <c r="O2708" s="173" t="n"/>
      <c r="P2708" s="173" t="n"/>
    </row>
    <row r="2709" ht="18.75" customHeight="1">
      <c r="A2709" s="173" t="n"/>
      <c r="B2709" s="177" t="inlineStr">
        <is>
          <t>REQUISITOS</t>
        </is>
      </c>
      <c r="C2709" s="178" t="n"/>
      <c r="D2709" s="178" t="n"/>
      <c r="E2709" s="178" t="n"/>
      <c r="F2709" s="178" t="n"/>
      <c r="G2709" s="179" t="n"/>
      <c r="H2709" s="173" t="n"/>
      <c r="I2709" s="173" t="n"/>
      <c r="J2709" s="177" t="inlineStr">
        <is>
          <t>REQUISITOS</t>
        </is>
      </c>
      <c r="K2709" s="178" t="n"/>
      <c r="L2709" s="178" t="n"/>
      <c r="M2709" s="178" t="n"/>
      <c r="N2709" s="178" t="n"/>
      <c r="O2709" s="179" t="n"/>
      <c r="P2709" s="173" t="n"/>
    </row>
    <row r="2710" ht="18.75" customHeight="1">
      <c r="A2710" s="173" t="n"/>
      <c r="B2710" s="183" t="n"/>
      <c r="C2710" s="184" t="n"/>
      <c r="D2710" s="184" t="n"/>
      <c r="E2710" s="184" t="n"/>
      <c r="F2710" s="184" t="n"/>
      <c r="G2710" s="185" t="n"/>
      <c r="H2710" s="173" t="n"/>
      <c r="I2710" s="173" t="n"/>
      <c r="J2710" s="183" t="n"/>
      <c r="K2710" s="184" t="n"/>
      <c r="L2710" s="184" t="n"/>
      <c r="M2710" s="184" t="n"/>
      <c r="N2710" s="184" t="n"/>
      <c r="O2710" s="185" t="n"/>
      <c r="P2710" s="173" t="n"/>
    </row>
    <row r="2711" ht="18.75" customHeight="1">
      <c r="A2711" s="173" t="n"/>
      <c r="B2711" s="186" t="n"/>
      <c r="G2711" s="187" t="n"/>
      <c r="H2711" s="173" t="n"/>
      <c r="I2711" s="173" t="n"/>
      <c r="J2711" s="186" t="n"/>
      <c r="O2711" s="187" t="n"/>
      <c r="P2711" s="173" t="n"/>
    </row>
    <row r="2712" ht="18.75" customHeight="1">
      <c r="A2712" s="173" t="n"/>
      <c r="B2712" s="188" t="n"/>
      <c r="C2712" s="189" t="n"/>
      <c r="D2712" s="189" t="n"/>
      <c r="E2712" s="189" t="n"/>
      <c r="F2712" s="189" t="n"/>
      <c r="G2712" s="190" t="n"/>
      <c r="H2712" s="173" t="n"/>
      <c r="I2712" s="173" t="n"/>
      <c r="J2712" s="188" t="n"/>
      <c r="K2712" s="189" t="n"/>
      <c r="L2712" s="189" t="n"/>
      <c r="M2712" s="189" t="n"/>
      <c r="N2712" s="189" t="n"/>
      <c r="O2712" s="190" t="n"/>
      <c r="P2712" s="173" t="n"/>
    </row>
    <row r="2713" ht="18.75" customHeight="1">
      <c r="A2713" s="173" t="n"/>
      <c r="B2713" s="173" t="n"/>
      <c r="C2713" s="173" t="n"/>
      <c r="D2713" s="173" t="n"/>
      <c r="E2713" s="173" t="n"/>
      <c r="F2713" s="173" t="n"/>
      <c r="G2713" s="173" t="n"/>
      <c r="H2713" s="173" t="n"/>
      <c r="I2713" s="173" t="n"/>
      <c r="J2713" s="173" t="n"/>
      <c r="K2713" s="173" t="n"/>
      <c r="L2713" s="173" t="n"/>
      <c r="M2713" s="173" t="n"/>
      <c r="N2713" s="173" t="n"/>
      <c r="O2713" s="173" t="n"/>
      <c r="P2713" s="173" t="n"/>
    </row>
    <row r="2714" ht="18.75" customHeight="1">
      <c r="A2714" s="173" t="n"/>
      <c r="B2714" s="177" t="inlineStr">
        <is>
          <t>EFEITO</t>
        </is>
      </c>
      <c r="C2714" s="178" t="n"/>
      <c r="D2714" s="178" t="n"/>
      <c r="E2714" s="178" t="n"/>
      <c r="F2714" s="178" t="n"/>
      <c r="G2714" s="179" t="n"/>
      <c r="H2714" s="173" t="n"/>
      <c r="I2714" s="173" t="n"/>
      <c r="J2714" s="177" t="inlineStr">
        <is>
          <t>EFEITO</t>
        </is>
      </c>
      <c r="K2714" s="178" t="n"/>
      <c r="L2714" s="178" t="n"/>
      <c r="M2714" s="178" t="n"/>
      <c r="N2714" s="178" t="n"/>
      <c r="O2714" s="179" t="n"/>
      <c r="P2714" s="173" t="n"/>
    </row>
    <row r="2715" ht="18.75" customHeight="1">
      <c r="A2715" s="173" t="n"/>
      <c r="B2715" s="183" t="n"/>
      <c r="C2715" s="184" t="n"/>
      <c r="D2715" s="184" t="n"/>
      <c r="E2715" s="184" t="n"/>
      <c r="F2715" s="184" t="n"/>
      <c r="G2715" s="185" t="n"/>
      <c r="H2715" s="173" t="n"/>
      <c r="I2715" s="173" t="n"/>
      <c r="J2715" s="183" t="n"/>
      <c r="K2715" s="184" t="n"/>
      <c r="L2715" s="184" t="n"/>
      <c r="M2715" s="184" t="n"/>
      <c r="N2715" s="184" t="n"/>
      <c r="O2715" s="185" t="n"/>
      <c r="P2715" s="173" t="n"/>
    </row>
    <row r="2716" ht="18.75" customHeight="1">
      <c r="A2716" s="173" t="n"/>
      <c r="B2716" s="186" t="n"/>
      <c r="G2716" s="187" t="n"/>
      <c r="H2716" s="173" t="n"/>
      <c r="I2716" s="173" t="n"/>
      <c r="J2716" s="186" t="n"/>
      <c r="O2716" s="187" t="n"/>
      <c r="P2716" s="173" t="n"/>
    </row>
    <row r="2717" ht="18.75" customHeight="1">
      <c r="A2717" s="173" t="n"/>
      <c r="B2717" s="186" t="n"/>
      <c r="G2717" s="187" t="n"/>
      <c r="H2717" s="173" t="n"/>
      <c r="I2717" s="173" t="n"/>
      <c r="J2717" s="186" t="n"/>
      <c r="O2717" s="187" t="n"/>
      <c r="P2717" s="173" t="n"/>
    </row>
    <row r="2718" ht="18.75" customHeight="1">
      <c r="A2718" s="173" t="n"/>
      <c r="B2718" s="186" t="n"/>
      <c r="G2718" s="187" t="n"/>
      <c r="H2718" s="173" t="n"/>
      <c r="I2718" s="173" t="n"/>
      <c r="J2718" s="186" t="n"/>
      <c r="O2718" s="187" t="n"/>
      <c r="P2718" s="173" t="n"/>
    </row>
    <row r="2719" ht="18.75" customHeight="1">
      <c r="A2719" s="173" t="n"/>
      <c r="B2719" s="186" t="n"/>
      <c r="G2719" s="187" t="n"/>
      <c r="H2719" s="173" t="n"/>
      <c r="I2719" s="173" t="n"/>
      <c r="J2719" s="186" t="n"/>
      <c r="O2719" s="187" t="n"/>
      <c r="P2719" s="173" t="n"/>
    </row>
    <row r="2720" ht="18.75" customHeight="1">
      <c r="A2720" s="173" t="n"/>
      <c r="B2720" s="186" t="n"/>
      <c r="G2720" s="187" t="n"/>
      <c r="H2720" s="173" t="n"/>
      <c r="I2720" s="173" t="n"/>
      <c r="J2720" s="186" t="n"/>
      <c r="O2720" s="187" t="n"/>
      <c r="P2720" s="173" t="n"/>
    </row>
    <row r="2721" ht="18.75" customHeight="1">
      <c r="A2721" s="173" t="n"/>
      <c r="B2721" s="186" t="n"/>
      <c r="G2721" s="187" t="n"/>
      <c r="H2721" s="173" t="n"/>
      <c r="I2721" s="173" t="n"/>
      <c r="J2721" s="186" t="n"/>
      <c r="O2721" s="187" t="n"/>
      <c r="P2721" s="173" t="n"/>
    </row>
    <row r="2722" ht="18.75" customHeight="1">
      <c r="A2722" s="173" t="n"/>
      <c r="B2722" s="188" t="n"/>
      <c r="C2722" s="189" t="n"/>
      <c r="D2722" s="189" t="n"/>
      <c r="E2722" s="189" t="n"/>
      <c r="F2722" s="189" t="n"/>
      <c r="G2722" s="190" t="n"/>
      <c r="H2722" s="173" t="n"/>
      <c r="I2722" s="173" t="n"/>
      <c r="J2722" s="188" t="n"/>
      <c r="K2722" s="189" t="n"/>
      <c r="L2722" s="189" t="n"/>
      <c r="M2722" s="189" t="n"/>
      <c r="N2722" s="189" t="n"/>
      <c r="O2722" s="190" t="n"/>
      <c r="P2722" s="173" t="n"/>
    </row>
    <row r="2723" ht="18.75" customHeight="1">
      <c r="A2723" s="173" t="n"/>
      <c r="B2723" s="173" t="n"/>
      <c r="C2723" s="173" t="n"/>
      <c r="D2723" s="173" t="n"/>
      <c r="E2723" s="173" t="n"/>
      <c r="F2723" s="173" t="n"/>
      <c r="G2723" s="173" t="n"/>
      <c r="H2723" s="173" t="n"/>
      <c r="I2723" s="173" t="n"/>
      <c r="J2723" s="173" t="n"/>
      <c r="K2723" s="173" t="n"/>
      <c r="L2723" s="173" t="n"/>
      <c r="M2723" s="173" t="n"/>
      <c r="N2723" s="173" t="n"/>
      <c r="O2723" s="173" t="n"/>
      <c r="P2723" s="173" t="n"/>
    </row>
    <row r="2724" ht="18.75" customHeight="1">
      <c r="A2724" s="173" t="n"/>
      <c r="B2724" s="175">
        <f>IF('DADOS_ENTIDADES'!$AG$14="","","⚠ "&amp;'DADOS_ENTIDADES'!$AG$14)</f>
        <v/>
      </c>
      <c r="H2724" s="173" t="n"/>
      <c r="I2724" s="173" t="n"/>
      <c r="J2724" s="175">
        <f>IF('DADOS_ENTIDADES'!$AG$15="","","⚠ "&amp;'DADOS_ENTIDADES'!$AG$15)</f>
        <v/>
      </c>
      <c r="P2724" s="173" t="n"/>
    </row>
    <row r="2725" ht="18.75" customHeight="1">
      <c r="A2725" s="173" t="n"/>
      <c r="H2725" s="173" t="n"/>
      <c r="I2725" s="173" t="n"/>
      <c r="P2725" s="173" t="n"/>
    </row>
    <row r="2726" ht="18.75" customHeight="1">
      <c r="A2726" s="173" t="n"/>
      <c r="B2726" s="176" t="inlineStr">
        <is>
          <t>TALENTO · ENTIDADE · 15</t>
        </is>
      </c>
      <c r="H2726" s="173" t="n"/>
      <c r="I2726" s="173" t="n"/>
      <c r="J2726" s="176" t="inlineStr">
        <is>
          <t>TALENTO · ENTIDADE · 16</t>
        </is>
      </c>
      <c r="P2726" s="173" t="n"/>
    </row>
    <row r="2727" ht="18.75" customHeight="1">
      <c r="A2727" s="173" t="n"/>
      <c r="B2727" s="177" t="inlineStr">
        <is>
          <t>NOME</t>
        </is>
      </c>
      <c r="C2727" s="178" t="n"/>
      <c r="D2727" s="178" t="n"/>
      <c r="E2727" s="179" t="n"/>
      <c r="F2727" s="177" t="inlineStr">
        <is>
          <t>MESTRE VIU</t>
        </is>
      </c>
      <c r="G2727" s="179" t="n"/>
      <c r="H2727" s="173" t="n"/>
      <c r="I2727" s="173" t="n"/>
      <c r="J2727" s="177" t="inlineStr">
        <is>
          <t>NOME</t>
        </is>
      </c>
      <c r="K2727" s="178" t="n"/>
      <c r="L2727" s="178" t="n"/>
      <c r="M2727" s="179" t="n"/>
      <c r="N2727" s="177" t="inlineStr">
        <is>
          <t>MESTRE VIU</t>
        </is>
      </c>
      <c r="O2727" s="179" t="n"/>
      <c r="P2727" s="173" t="n"/>
    </row>
    <row r="2728" ht="18.75" customHeight="1">
      <c r="A2728" s="173" t="n"/>
      <c r="B2728" s="181" t="n"/>
      <c r="C2728" s="178" t="n"/>
      <c r="D2728" s="178" t="n"/>
      <c r="E2728" s="179" t="n"/>
      <c r="F2728" s="180" t="b">
        <v>0</v>
      </c>
      <c r="G2728" s="179" t="n"/>
      <c r="H2728" s="173" t="n"/>
      <c r="I2728" s="173" t="n"/>
      <c r="J2728" s="181" t="n"/>
      <c r="K2728" s="178" t="n"/>
      <c r="L2728" s="178" t="n"/>
      <c r="M2728" s="179" t="n"/>
      <c r="N2728" s="180" t="b">
        <v>0</v>
      </c>
      <c r="O2728" s="179" t="n"/>
      <c r="P2728" s="173" t="n"/>
    </row>
    <row r="2729" ht="18.75" customHeight="1">
      <c r="A2729" s="173" t="n"/>
      <c r="B2729" s="173" t="n"/>
      <c r="C2729" s="173" t="n"/>
      <c r="D2729" s="173" t="n"/>
      <c r="E2729" s="173" t="n"/>
      <c r="F2729" s="173" t="n"/>
      <c r="G2729" s="173" t="n"/>
      <c r="H2729" s="173" t="n"/>
      <c r="I2729" s="173" t="n"/>
      <c r="J2729" s="173" t="n"/>
      <c r="K2729" s="173" t="n"/>
      <c r="L2729" s="173" t="n"/>
      <c r="M2729" s="173" t="n"/>
      <c r="N2729" s="173" t="n"/>
      <c r="O2729" s="173" t="n"/>
      <c r="P2729" s="173" t="n"/>
    </row>
    <row r="2730" ht="18.75" customHeight="1">
      <c r="A2730" s="173" t="n"/>
      <c r="B2730" s="177" t="inlineStr">
        <is>
          <t>BASE DO LIVRO</t>
        </is>
      </c>
      <c r="C2730" s="178" t="n"/>
      <c r="D2730" s="179" t="n"/>
      <c r="E2730" s="181" t="inlineStr">
        <is>
          <t>Nenhuma</t>
        </is>
      </c>
      <c r="F2730" s="178" t="n"/>
      <c r="G2730" s="179" t="n"/>
      <c r="H2730" s="173" t="n"/>
      <c r="I2730" s="173" t="n"/>
      <c r="J2730" s="177" t="inlineStr">
        <is>
          <t>BASE DO LIVRO</t>
        </is>
      </c>
      <c r="K2730" s="178" t="n"/>
      <c r="L2730" s="179" t="n"/>
      <c r="M2730" s="181" t="inlineStr">
        <is>
          <t>Nenhuma</t>
        </is>
      </c>
      <c r="N2730" s="178" t="n"/>
      <c r="O2730" s="179" t="n"/>
      <c r="P2730" s="173" t="n"/>
    </row>
    <row r="2731" ht="18.75" customHeight="1">
      <c r="A2731" s="173" t="n"/>
      <c r="B2731" s="177" t="inlineStr">
        <is>
          <t>CATEGORIA DE EFEITO</t>
        </is>
      </c>
      <c r="C2731" s="178" t="n"/>
      <c r="D2731" s="179" t="n"/>
      <c r="E2731" s="181" t="n"/>
      <c r="F2731" s="178" t="n"/>
      <c r="G2731" s="179" t="n"/>
      <c r="H2731" s="173" t="n"/>
      <c r="I2731" s="173" t="n"/>
      <c r="J2731" s="177" t="inlineStr">
        <is>
          <t>CATEGORIA DE EFEITO</t>
        </is>
      </c>
      <c r="K2731" s="178" t="n"/>
      <c r="L2731" s="179" t="n"/>
      <c r="M2731" s="181" t="n"/>
      <c r="N2731" s="178" t="n"/>
      <c r="O2731" s="179" t="n"/>
      <c r="P2731" s="173" t="n"/>
    </row>
    <row r="2732" ht="18.75" customHeight="1">
      <c r="A2732" s="173" t="n"/>
      <c r="B2732" s="173" t="n"/>
      <c r="C2732" s="173" t="n"/>
      <c r="D2732" s="173" t="n"/>
      <c r="E2732" s="173" t="n"/>
      <c r="F2732" s="173" t="n"/>
      <c r="G2732" s="173" t="n"/>
      <c r="H2732" s="173" t="n"/>
      <c r="I2732" s="173" t="n"/>
      <c r="J2732" s="173" t="n"/>
      <c r="K2732" s="173" t="n"/>
      <c r="L2732" s="173" t="n"/>
      <c r="M2732" s="173" t="n"/>
      <c r="N2732" s="173" t="n"/>
      <c r="O2732" s="173" t="n"/>
      <c r="P2732" s="173" t="n"/>
    </row>
    <row r="2733" ht="18.75" customHeight="1">
      <c r="A2733" s="173" t="n"/>
      <c r="B2733" s="173" t="n"/>
      <c r="C2733" s="173" t="n"/>
      <c r="D2733" s="173" t="n"/>
      <c r="E2733" s="173" t="n"/>
      <c r="F2733" s="173" t="n"/>
      <c r="G2733" s="173" t="n"/>
      <c r="H2733" s="173" t="n"/>
      <c r="I2733" s="173" t="n"/>
      <c r="J2733" s="173" t="n"/>
      <c r="K2733" s="173" t="n"/>
      <c r="L2733" s="173" t="n"/>
      <c r="M2733" s="173" t="n"/>
      <c r="N2733" s="173" t="n"/>
      <c r="O2733" s="173" t="n"/>
      <c r="P2733" s="173" t="n"/>
    </row>
    <row r="2734" ht="18.75" customHeight="1">
      <c r="A2734" s="173" t="n"/>
      <c r="B2734" s="173" t="n"/>
      <c r="C2734" s="173" t="n"/>
      <c r="D2734" s="173" t="n"/>
      <c r="E2734" s="173" t="n"/>
      <c r="F2734" s="173" t="n"/>
      <c r="G2734" s="173" t="n"/>
      <c r="H2734" s="173" t="n"/>
      <c r="I2734" s="173" t="n"/>
      <c r="J2734" s="173" t="n"/>
      <c r="K2734" s="173" t="n"/>
      <c r="L2734" s="173" t="n"/>
      <c r="M2734" s="173" t="n"/>
      <c r="N2734" s="173" t="n"/>
      <c r="O2734" s="173" t="n"/>
      <c r="P2734" s="173" t="n"/>
    </row>
    <row r="2735" ht="18.75" customHeight="1">
      <c r="A2735" s="173" t="n"/>
      <c r="B2735" s="173" t="n"/>
      <c r="C2735" s="173" t="n"/>
      <c r="D2735" s="173" t="n"/>
      <c r="E2735" s="173" t="n"/>
      <c r="F2735" s="173" t="n"/>
      <c r="G2735" s="173" t="n"/>
      <c r="H2735" s="173" t="n"/>
      <c r="I2735" s="173" t="n"/>
      <c r="J2735" s="173" t="n"/>
      <c r="K2735" s="173" t="n"/>
      <c r="L2735" s="173" t="n"/>
      <c r="M2735" s="173" t="n"/>
      <c r="N2735" s="173" t="n"/>
      <c r="O2735" s="173" t="n"/>
      <c r="P2735" s="173" t="n"/>
    </row>
    <row r="2736" ht="18.75" customHeight="1">
      <c r="A2736" s="173" t="n"/>
      <c r="B2736" s="173" t="n"/>
      <c r="C2736" s="173" t="n"/>
      <c r="D2736" s="173" t="n"/>
      <c r="E2736" s="173" t="n"/>
      <c r="F2736" s="173" t="n"/>
      <c r="G2736" s="173" t="n"/>
      <c r="H2736" s="173" t="n"/>
      <c r="I2736" s="173" t="n"/>
      <c r="J2736" s="173" t="n"/>
      <c r="K2736" s="173" t="n"/>
      <c r="L2736" s="173" t="n"/>
      <c r="M2736" s="173" t="n"/>
      <c r="N2736" s="173" t="n"/>
      <c r="O2736" s="173" t="n"/>
      <c r="P2736" s="173" t="n"/>
    </row>
    <row r="2737" ht="18.75" customHeight="1">
      <c r="A2737" s="173" t="n"/>
      <c r="B2737" s="177" t="inlineStr">
        <is>
          <t>REQUISITOS</t>
        </is>
      </c>
      <c r="C2737" s="178" t="n"/>
      <c r="D2737" s="178" t="n"/>
      <c r="E2737" s="178" t="n"/>
      <c r="F2737" s="178" t="n"/>
      <c r="G2737" s="179" t="n"/>
      <c r="H2737" s="173" t="n"/>
      <c r="I2737" s="173" t="n"/>
      <c r="J2737" s="177" t="inlineStr">
        <is>
          <t>REQUISITOS</t>
        </is>
      </c>
      <c r="K2737" s="178" t="n"/>
      <c r="L2737" s="178" t="n"/>
      <c r="M2737" s="178" t="n"/>
      <c r="N2737" s="178" t="n"/>
      <c r="O2737" s="179" t="n"/>
      <c r="P2737" s="173" t="n"/>
    </row>
    <row r="2738" ht="18.75" customHeight="1">
      <c r="A2738" s="173" t="n"/>
      <c r="B2738" s="183" t="n"/>
      <c r="C2738" s="184" t="n"/>
      <c r="D2738" s="184" t="n"/>
      <c r="E2738" s="184" t="n"/>
      <c r="F2738" s="184" t="n"/>
      <c r="G2738" s="185" t="n"/>
      <c r="H2738" s="173" t="n"/>
      <c r="I2738" s="173" t="n"/>
      <c r="J2738" s="183" t="n"/>
      <c r="K2738" s="184" t="n"/>
      <c r="L2738" s="184" t="n"/>
      <c r="M2738" s="184" t="n"/>
      <c r="N2738" s="184" t="n"/>
      <c r="O2738" s="185" t="n"/>
      <c r="P2738" s="173" t="n"/>
    </row>
    <row r="2739" ht="18.75" customHeight="1">
      <c r="A2739" s="173" t="n"/>
      <c r="B2739" s="186" t="n"/>
      <c r="G2739" s="187" t="n"/>
      <c r="H2739" s="173" t="n"/>
      <c r="I2739" s="173" t="n"/>
      <c r="J2739" s="186" t="n"/>
      <c r="O2739" s="187" t="n"/>
      <c r="P2739" s="173" t="n"/>
    </row>
    <row r="2740" ht="18.75" customHeight="1">
      <c r="A2740" s="173" t="n"/>
      <c r="B2740" s="188" t="n"/>
      <c r="C2740" s="189" t="n"/>
      <c r="D2740" s="189" t="n"/>
      <c r="E2740" s="189" t="n"/>
      <c r="F2740" s="189" t="n"/>
      <c r="G2740" s="190" t="n"/>
      <c r="H2740" s="173" t="n"/>
      <c r="I2740" s="173" t="n"/>
      <c r="J2740" s="188" t="n"/>
      <c r="K2740" s="189" t="n"/>
      <c r="L2740" s="189" t="n"/>
      <c r="M2740" s="189" t="n"/>
      <c r="N2740" s="189" t="n"/>
      <c r="O2740" s="190" t="n"/>
      <c r="P2740" s="173" t="n"/>
    </row>
    <row r="2741" ht="18.75" customHeight="1">
      <c r="A2741" s="173" t="n"/>
      <c r="B2741" s="173" t="n"/>
      <c r="C2741" s="173" t="n"/>
      <c r="D2741" s="173" t="n"/>
      <c r="E2741" s="173" t="n"/>
      <c r="F2741" s="173" t="n"/>
      <c r="G2741" s="173" t="n"/>
      <c r="H2741" s="173" t="n"/>
      <c r="I2741" s="173" t="n"/>
      <c r="J2741" s="173" t="n"/>
      <c r="K2741" s="173" t="n"/>
      <c r="L2741" s="173" t="n"/>
      <c r="M2741" s="173" t="n"/>
      <c r="N2741" s="173" t="n"/>
      <c r="O2741" s="173" t="n"/>
      <c r="P2741" s="173" t="n"/>
    </row>
    <row r="2742" ht="18.75" customHeight="1">
      <c r="A2742" s="173" t="n"/>
      <c r="B2742" s="177" t="inlineStr">
        <is>
          <t>EFEITO</t>
        </is>
      </c>
      <c r="C2742" s="178" t="n"/>
      <c r="D2742" s="178" t="n"/>
      <c r="E2742" s="178" t="n"/>
      <c r="F2742" s="178" t="n"/>
      <c r="G2742" s="179" t="n"/>
      <c r="H2742" s="173" t="n"/>
      <c r="I2742" s="173" t="n"/>
      <c r="J2742" s="177" t="inlineStr">
        <is>
          <t>EFEITO</t>
        </is>
      </c>
      <c r="K2742" s="178" t="n"/>
      <c r="L2742" s="178" t="n"/>
      <c r="M2742" s="178" t="n"/>
      <c r="N2742" s="178" t="n"/>
      <c r="O2742" s="179" t="n"/>
      <c r="P2742" s="173" t="n"/>
    </row>
    <row r="2743" ht="18.75" customHeight="1">
      <c r="A2743" s="173" t="n"/>
      <c r="B2743" s="183" t="n"/>
      <c r="C2743" s="184" t="n"/>
      <c r="D2743" s="184" t="n"/>
      <c r="E2743" s="184" t="n"/>
      <c r="F2743" s="184" t="n"/>
      <c r="G2743" s="185" t="n"/>
      <c r="H2743" s="173" t="n"/>
      <c r="I2743" s="173" t="n"/>
      <c r="J2743" s="183" t="n"/>
      <c r="K2743" s="184" t="n"/>
      <c r="L2743" s="184" t="n"/>
      <c r="M2743" s="184" t="n"/>
      <c r="N2743" s="184" t="n"/>
      <c r="O2743" s="185" t="n"/>
      <c r="P2743" s="173" t="n"/>
    </row>
    <row r="2744" ht="18.75" customHeight="1">
      <c r="A2744" s="173" t="n"/>
      <c r="B2744" s="186" t="n"/>
      <c r="G2744" s="187" t="n"/>
      <c r="H2744" s="173" t="n"/>
      <c r="I2744" s="173" t="n"/>
      <c r="J2744" s="186" t="n"/>
      <c r="O2744" s="187" t="n"/>
      <c r="P2744" s="173" t="n"/>
    </row>
    <row r="2745" ht="18.75" customHeight="1">
      <c r="A2745" s="173" t="n"/>
      <c r="B2745" s="186" t="n"/>
      <c r="G2745" s="187" t="n"/>
      <c r="H2745" s="173" t="n"/>
      <c r="I2745" s="173" t="n"/>
      <c r="J2745" s="186" t="n"/>
      <c r="O2745" s="187" t="n"/>
      <c r="P2745" s="173" t="n"/>
    </row>
    <row r="2746" ht="18.75" customHeight="1">
      <c r="A2746" s="173" t="n"/>
      <c r="B2746" s="186" t="n"/>
      <c r="G2746" s="187" t="n"/>
      <c r="H2746" s="173" t="n"/>
      <c r="I2746" s="173" t="n"/>
      <c r="J2746" s="186" t="n"/>
      <c r="O2746" s="187" t="n"/>
      <c r="P2746" s="173" t="n"/>
    </row>
    <row r="2747" ht="18.75" customHeight="1">
      <c r="A2747" s="173" t="n"/>
      <c r="B2747" s="186" t="n"/>
      <c r="G2747" s="187" t="n"/>
      <c r="H2747" s="173" t="n"/>
      <c r="I2747" s="173" t="n"/>
      <c r="J2747" s="186" t="n"/>
      <c r="O2747" s="187" t="n"/>
      <c r="P2747" s="173" t="n"/>
    </row>
    <row r="2748" ht="18.75" customHeight="1">
      <c r="A2748" s="173" t="n"/>
      <c r="B2748" s="186" t="n"/>
      <c r="G2748" s="187" t="n"/>
      <c r="H2748" s="173" t="n"/>
      <c r="I2748" s="173" t="n"/>
      <c r="J2748" s="186" t="n"/>
      <c r="O2748" s="187" t="n"/>
      <c r="P2748" s="173" t="n"/>
    </row>
    <row r="2749" ht="18.75" customHeight="1">
      <c r="A2749" s="173" t="n"/>
      <c r="B2749" s="186" t="n"/>
      <c r="G2749" s="187" t="n"/>
      <c r="H2749" s="173" t="n"/>
      <c r="I2749" s="173" t="n"/>
      <c r="J2749" s="186" t="n"/>
      <c r="O2749" s="187" t="n"/>
      <c r="P2749" s="173" t="n"/>
    </row>
    <row r="2750" ht="18.75" customHeight="1">
      <c r="A2750" s="173" t="n"/>
      <c r="B2750" s="188" t="n"/>
      <c r="C2750" s="189" t="n"/>
      <c r="D2750" s="189" t="n"/>
      <c r="E2750" s="189" t="n"/>
      <c r="F2750" s="189" t="n"/>
      <c r="G2750" s="190" t="n"/>
      <c r="H2750" s="173" t="n"/>
      <c r="I2750" s="173" t="n"/>
      <c r="J2750" s="188" t="n"/>
      <c r="K2750" s="189" t="n"/>
      <c r="L2750" s="189" t="n"/>
      <c r="M2750" s="189" t="n"/>
      <c r="N2750" s="189" t="n"/>
      <c r="O2750" s="190" t="n"/>
      <c r="P2750" s="173" t="n"/>
    </row>
    <row r="2751" ht="18.75" customHeight="1">
      <c r="A2751" s="173" t="n"/>
      <c r="B2751" s="173" t="n"/>
      <c r="C2751" s="173" t="n"/>
      <c r="D2751" s="173" t="n"/>
      <c r="E2751" s="173" t="n"/>
      <c r="F2751" s="173" t="n"/>
      <c r="G2751" s="173" t="n"/>
      <c r="H2751" s="173" t="n"/>
      <c r="I2751" s="173" t="n"/>
      <c r="J2751" s="173" t="n"/>
      <c r="K2751" s="173" t="n"/>
      <c r="L2751" s="173" t="n"/>
      <c r="M2751" s="173" t="n"/>
      <c r="N2751" s="173" t="n"/>
      <c r="O2751" s="173" t="n"/>
      <c r="P2751" s="173" t="n"/>
    </row>
    <row r="2752" ht="18.75" customHeight="1">
      <c r="A2752" s="173" t="n"/>
      <c r="B2752" s="175">
        <f>IF('DADOS_ENTIDADES'!$AG$16="","","⚠ "&amp;'DADOS_ENTIDADES'!$AG$16)</f>
        <v/>
      </c>
      <c r="H2752" s="173" t="n"/>
      <c r="I2752" s="173" t="n"/>
      <c r="J2752" s="175">
        <f>IF('DADOS_ENTIDADES'!$AG$17="","","⚠ "&amp;'DADOS_ENTIDADES'!$AG$17)</f>
        <v/>
      </c>
      <c r="P2752" s="173" t="n"/>
    </row>
    <row r="2753" ht="18.75" customHeight="1">
      <c r="A2753" s="173" t="n"/>
      <c r="H2753" s="173" t="n"/>
      <c r="I2753" s="173" t="n"/>
      <c r="P2753" s="173" t="n"/>
    </row>
    <row r="2754" ht="18.75" customHeight="1">
      <c r="A2754" s="173" t="n"/>
      <c r="B2754" s="176" t="inlineStr">
        <is>
          <t>TALENTO · ENTIDADE · 17</t>
        </is>
      </c>
      <c r="H2754" s="173" t="n"/>
      <c r="I2754" s="173" t="n"/>
      <c r="J2754" s="176" t="inlineStr">
        <is>
          <t>TALENTO · ENTIDADE · 18</t>
        </is>
      </c>
      <c r="P2754" s="173" t="n"/>
    </row>
    <row r="2755" ht="18.75" customHeight="1">
      <c r="A2755" s="173" t="n"/>
      <c r="B2755" s="177" t="inlineStr">
        <is>
          <t>NOME</t>
        </is>
      </c>
      <c r="C2755" s="178" t="n"/>
      <c r="D2755" s="178" t="n"/>
      <c r="E2755" s="179" t="n"/>
      <c r="F2755" s="177" t="inlineStr">
        <is>
          <t>MESTRE VIU</t>
        </is>
      </c>
      <c r="G2755" s="179" t="n"/>
      <c r="H2755" s="173" t="n"/>
      <c r="I2755" s="173" t="n"/>
      <c r="J2755" s="177" t="inlineStr">
        <is>
          <t>NOME</t>
        </is>
      </c>
      <c r="K2755" s="178" t="n"/>
      <c r="L2755" s="178" t="n"/>
      <c r="M2755" s="179" t="n"/>
      <c r="N2755" s="177" t="inlineStr">
        <is>
          <t>MESTRE VIU</t>
        </is>
      </c>
      <c r="O2755" s="179" t="n"/>
      <c r="P2755" s="173" t="n"/>
    </row>
    <row r="2756" ht="18.75" customHeight="1">
      <c r="A2756" s="173" t="n"/>
      <c r="B2756" s="181" t="n"/>
      <c r="C2756" s="178" t="n"/>
      <c r="D2756" s="178" t="n"/>
      <c r="E2756" s="179" t="n"/>
      <c r="F2756" s="180" t="b">
        <v>0</v>
      </c>
      <c r="G2756" s="179" t="n"/>
      <c r="H2756" s="173" t="n"/>
      <c r="I2756" s="173" t="n"/>
      <c r="J2756" s="181" t="n"/>
      <c r="K2756" s="178" t="n"/>
      <c r="L2756" s="178" t="n"/>
      <c r="M2756" s="179" t="n"/>
      <c r="N2756" s="180" t="b">
        <v>0</v>
      </c>
      <c r="O2756" s="179" t="n"/>
      <c r="P2756" s="173" t="n"/>
    </row>
    <row r="2757" ht="18.75" customHeight="1">
      <c r="A2757" s="173" t="n"/>
      <c r="B2757" s="173" t="n"/>
      <c r="C2757" s="173" t="n"/>
      <c r="D2757" s="173" t="n"/>
      <c r="E2757" s="173" t="n"/>
      <c r="F2757" s="173" t="n"/>
      <c r="G2757" s="173" t="n"/>
      <c r="H2757" s="173" t="n"/>
      <c r="I2757" s="173" t="n"/>
      <c r="J2757" s="173" t="n"/>
      <c r="K2757" s="173" t="n"/>
      <c r="L2757" s="173" t="n"/>
      <c r="M2757" s="173" t="n"/>
      <c r="N2757" s="173" t="n"/>
      <c r="O2757" s="173" t="n"/>
      <c r="P2757" s="173" t="n"/>
    </row>
    <row r="2758" ht="18.75" customHeight="1">
      <c r="A2758" s="173" t="n"/>
      <c r="B2758" s="177" t="inlineStr">
        <is>
          <t>BASE DO LIVRO</t>
        </is>
      </c>
      <c r="C2758" s="178" t="n"/>
      <c r="D2758" s="179" t="n"/>
      <c r="E2758" s="181" t="inlineStr">
        <is>
          <t>Nenhuma</t>
        </is>
      </c>
      <c r="F2758" s="178" t="n"/>
      <c r="G2758" s="179" t="n"/>
      <c r="H2758" s="173" t="n"/>
      <c r="I2758" s="173" t="n"/>
      <c r="J2758" s="177" t="inlineStr">
        <is>
          <t>BASE DO LIVRO</t>
        </is>
      </c>
      <c r="K2758" s="178" t="n"/>
      <c r="L2758" s="179" t="n"/>
      <c r="M2758" s="181" t="inlineStr">
        <is>
          <t>Nenhuma</t>
        </is>
      </c>
      <c r="N2758" s="178" t="n"/>
      <c r="O2758" s="179" t="n"/>
      <c r="P2758" s="173" t="n"/>
    </row>
    <row r="2759" ht="18.75" customHeight="1">
      <c r="A2759" s="173" t="n"/>
      <c r="B2759" s="177" t="inlineStr">
        <is>
          <t>CATEGORIA DE EFEITO</t>
        </is>
      </c>
      <c r="C2759" s="178" t="n"/>
      <c r="D2759" s="179" t="n"/>
      <c r="E2759" s="181" t="n"/>
      <c r="F2759" s="178" t="n"/>
      <c r="G2759" s="179" t="n"/>
      <c r="H2759" s="173" t="n"/>
      <c r="I2759" s="173" t="n"/>
      <c r="J2759" s="177" t="inlineStr">
        <is>
          <t>CATEGORIA DE EFEITO</t>
        </is>
      </c>
      <c r="K2759" s="178" t="n"/>
      <c r="L2759" s="179" t="n"/>
      <c r="M2759" s="181" t="n"/>
      <c r="N2759" s="178" t="n"/>
      <c r="O2759" s="179" t="n"/>
      <c r="P2759" s="173" t="n"/>
    </row>
    <row r="2760" ht="18.75" customHeight="1">
      <c r="A2760" s="173" t="n"/>
      <c r="B2760" s="173" t="n"/>
      <c r="C2760" s="173" t="n"/>
      <c r="D2760" s="173" t="n"/>
      <c r="E2760" s="173" t="n"/>
      <c r="F2760" s="173" t="n"/>
      <c r="G2760" s="173" t="n"/>
      <c r="H2760" s="173" t="n"/>
      <c r="I2760" s="173" t="n"/>
      <c r="J2760" s="173" t="n"/>
      <c r="K2760" s="173" t="n"/>
      <c r="L2760" s="173" t="n"/>
      <c r="M2760" s="173" t="n"/>
      <c r="N2760" s="173" t="n"/>
      <c r="O2760" s="173" t="n"/>
      <c r="P2760" s="173" t="n"/>
    </row>
    <row r="2761" ht="18.75" customHeight="1">
      <c r="A2761" s="173" t="n"/>
      <c r="B2761" s="173" t="n"/>
      <c r="C2761" s="173" t="n"/>
      <c r="D2761" s="173" t="n"/>
      <c r="E2761" s="173" t="n"/>
      <c r="F2761" s="173" t="n"/>
      <c r="G2761" s="173" t="n"/>
      <c r="H2761" s="173" t="n"/>
      <c r="I2761" s="173" t="n"/>
      <c r="J2761" s="173" t="n"/>
      <c r="K2761" s="173" t="n"/>
      <c r="L2761" s="173" t="n"/>
      <c r="M2761" s="173" t="n"/>
      <c r="N2761" s="173" t="n"/>
      <c r="O2761" s="173" t="n"/>
      <c r="P2761" s="173" t="n"/>
    </row>
    <row r="2762" ht="18.75" customHeight="1">
      <c r="A2762" s="173" t="n"/>
      <c r="B2762" s="173" t="n"/>
      <c r="C2762" s="173" t="n"/>
      <c r="D2762" s="173" t="n"/>
      <c r="E2762" s="173" t="n"/>
      <c r="F2762" s="173" t="n"/>
      <c r="G2762" s="173" t="n"/>
      <c r="H2762" s="173" t="n"/>
      <c r="I2762" s="173" t="n"/>
      <c r="J2762" s="173" t="n"/>
      <c r="K2762" s="173" t="n"/>
      <c r="L2762" s="173" t="n"/>
      <c r="M2762" s="173" t="n"/>
      <c r="N2762" s="173" t="n"/>
      <c r="O2762" s="173" t="n"/>
      <c r="P2762" s="173" t="n"/>
    </row>
    <row r="2763" ht="18.75" customHeight="1">
      <c r="A2763" s="173" t="n"/>
      <c r="B2763" s="173" t="n"/>
      <c r="C2763" s="173" t="n"/>
      <c r="D2763" s="173" t="n"/>
      <c r="E2763" s="173" t="n"/>
      <c r="F2763" s="173" t="n"/>
      <c r="G2763" s="173" t="n"/>
      <c r="H2763" s="173" t="n"/>
      <c r="I2763" s="173" t="n"/>
      <c r="J2763" s="173" t="n"/>
      <c r="K2763" s="173" t="n"/>
      <c r="L2763" s="173" t="n"/>
      <c r="M2763" s="173" t="n"/>
      <c r="N2763" s="173" t="n"/>
      <c r="O2763" s="173" t="n"/>
      <c r="P2763" s="173" t="n"/>
    </row>
    <row r="2764" ht="18.75" customHeight="1">
      <c r="A2764" s="173" t="n"/>
      <c r="B2764" s="173" t="n"/>
      <c r="C2764" s="173" t="n"/>
      <c r="D2764" s="173" t="n"/>
      <c r="E2764" s="173" t="n"/>
      <c r="F2764" s="173" t="n"/>
      <c r="G2764" s="173" t="n"/>
      <c r="H2764" s="173" t="n"/>
      <c r="I2764" s="173" t="n"/>
      <c r="J2764" s="173" t="n"/>
      <c r="K2764" s="173" t="n"/>
      <c r="L2764" s="173" t="n"/>
      <c r="M2764" s="173" t="n"/>
      <c r="N2764" s="173" t="n"/>
      <c r="O2764" s="173" t="n"/>
      <c r="P2764" s="173" t="n"/>
    </row>
    <row r="2765" ht="18.75" customHeight="1">
      <c r="A2765" s="173" t="n"/>
      <c r="B2765" s="177" t="inlineStr">
        <is>
          <t>REQUISITOS</t>
        </is>
      </c>
      <c r="C2765" s="178" t="n"/>
      <c r="D2765" s="178" t="n"/>
      <c r="E2765" s="178" t="n"/>
      <c r="F2765" s="178" t="n"/>
      <c r="G2765" s="179" t="n"/>
      <c r="H2765" s="173" t="n"/>
      <c r="I2765" s="173" t="n"/>
      <c r="J2765" s="177" t="inlineStr">
        <is>
          <t>REQUISITOS</t>
        </is>
      </c>
      <c r="K2765" s="178" t="n"/>
      <c r="L2765" s="178" t="n"/>
      <c r="M2765" s="178" t="n"/>
      <c r="N2765" s="178" t="n"/>
      <c r="O2765" s="179" t="n"/>
      <c r="P2765" s="173" t="n"/>
    </row>
    <row r="2766" ht="18.75" customHeight="1">
      <c r="A2766" s="173" t="n"/>
      <c r="B2766" s="183" t="n"/>
      <c r="C2766" s="184" t="n"/>
      <c r="D2766" s="184" t="n"/>
      <c r="E2766" s="184" t="n"/>
      <c r="F2766" s="184" t="n"/>
      <c r="G2766" s="185" t="n"/>
      <c r="H2766" s="173" t="n"/>
      <c r="I2766" s="173" t="n"/>
      <c r="J2766" s="183" t="n"/>
      <c r="K2766" s="184" t="n"/>
      <c r="L2766" s="184" t="n"/>
      <c r="M2766" s="184" t="n"/>
      <c r="N2766" s="184" t="n"/>
      <c r="O2766" s="185" t="n"/>
      <c r="P2766" s="173" t="n"/>
    </row>
    <row r="2767" ht="18.75" customHeight="1">
      <c r="A2767" s="173" t="n"/>
      <c r="B2767" s="186" t="n"/>
      <c r="G2767" s="187" t="n"/>
      <c r="H2767" s="173" t="n"/>
      <c r="I2767" s="173" t="n"/>
      <c r="J2767" s="186" t="n"/>
      <c r="O2767" s="187" t="n"/>
      <c r="P2767" s="173" t="n"/>
    </row>
    <row r="2768" ht="18.75" customHeight="1">
      <c r="A2768" s="173" t="n"/>
      <c r="B2768" s="188" t="n"/>
      <c r="C2768" s="189" t="n"/>
      <c r="D2768" s="189" t="n"/>
      <c r="E2768" s="189" t="n"/>
      <c r="F2768" s="189" t="n"/>
      <c r="G2768" s="190" t="n"/>
      <c r="H2768" s="173" t="n"/>
      <c r="I2768" s="173" t="n"/>
      <c r="J2768" s="188" t="n"/>
      <c r="K2768" s="189" t="n"/>
      <c r="L2768" s="189" t="n"/>
      <c r="M2768" s="189" t="n"/>
      <c r="N2768" s="189" t="n"/>
      <c r="O2768" s="190" t="n"/>
      <c r="P2768" s="173" t="n"/>
    </row>
    <row r="2769" ht="18.75" customHeight="1">
      <c r="A2769" s="173" t="n"/>
      <c r="B2769" s="173" t="n"/>
      <c r="C2769" s="173" t="n"/>
      <c r="D2769" s="173" t="n"/>
      <c r="E2769" s="173" t="n"/>
      <c r="F2769" s="173" t="n"/>
      <c r="G2769" s="173" t="n"/>
      <c r="H2769" s="173" t="n"/>
      <c r="I2769" s="173" t="n"/>
      <c r="J2769" s="173" t="n"/>
      <c r="K2769" s="173" t="n"/>
      <c r="L2769" s="173" t="n"/>
      <c r="M2769" s="173" t="n"/>
      <c r="N2769" s="173" t="n"/>
      <c r="O2769" s="173" t="n"/>
      <c r="P2769" s="173" t="n"/>
    </row>
    <row r="2770" ht="18.75" customHeight="1">
      <c r="A2770" s="173" t="n"/>
      <c r="B2770" s="177" t="inlineStr">
        <is>
          <t>EFEITO</t>
        </is>
      </c>
      <c r="C2770" s="178" t="n"/>
      <c r="D2770" s="178" t="n"/>
      <c r="E2770" s="178" t="n"/>
      <c r="F2770" s="178" t="n"/>
      <c r="G2770" s="179" t="n"/>
      <c r="H2770" s="173" t="n"/>
      <c r="I2770" s="173" t="n"/>
      <c r="J2770" s="177" t="inlineStr">
        <is>
          <t>EFEITO</t>
        </is>
      </c>
      <c r="K2770" s="178" t="n"/>
      <c r="L2770" s="178" t="n"/>
      <c r="M2770" s="178" t="n"/>
      <c r="N2770" s="178" t="n"/>
      <c r="O2770" s="179" t="n"/>
      <c r="P2770" s="173" t="n"/>
    </row>
    <row r="2771" ht="18.75" customHeight="1">
      <c r="A2771" s="173" t="n"/>
      <c r="B2771" s="183" t="n"/>
      <c r="C2771" s="184" t="n"/>
      <c r="D2771" s="184" t="n"/>
      <c r="E2771" s="184" t="n"/>
      <c r="F2771" s="184" t="n"/>
      <c r="G2771" s="185" t="n"/>
      <c r="H2771" s="173" t="n"/>
      <c r="I2771" s="173" t="n"/>
      <c r="J2771" s="183" t="n"/>
      <c r="K2771" s="184" t="n"/>
      <c r="L2771" s="184" t="n"/>
      <c r="M2771" s="184" t="n"/>
      <c r="N2771" s="184" t="n"/>
      <c r="O2771" s="185" t="n"/>
      <c r="P2771" s="173" t="n"/>
    </row>
    <row r="2772" ht="18.75" customHeight="1">
      <c r="A2772" s="173" t="n"/>
      <c r="B2772" s="186" t="n"/>
      <c r="G2772" s="187" t="n"/>
      <c r="H2772" s="173" t="n"/>
      <c r="I2772" s="173" t="n"/>
      <c r="J2772" s="186" t="n"/>
      <c r="O2772" s="187" t="n"/>
      <c r="P2772" s="173" t="n"/>
    </row>
    <row r="2773" ht="18.75" customHeight="1">
      <c r="A2773" s="173" t="n"/>
      <c r="B2773" s="186" t="n"/>
      <c r="G2773" s="187" t="n"/>
      <c r="H2773" s="173" t="n"/>
      <c r="I2773" s="173" t="n"/>
      <c r="J2773" s="186" t="n"/>
      <c r="O2773" s="187" t="n"/>
      <c r="P2773" s="173" t="n"/>
    </row>
    <row r="2774" ht="18.75" customHeight="1">
      <c r="A2774" s="173" t="n"/>
      <c r="B2774" s="186" t="n"/>
      <c r="G2774" s="187" t="n"/>
      <c r="H2774" s="173" t="n"/>
      <c r="I2774" s="173" t="n"/>
      <c r="J2774" s="186" t="n"/>
      <c r="O2774" s="187" t="n"/>
      <c r="P2774" s="173" t="n"/>
    </row>
    <row r="2775" ht="18.75" customHeight="1">
      <c r="A2775" s="173" t="n"/>
      <c r="B2775" s="186" t="n"/>
      <c r="G2775" s="187" t="n"/>
      <c r="H2775" s="173" t="n"/>
      <c r="I2775" s="173" t="n"/>
      <c r="J2775" s="186" t="n"/>
      <c r="O2775" s="187" t="n"/>
      <c r="P2775" s="173" t="n"/>
    </row>
    <row r="2776" ht="18.75" customHeight="1">
      <c r="A2776" s="173" t="n"/>
      <c r="B2776" s="186" t="n"/>
      <c r="G2776" s="187" t="n"/>
      <c r="H2776" s="173" t="n"/>
      <c r="I2776" s="173" t="n"/>
      <c r="J2776" s="186" t="n"/>
      <c r="O2776" s="187" t="n"/>
      <c r="P2776" s="173" t="n"/>
    </row>
    <row r="2777" ht="18.75" customHeight="1">
      <c r="A2777" s="173" t="n"/>
      <c r="B2777" s="186" t="n"/>
      <c r="G2777" s="187" t="n"/>
      <c r="H2777" s="173" t="n"/>
      <c r="I2777" s="173" t="n"/>
      <c r="J2777" s="186" t="n"/>
      <c r="O2777" s="187" t="n"/>
      <c r="P2777" s="173" t="n"/>
    </row>
    <row r="2778" ht="18.75" customHeight="1">
      <c r="A2778" s="173" t="n"/>
      <c r="B2778" s="188" t="n"/>
      <c r="C2778" s="189" t="n"/>
      <c r="D2778" s="189" t="n"/>
      <c r="E2778" s="189" t="n"/>
      <c r="F2778" s="189" t="n"/>
      <c r="G2778" s="190" t="n"/>
      <c r="H2778" s="173" t="n"/>
      <c r="I2778" s="173" t="n"/>
      <c r="J2778" s="188" t="n"/>
      <c r="K2778" s="189" t="n"/>
      <c r="L2778" s="189" t="n"/>
      <c r="M2778" s="189" t="n"/>
      <c r="N2778" s="189" t="n"/>
      <c r="O2778" s="190" t="n"/>
      <c r="P2778" s="173" t="n"/>
    </row>
    <row r="2779" ht="18.75" customHeight="1">
      <c r="A2779" s="173" t="n"/>
      <c r="B2779" s="173" t="n"/>
      <c r="C2779" s="173" t="n"/>
      <c r="D2779" s="173" t="n"/>
      <c r="E2779" s="173" t="n"/>
      <c r="F2779" s="173" t="n"/>
      <c r="G2779" s="173" t="n"/>
      <c r="H2779" s="173" t="n"/>
      <c r="I2779" s="173" t="n"/>
      <c r="J2779" s="173" t="n"/>
      <c r="K2779" s="173" t="n"/>
      <c r="L2779" s="173" t="n"/>
      <c r="M2779" s="173" t="n"/>
      <c r="N2779" s="173" t="n"/>
      <c r="O2779" s="173" t="n"/>
      <c r="P2779" s="173" t="n"/>
    </row>
    <row r="2780" ht="18.75" customHeight="1">
      <c r="A2780" s="173" t="n"/>
      <c r="B2780" s="175">
        <f>IF('DADOS_ENTIDADES'!$AG$18="","","⚠ "&amp;'DADOS_ENTIDADES'!$AG$18)</f>
        <v/>
      </c>
      <c r="H2780" s="173" t="n"/>
      <c r="I2780" s="173" t="n"/>
      <c r="J2780" s="175">
        <f>IF('DADOS_ENTIDADES'!$AG$19="","","⚠ "&amp;'DADOS_ENTIDADES'!$AG$19)</f>
        <v/>
      </c>
      <c r="P2780" s="173" t="n"/>
    </row>
    <row r="2781" ht="18.75" customHeight="1">
      <c r="A2781" s="173" t="n"/>
      <c r="H2781" s="173" t="n"/>
      <c r="I2781" s="173" t="n"/>
      <c r="P2781" s="173" t="n"/>
    </row>
    <row r="2782" ht="18.75" customHeight="1">
      <c r="A2782" s="173" t="n"/>
      <c r="B2782" s="176" t="inlineStr">
        <is>
          <t>TALENTO · ENTIDADE · 19</t>
        </is>
      </c>
      <c r="H2782" s="173" t="n"/>
      <c r="I2782" s="173" t="n"/>
      <c r="J2782" s="176" t="inlineStr">
        <is>
          <t>TALENTO · ENTIDADE · 20</t>
        </is>
      </c>
      <c r="P2782" s="173" t="n"/>
    </row>
    <row r="2783" ht="18.75" customHeight="1">
      <c r="A2783" s="173" t="n"/>
      <c r="B2783" s="177" t="inlineStr">
        <is>
          <t>NOME</t>
        </is>
      </c>
      <c r="C2783" s="178" t="n"/>
      <c r="D2783" s="178" t="n"/>
      <c r="E2783" s="179" t="n"/>
      <c r="F2783" s="177" t="inlineStr">
        <is>
          <t>MESTRE VIU</t>
        </is>
      </c>
      <c r="G2783" s="179" t="n"/>
      <c r="H2783" s="173" t="n"/>
      <c r="I2783" s="173" t="n"/>
      <c r="J2783" s="177" t="inlineStr">
        <is>
          <t>NOME</t>
        </is>
      </c>
      <c r="K2783" s="178" t="n"/>
      <c r="L2783" s="178" t="n"/>
      <c r="M2783" s="179" t="n"/>
      <c r="N2783" s="177" t="inlineStr">
        <is>
          <t>MESTRE VIU</t>
        </is>
      </c>
      <c r="O2783" s="179" t="n"/>
      <c r="P2783" s="173" t="n"/>
    </row>
    <row r="2784" ht="18.75" customHeight="1">
      <c r="A2784" s="173" t="n"/>
      <c r="B2784" s="181" t="n"/>
      <c r="C2784" s="178" t="n"/>
      <c r="D2784" s="178" t="n"/>
      <c r="E2784" s="179" t="n"/>
      <c r="F2784" s="180" t="b">
        <v>0</v>
      </c>
      <c r="G2784" s="179" t="n"/>
      <c r="H2784" s="173" t="n"/>
      <c r="I2784" s="173" t="n"/>
      <c r="J2784" s="181" t="n"/>
      <c r="K2784" s="178" t="n"/>
      <c r="L2784" s="178" t="n"/>
      <c r="M2784" s="179" t="n"/>
      <c r="N2784" s="180" t="b">
        <v>0</v>
      </c>
      <c r="O2784" s="179" t="n"/>
      <c r="P2784" s="173" t="n"/>
    </row>
    <row r="2785" ht="18.75" customHeight="1">
      <c r="A2785" s="173" t="n"/>
      <c r="B2785" s="173" t="n"/>
      <c r="C2785" s="173" t="n"/>
      <c r="D2785" s="173" t="n"/>
      <c r="E2785" s="173" t="n"/>
      <c r="F2785" s="173" t="n"/>
      <c r="G2785" s="173" t="n"/>
      <c r="H2785" s="173" t="n"/>
      <c r="I2785" s="173" t="n"/>
      <c r="J2785" s="173" t="n"/>
      <c r="K2785" s="173" t="n"/>
      <c r="L2785" s="173" t="n"/>
      <c r="M2785" s="173" t="n"/>
      <c r="N2785" s="173" t="n"/>
      <c r="O2785" s="173" t="n"/>
      <c r="P2785" s="173" t="n"/>
    </row>
    <row r="2786" ht="18.75" customHeight="1">
      <c r="A2786" s="173" t="n"/>
      <c r="B2786" s="177" t="inlineStr">
        <is>
          <t>BASE DO LIVRO</t>
        </is>
      </c>
      <c r="C2786" s="178" t="n"/>
      <c r="D2786" s="179" t="n"/>
      <c r="E2786" s="181" t="inlineStr">
        <is>
          <t>Nenhuma</t>
        </is>
      </c>
      <c r="F2786" s="178" t="n"/>
      <c r="G2786" s="179" t="n"/>
      <c r="H2786" s="173" t="n"/>
      <c r="I2786" s="173" t="n"/>
      <c r="J2786" s="177" t="inlineStr">
        <is>
          <t>BASE DO LIVRO</t>
        </is>
      </c>
      <c r="K2786" s="178" t="n"/>
      <c r="L2786" s="179" t="n"/>
      <c r="M2786" s="181" t="inlineStr">
        <is>
          <t>Nenhuma</t>
        </is>
      </c>
      <c r="N2786" s="178" t="n"/>
      <c r="O2786" s="179" t="n"/>
      <c r="P2786" s="173" t="n"/>
    </row>
    <row r="2787" ht="18.75" customHeight="1">
      <c r="A2787" s="173" t="n"/>
      <c r="B2787" s="177" t="inlineStr">
        <is>
          <t>CATEGORIA DE EFEITO</t>
        </is>
      </c>
      <c r="C2787" s="178" t="n"/>
      <c r="D2787" s="179" t="n"/>
      <c r="E2787" s="181" t="n"/>
      <c r="F2787" s="178" t="n"/>
      <c r="G2787" s="179" t="n"/>
      <c r="H2787" s="173" t="n"/>
      <c r="I2787" s="173" t="n"/>
      <c r="J2787" s="177" t="inlineStr">
        <is>
          <t>CATEGORIA DE EFEITO</t>
        </is>
      </c>
      <c r="K2787" s="178" t="n"/>
      <c r="L2787" s="179" t="n"/>
      <c r="M2787" s="181" t="n"/>
      <c r="N2787" s="178" t="n"/>
      <c r="O2787" s="179" t="n"/>
      <c r="P2787" s="173" t="n"/>
    </row>
    <row r="2788" ht="18.75" customHeight="1">
      <c r="A2788" s="173" t="n"/>
      <c r="B2788" s="173" t="n"/>
      <c r="C2788" s="173" t="n"/>
      <c r="D2788" s="173" t="n"/>
      <c r="E2788" s="173" t="n"/>
      <c r="F2788" s="173" t="n"/>
      <c r="G2788" s="173" t="n"/>
      <c r="H2788" s="173" t="n"/>
      <c r="I2788" s="173" t="n"/>
      <c r="J2788" s="173" t="n"/>
      <c r="K2788" s="173" t="n"/>
      <c r="L2788" s="173" t="n"/>
      <c r="M2788" s="173" t="n"/>
      <c r="N2788" s="173" t="n"/>
      <c r="O2788" s="173" t="n"/>
      <c r="P2788" s="173" t="n"/>
    </row>
    <row r="2789" ht="18.75" customHeight="1">
      <c r="A2789" s="173" t="n"/>
      <c r="B2789" s="173" t="n"/>
      <c r="C2789" s="173" t="n"/>
      <c r="D2789" s="173" t="n"/>
      <c r="E2789" s="173" t="n"/>
      <c r="F2789" s="173" t="n"/>
      <c r="G2789" s="173" t="n"/>
      <c r="H2789" s="173" t="n"/>
      <c r="I2789" s="173" t="n"/>
      <c r="J2789" s="173" t="n"/>
      <c r="K2789" s="173" t="n"/>
      <c r="L2789" s="173" t="n"/>
      <c r="M2789" s="173" t="n"/>
      <c r="N2789" s="173" t="n"/>
      <c r="O2789" s="173" t="n"/>
      <c r="P2789" s="173" t="n"/>
    </row>
    <row r="2790" ht="18.75" customHeight="1">
      <c r="A2790" s="173" t="n"/>
      <c r="B2790" s="173" t="n"/>
      <c r="C2790" s="173" t="n"/>
      <c r="D2790" s="173" t="n"/>
      <c r="E2790" s="173" t="n"/>
      <c r="F2790" s="173" t="n"/>
      <c r="G2790" s="173" t="n"/>
      <c r="H2790" s="173" t="n"/>
      <c r="I2790" s="173" t="n"/>
      <c r="J2790" s="173" t="n"/>
      <c r="K2790" s="173" t="n"/>
      <c r="L2790" s="173" t="n"/>
      <c r="M2790" s="173" t="n"/>
      <c r="N2790" s="173" t="n"/>
      <c r="O2790" s="173" t="n"/>
      <c r="P2790" s="173" t="n"/>
    </row>
    <row r="2791" ht="18.75" customHeight="1">
      <c r="A2791" s="173" t="n"/>
      <c r="B2791" s="173" t="n"/>
      <c r="C2791" s="173" t="n"/>
      <c r="D2791" s="173" t="n"/>
      <c r="E2791" s="173" t="n"/>
      <c r="F2791" s="173" t="n"/>
      <c r="G2791" s="173" t="n"/>
      <c r="H2791" s="173" t="n"/>
      <c r="I2791" s="173" t="n"/>
      <c r="J2791" s="173" t="n"/>
      <c r="K2791" s="173" t="n"/>
      <c r="L2791" s="173" t="n"/>
      <c r="M2791" s="173" t="n"/>
      <c r="N2791" s="173" t="n"/>
      <c r="O2791" s="173" t="n"/>
      <c r="P2791" s="173" t="n"/>
    </row>
    <row r="2792" ht="18.75" customHeight="1">
      <c r="A2792" s="173" t="n"/>
      <c r="B2792" s="173" t="n"/>
      <c r="C2792" s="173" t="n"/>
      <c r="D2792" s="173" t="n"/>
      <c r="E2792" s="173" t="n"/>
      <c r="F2792" s="173" t="n"/>
      <c r="G2792" s="173" t="n"/>
      <c r="H2792" s="173" t="n"/>
      <c r="I2792" s="173" t="n"/>
      <c r="J2792" s="173" t="n"/>
      <c r="K2792" s="173" t="n"/>
      <c r="L2792" s="173" t="n"/>
      <c r="M2792" s="173" t="n"/>
      <c r="N2792" s="173" t="n"/>
      <c r="O2792" s="173" t="n"/>
      <c r="P2792" s="173" t="n"/>
    </row>
    <row r="2793" ht="18.75" customHeight="1">
      <c r="A2793" s="173" t="n"/>
      <c r="B2793" s="177" t="inlineStr">
        <is>
          <t>REQUISITOS</t>
        </is>
      </c>
      <c r="C2793" s="178" t="n"/>
      <c r="D2793" s="178" t="n"/>
      <c r="E2793" s="178" t="n"/>
      <c r="F2793" s="178" t="n"/>
      <c r="G2793" s="179" t="n"/>
      <c r="H2793" s="173" t="n"/>
      <c r="I2793" s="173" t="n"/>
      <c r="J2793" s="177" t="inlineStr">
        <is>
          <t>REQUISITOS</t>
        </is>
      </c>
      <c r="K2793" s="178" t="n"/>
      <c r="L2793" s="178" t="n"/>
      <c r="M2793" s="178" t="n"/>
      <c r="N2793" s="178" t="n"/>
      <c r="O2793" s="179" t="n"/>
      <c r="P2793" s="173" t="n"/>
    </row>
    <row r="2794" ht="18.75" customHeight="1">
      <c r="A2794" s="173" t="n"/>
      <c r="B2794" s="183" t="n"/>
      <c r="C2794" s="184" t="n"/>
      <c r="D2794" s="184" t="n"/>
      <c r="E2794" s="184" t="n"/>
      <c r="F2794" s="184" t="n"/>
      <c r="G2794" s="185" t="n"/>
      <c r="H2794" s="173" t="n"/>
      <c r="I2794" s="173" t="n"/>
      <c r="J2794" s="183" t="n"/>
      <c r="K2794" s="184" t="n"/>
      <c r="L2794" s="184" t="n"/>
      <c r="M2794" s="184" t="n"/>
      <c r="N2794" s="184" t="n"/>
      <c r="O2794" s="185" t="n"/>
      <c r="P2794" s="173" t="n"/>
    </row>
    <row r="2795" ht="18.75" customHeight="1">
      <c r="A2795" s="173" t="n"/>
      <c r="B2795" s="186" t="n"/>
      <c r="G2795" s="187" t="n"/>
      <c r="H2795" s="173" t="n"/>
      <c r="I2795" s="173" t="n"/>
      <c r="J2795" s="186" t="n"/>
      <c r="O2795" s="187" t="n"/>
      <c r="P2795" s="173" t="n"/>
    </row>
    <row r="2796" ht="18.75" customHeight="1">
      <c r="A2796" s="173" t="n"/>
      <c r="B2796" s="188" t="n"/>
      <c r="C2796" s="189" t="n"/>
      <c r="D2796" s="189" t="n"/>
      <c r="E2796" s="189" t="n"/>
      <c r="F2796" s="189" t="n"/>
      <c r="G2796" s="190" t="n"/>
      <c r="H2796" s="173" t="n"/>
      <c r="I2796" s="173" t="n"/>
      <c r="J2796" s="188" t="n"/>
      <c r="K2796" s="189" t="n"/>
      <c r="L2796" s="189" t="n"/>
      <c r="M2796" s="189" t="n"/>
      <c r="N2796" s="189" t="n"/>
      <c r="O2796" s="190" t="n"/>
      <c r="P2796" s="173" t="n"/>
    </row>
    <row r="2797" ht="18.75" customHeight="1">
      <c r="A2797" s="173" t="n"/>
      <c r="B2797" s="173" t="n"/>
      <c r="C2797" s="173" t="n"/>
      <c r="D2797" s="173" t="n"/>
      <c r="E2797" s="173" t="n"/>
      <c r="F2797" s="173" t="n"/>
      <c r="G2797" s="173" t="n"/>
      <c r="H2797" s="173" t="n"/>
      <c r="I2797" s="173" t="n"/>
      <c r="J2797" s="173" t="n"/>
      <c r="K2797" s="173" t="n"/>
      <c r="L2797" s="173" t="n"/>
      <c r="M2797" s="173" t="n"/>
      <c r="N2797" s="173" t="n"/>
      <c r="O2797" s="173" t="n"/>
      <c r="P2797" s="173" t="n"/>
    </row>
    <row r="2798" ht="18.75" customHeight="1">
      <c r="A2798" s="173" t="n"/>
      <c r="B2798" s="177" t="inlineStr">
        <is>
          <t>EFEITO</t>
        </is>
      </c>
      <c r="C2798" s="178" t="n"/>
      <c r="D2798" s="178" t="n"/>
      <c r="E2798" s="178" t="n"/>
      <c r="F2798" s="178" t="n"/>
      <c r="G2798" s="179" t="n"/>
      <c r="H2798" s="173" t="n"/>
      <c r="I2798" s="173" t="n"/>
      <c r="J2798" s="177" t="inlineStr">
        <is>
          <t>EFEITO</t>
        </is>
      </c>
      <c r="K2798" s="178" t="n"/>
      <c r="L2798" s="178" t="n"/>
      <c r="M2798" s="178" t="n"/>
      <c r="N2798" s="178" t="n"/>
      <c r="O2798" s="179" t="n"/>
      <c r="P2798" s="173" t="n"/>
    </row>
    <row r="2799" ht="18.75" customHeight="1">
      <c r="A2799" s="173" t="n"/>
      <c r="B2799" s="183" t="n"/>
      <c r="C2799" s="184" t="n"/>
      <c r="D2799" s="184" t="n"/>
      <c r="E2799" s="184" t="n"/>
      <c r="F2799" s="184" t="n"/>
      <c r="G2799" s="185" t="n"/>
      <c r="H2799" s="173" t="n"/>
      <c r="I2799" s="173" t="n"/>
      <c r="J2799" s="183" t="n"/>
      <c r="K2799" s="184" t="n"/>
      <c r="L2799" s="184" t="n"/>
      <c r="M2799" s="184" t="n"/>
      <c r="N2799" s="184" t="n"/>
      <c r="O2799" s="185" t="n"/>
      <c r="P2799" s="173" t="n"/>
    </row>
    <row r="2800" ht="18.75" customHeight="1">
      <c r="A2800" s="173" t="n"/>
      <c r="B2800" s="186" t="n"/>
      <c r="G2800" s="187" t="n"/>
      <c r="H2800" s="173" t="n"/>
      <c r="I2800" s="173" t="n"/>
      <c r="J2800" s="186" t="n"/>
      <c r="O2800" s="187" t="n"/>
      <c r="P2800" s="173" t="n"/>
    </row>
    <row r="2801" ht="18.75" customHeight="1">
      <c r="A2801" s="173" t="n"/>
      <c r="B2801" s="186" t="n"/>
      <c r="G2801" s="187" t="n"/>
      <c r="H2801" s="173" t="n"/>
      <c r="I2801" s="173" t="n"/>
      <c r="J2801" s="186" t="n"/>
      <c r="O2801" s="187" t="n"/>
      <c r="P2801" s="173" t="n"/>
    </row>
    <row r="2802" ht="18.75" customHeight="1">
      <c r="A2802" s="173" t="n"/>
      <c r="B2802" s="186" t="n"/>
      <c r="G2802" s="187" t="n"/>
      <c r="H2802" s="173" t="n"/>
      <c r="I2802" s="173" t="n"/>
      <c r="J2802" s="186" t="n"/>
      <c r="O2802" s="187" t="n"/>
      <c r="P2802" s="173" t="n"/>
    </row>
    <row r="2803" ht="18.75" customHeight="1">
      <c r="A2803" s="173" t="n"/>
      <c r="B2803" s="186" t="n"/>
      <c r="G2803" s="187" t="n"/>
      <c r="H2803" s="173" t="n"/>
      <c r="I2803" s="173" t="n"/>
      <c r="J2803" s="186" t="n"/>
      <c r="O2803" s="187" t="n"/>
      <c r="P2803" s="173" t="n"/>
    </row>
    <row r="2804" ht="18.75" customHeight="1">
      <c r="A2804" s="173" t="n"/>
      <c r="B2804" s="186" t="n"/>
      <c r="G2804" s="187" t="n"/>
      <c r="H2804" s="173" t="n"/>
      <c r="I2804" s="173" t="n"/>
      <c r="J2804" s="186" t="n"/>
      <c r="O2804" s="187" t="n"/>
      <c r="P2804" s="173" t="n"/>
    </row>
    <row r="2805" ht="18.75" customHeight="1">
      <c r="A2805" s="173" t="n"/>
      <c r="B2805" s="186" t="n"/>
      <c r="G2805" s="187" t="n"/>
      <c r="H2805" s="173" t="n"/>
      <c r="I2805" s="173" t="n"/>
      <c r="J2805" s="186" t="n"/>
      <c r="O2805" s="187" t="n"/>
      <c r="P2805" s="173" t="n"/>
    </row>
    <row r="2806" ht="18.75" customHeight="1">
      <c r="A2806" s="173" t="n"/>
      <c r="B2806" s="188" t="n"/>
      <c r="C2806" s="189" t="n"/>
      <c r="D2806" s="189" t="n"/>
      <c r="E2806" s="189" t="n"/>
      <c r="F2806" s="189" t="n"/>
      <c r="G2806" s="190" t="n"/>
      <c r="H2806" s="173" t="n"/>
      <c r="I2806" s="173" t="n"/>
      <c r="J2806" s="188" t="n"/>
      <c r="K2806" s="189" t="n"/>
      <c r="L2806" s="189" t="n"/>
      <c r="M2806" s="189" t="n"/>
      <c r="N2806" s="189" t="n"/>
      <c r="O2806" s="190" t="n"/>
      <c r="P2806" s="173" t="n"/>
    </row>
    <row r="2807" ht="18.75" customHeight="1">
      <c r="A2807" s="173" t="n"/>
      <c r="B2807" s="173" t="n"/>
      <c r="C2807" s="173" t="n"/>
      <c r="D2807" s="173" t="n"/>
      <c r="E2807" s="173" t="n"/>
      <c r="F2807" s="173" t="n"/>
      <c r="G2807" s="173" t="n"/>
      <c r="H2807" s="173" t="n"/>
      <c r="I2807" s="173" t="n"/>
      <c r="J2807" s="173" t="n"/>
      <c r="K2807" s="173" t="n"/>
      <c r="L2807" s="173" t="n"/>
      <c r="M2807" s="173" t="n"/>
      <c r="N2807" s="173" t="n"/>
      <c r="O2807" s="173" t="n"/>
      <c r="P2807" s="173" t="n"/>
    </row>
    <row r="2808" ht="18.75" customHeight="1">
      <c r="A2808" s="173" t="n"/>
      <c r="B2808" s="175">
        <f>IF('DADOS_ENTIDADES'!$AG$20="","","⚠ "&amp;'DADOS_ENTIDADES'!$AG$20)</f>
        <v/>
      </c>
      <c r="H2808" s="173" t="n"/>
      <c r="I2808" s="173" t="n"/>
      <c r="J2808" s="175">
        <f>IF('DADOS_ENTIDADES'!$AG$21="","","⚠ "&amp;'DADOS_ENTIDADES'!$AG$21)</f>
        <v/>
      </c>
      <c r="P2808" s="173" t="n"/>
    </row>
    <row r="2809" ht="18.75" customHeight="1">
      <c r="A2809" s="173" t="n"/>
      <c r="H2809" s="173" t="n"/>
      <c r="I2809" s="173" t="n"/>
      <c r="P2809" s="173" t="n"/>
    </row>
    <row r="2810" ht="18.75" customHeight="1">
      <c r="A2810" s="173" t="n"/>
      <c r="B2810" s="173" t="n"/>
      <c r="C2810" s="173" t="n"/>
      <c r="D2810" s="173" t="n"/>
      <c r="E2810" s="173" t="n"/>
      <c r="F2810" s="173" t="n"/>
      <c r="G2810" s="173" t="n"/>
      <c r="H2810" s="173" t="n"/>
      <c r="I2810" s="173" t="n"/>
      <c r="J2810" s="173" t="n"/>
      <c r="K2810" s="173" t="n"/>
      <c r="L2810" s="173" t="n"/>
      <c r="M2810" s="173" t="n"/>
      <c r="N2810" s="173" t="n"/>
      <c r="O2810" s="173" t="n"/>
      <c r="P2810" s="173" t="n"/>
    </row>
  </sheetData>
  <mergeCells count="4110">
    <mergeCell ref="J579:O583"/>
    <mergeCell ref="N1195:O1195"/>
    <mergeCell ref="J1848:M1848"/>
    <mergeCell ref="N1493:O1493"/>
    <mergeCell ref="J1699:O1699"/>
    <mergeCell ref="F2259:G2259"/>
    <mergeCell ref="N1669:O1669"/>
    <mergeCell ref="L546:O546"/>
    <mergeCell ref="J2602:O2602"/>
    <mergeCell ref="B2167:G2168"/>
    <mergeCell ref="M1696:O1696"/>
    <mergeCell ref="J613:O614"/>
    <mergeCell ref="J2446:M2446"/>
    <mergeCell ref="J2297:O2297"/>
    <mergeCell ref="J212:O212"/>
    <mergeCell ref="J2304:O2305"/>
    <mergeCell ref="L548:O548"/>
    <mergeCell ref="B1340:G1344"/>
    <mergeCell ref="J1694:O1694"/>
    <mergeCell ref="J817:O817"/>
    <mergeCell ref="J939:O939"/>
    <mergeCell ref="B2460:G2460"/>
    <mergeCell ref="J1115:O1115"/>
    <mergeCell ref="J56:O56"/>
    <mergeCell ref="F983:G983"/>
    <mergeCell ref="J1697:L1697"/>
    <mergeCell ref="J1995:L1995"/>
    <mergeCell ref="M1996:O1996"/>
    <mergeCell ref="E2070:G2070"/>
    <mergeCell ref="M1095:O1095"/>
    <mergeCell ref="J1832:O1843"/>
    <mergeCell ref="B884:G884"/>
    <mergeCell ref="J507:K507"/>
    <mergeCell ref="J475:M475"/>
    <mergeCell ref="B1313:G1313"/>
    <mergeCell ref="B1940:D1940"/>
    <mergeCell ref="B1611:G1611"/>
    <mergeCell ref="J1997:L1997"/>
    <mergeCell ref="M1998:O1998"/>
    <mergeCell ref="B2068:G2068"/>
    <mergeCell ref="J2172:M2172"/>
    <mergeCell ref="B2366:G2366"/>
    <mergeCell ref="B1477:D1477"/>
    <mergeCell ref="J1567:O1567"/>
    <mergeCell ref="L450:O450"/>
    <mergeCell ref="B2029:D2029"/>
    <mergeCell ref="F2644:G2644"/>
    <mergeCell ref="B1906:D1906"/>
    <mergeCell ref="N1090:O1090"/>
    <mergeCell ref="B2498:G2499"/>
    <mergeCell ref="N329:O329"/>
    <mergeCell ref="J387:M387"/>
    <mergeCell ref="B1607:D1607"/>
    <mergeCell ref="M2027:O2027"/>
    <mergeCell ref="L574:O574"/>
    <mergeCell ref="J230:O230"/>
    <mergeCell ref="B1941:D1941"/>
    <mergeCell ref="F1428:G1428"/>
    <mergeCell ref="B1935:D1935"/>
    <mergeCell ref="N2783:O2783"/>
    <mergeCell ref="M1453:O1453"/>
    <mergeCell ref="J1712:O1712"/>
    <mergeCell ref="L109:O109"/>
    <mergeCell ref="L451:O451"/>
    <mergeCell ref="J1929:O1929"/>
    <mergeCell ref="J870:O870"/>
    <mergeCell ref="J1252:L1252"/>
    <mergeCell ref="J2780:O2781"/>
    <mergeCell ref="M1411:O1411"/>
    <mergeCell ref="J959:O959"/>
    <mergeCell ref="B2405:G2412"/>
    <mergeCell ref="J2686:O2686"/>
    <mergeCell ref="J289:O293"/>
    <mergeCell ref="J1422:O1423"/>
    <mergeCell ref="J2155:O2158"/>
    <mergeCell ref="J1598:O1599"/>
    <mergeCell ref="J1170:O1170"/>
    <mergeCell ref="J2313:L2313"/>
    <mergeCell ref="J220:K220"/>
    <mergeCell ref="E2091:G2091"/>
    <mergeCell ref="J518:K518"/>
    <mergeCell ref="M2078:O2078"/>
    <mergeCell ref="J1253:L1253"/>
    <mergeCell ref="B2082:D2082"/>
    <mergeCell ref="J222:K222"/>
    <mergeCell ref="J344:K344"/>
    <mergeCell ref="B900:D900"/>
    <mergeCell ref="B1326:G1326"/>
    <mergeCell ref="B2259:E2259"/>
    <mergeCell ref="B1198:D1198"/>
    <mergeCell ref="B139:D139"/>
    <mergeCell ref="J1926:O1926"/>
    <mergeCell ref="J2339:L2339"/>
    <mergeCell ref="E2452:G2452"/>
    <mergeCell ref="B1356:D1356"/>
    <mergeCell ref="B2799:G2806"/>
    <mergeCell ref="B1927:E1927"/>
    <mergeCell ref="B899:G899"/>
    <mergeCell ref="N2198:O2198"/>
    <mergeCell ref="N2502:O2502"/>
    <mergeCell ref="L137:O137"/>
    <mergeCell ref="F1299:G1299"/>
    <mergeCell ref="B2083:D2083"/>
    <mergeCell ref="B2077:D2077"/>
    <mergeCell ref="F1143:G1143"/>
    <mergeCell ref="J68:M68"/>
    <mergeCell ref="L130:O130"/>
    <mergeCell ref="J246:K246"/>
    <mergeCell ref="J881:O881"/>
    <mergeCell ref="J1366:O1370"/>
    <mergeCell ref="B1954:D1954"/>
    <mergeCell ref="L166:O166"/>
    <mergeCell ref="L489:O489"/>
    <mergeCell ref="B2433:G2440"/>
    <mergeCell ref="N2199:O2199"/>
    <mergeCell ref="J2399:O2399"/>
    <mergeCell ref="B923:G923"/>
    <mergeCell ref="L132:O132"/>
    <mergeCell ref="J248:K248"/>
    <mergeCell ref="J1041:O1041"/>
    <mergeCell ref="J1339:O1339"/>
    <mergeCell ref="J1346:O1347"/>
    <mergeCell ref="E2478:G2478"/>
    <mergeCell ref="J578:O578"/>
    <mergeCell ref="B2473:E2473"/>
    <mergeCell ref="B2737:G2737"/>
    <mergeCell ref="F869:G869"/>
    <mergeCell ref="J1768:O1768"/>
    <mergeCell ref="M2396:O2396"/>
    <mergeCell ref="N1882:O1882"/>
    <mergeCell ref="J1938:L1938"/>
    <mergeCell ref="J157:O157"/>
    <mergeCell ref="B2316:G2316"/>
    <mergeCell ref="B2587:E2587"/>
    <mergeCell ref="B2373:G2376"/>
    <mergeCell ref="B2614:G2614"/>
    <mergeCell ref="F1169:G1169"/>
    <mergeCell ref="J2068:O2068"/>
    <mergeCell ref="J1940:L1940"/>
    <mergeCell ref="B1408:G1408"/>
    <mergeCell ref="B1559:E1559"/>
    <mergeCell ref="J1477:L1477"/>
    <mergeCell ref="B2107:G2108"/>
    <mergeCell ref="B2312:D2312"/>
    <mergeCell ref="N2644:O2644"/>
    <mergeCell ref="J882:M882"/>
    <mergeCell ref="F925:G925"/>
    <mergeCell ref="B2311:G2311"/>
    <mergeCell ref="B902:G904"/>
    <mergeCell ref="L219:O219"/>
    <mergeCell ref="L517:O517"/>
    <mergeCell ref="N98:O98"/>
    <mergeCell ref="M2422:O2422"/>
    <mergeCell ref="J6:O7"/>
    <mergeCell ref="L519:O519"/>
    <mergeCell ref="B2798:G2798"/>
    <mergeCell ref="J1488:O1489"/>
    <mergeCell ref="J1972:O1972"/>
    <mergeCell ref="B2615:E2615"/>
    <mergeCell ref="J695:O699"/>
    <mergeCell ref="J2289:L2289"/>
    <mergeCell ref="J286:K286"/>
    <mergeCell ref="E764:G764"/>
    <mergeCell ref="M2125:O2125"/>
    <mergeCell ref="J2080:L2080"/>
    <mergeCell ref="J299:O299"/>
    <mergeCell ref="B2194:G2195"/>
    <mergeCell ref="B2064:G2064"/>
    <mergeCell ref="E2034:G2034"/>
    <mergeCell ref="J1788:O1789"/>
    <mergeCell ref="J1993:L1993"/>
    <mergeCell ref="J1653:L1653"/>
    <mergeCell ref="B1272:E1272"/>
    <mergeCell ref="E1431:G1431"/>
    <mergeCell ref="B2025:D2025"/>
    <mergeCell ref="J2082:L2082"/>
    <mergeCell ref="M2450:O2450"/>
    <mergeCell ref="F2283:G2283"/>
    <mergeCell ref="J287:K287"/>
    <mergeCell ref="B2035:D2035"/>
    <mergeCell ref="E2036:G2036"/>
    <mergeCell ref="J622:O622"/>
    <mergeCell ref="B2448:D2448"/>
    <mergeCell ref="B1143:E1143"/>
    <mergeCell ref="J2259:M2259"/>
    <mergeCell ref="J1953:L1953"/>
    <mergeCell ref="J2591:L2591"/>
    <mergeCell ref="B2027:D2027"/>
    <mergeCell ref="B2149:D2149"/>
    <mergeCell ref="M2452:O2452"/>
    <mergeCell ref="N126:O126"/>
    <mergeCell ref="L659:O659"/>
    <mergeCell ref="B1273:E1273"/>
    <mergeCell ref="J14:K14"/>
    <mergeCell ref="J312:K312"/>
    <mergeCell ref="C784:G784"/>
    <mergeCell ref="F1849:G1849"/>
    <mergeCell ref="B2449:D2449"/>
    <mergeCell ref="E1149:G1149"/>
    <mergeCell ref="B1452:G1452"/>
    <mergeCell ref="L661:O661"/>
    <mergeCell ref="J2008:O2008"/>
    <mergeCell ref="J314:K314"/>
    <mergeCell ref="E844:G844"/>
    <mergeCell ref="M2476:O2476"/>
    <mergeCell ref="J260:O264"/>
    <mergeCell ref="N1324:O1324"/>
    <mergeCell ref="J650:O650"/>
    <mergeCell ref="E1906:G1906"/>
    <mergeCell ref="J15:K15"/>
    <mergeCell ref="B2480:D2480"/>
    <mergeCell ref="J313:K313"/>
    <mergeCell ref="B1444:G1445"/>
    <mergeCell ref="J984:O984"/>
    <mergeCell ref="E1607:G1607"/>
    <mergeCell ref="E2123:G2123"/>
    <mergeCell ref="E2421:G2421"/>
    <mergeCell ref="J911:M911"/>
    <mergeCell ref="E2176:G2176"/>
    <mergeCell ref="M2478:O2478"/>
    <mergeCell ref="B2009:G2012"/>
    <mergeCell ref="J315:K315"/>
    <mergeCell ref="E2089:G2089"/>
    <mergeCell ref="J405:O409"/>
    <mergeCell ref="B2046:D2046"/>
    <mergeCell ref="M2647:O2647"/>
    <mergeCell ref="E2205:G2205"/>
    <mergeCell ref="E1146:G1146"/>
    <mergeCell ref="F1691:G1691"/>
    <mergeCell ref="B1760:G1761"/>
    <mergeCell ref="J1849:M1849"/>
    <mergeCell ref="M1433:O1433"/>
    <mergeCell ref="J98:M98"/>
    <mergeCell ref="J1428:M1428"/>
    <mergeCell ref="B2073:D2073"/>
    <mergeCell ref="N2283:O2283"/>
    <mergeCell ref="B1934:D1934"/>
    <mergeCell ref="L285:O285"/>
    <mergeCell ref="B1652:D1652"/>
    <mergeCell ref="N925:O925"/>
    <mergeCell ref="N1538:O1538"/>
    <mergeCell ref="B1950:D1950"/>
    <mergeCell ref="L162:O162"/>
    <mergeCell ref="M1891:O1891"/>
    <mergeCell ref="J808:O809"/>
    <mergeCell ref="B1106:G1110"/>
    <mergeCell ref="E2263:G2263"/>
    <mergeCell ref="B2258:E2258"/>
    <mergeCell ref="B1167:G1167"/>
    <mergeCell ref="B100:C100"/>
    <mergeCell ref="B2342:G2345"/>
    <mergeCell ref="J2032:L2032"/>
    <mergeCell ref="M1893:O1893"/>
    <mergeCell ref="J549:O549"/>
    <mergeCell ref="E2563:G2563"/>
    <mergeCell ref="J544:K544"/>
    <mergeCell ref="B102:C102"/>
    <mergeCell ref="B1977:D1977"/>
    <mergeCell ref="N2309:O2309"/>
    <mergeCell ref="J2194:O2195"/>
    <mergeCell ref="K781:O781"/>
    <mergeCell ref="N68:O68"/>
    <mergeCell ref="J126:M126"/>
    <mergeCell ref="L601:O601"/>
    <mergeCell ref="B1379:G1379"/>
    <mergeCell ref="J1299:M1299"/>
    <mergeCell ref="F896:G896"/>
    <mergeCell ref="J389:O389"/>
    <mergeCell ref="F1194:G1194"/>
    <mergeCell ref="B1978:D1978"/>
    <mergeCell ref="B910:E910"/>
    <mergeCell ref="F1325:G1325"/>
    <mergeCell ref="L603:O603"/>
    <mergeCell ref="L190:O190"/>
    <mergeCell ref="J1143:M1143"/>
    <mergeCell ref="J723:O723"/>
    <mergeCell ref="J1451:O1451"/>
    <mergeCell ref="B2092:D2092"/>
    <mergeCell ref="L304:O304"/>
    <mergeCell ref="L602:O602"/>
    <mergeCell ref="J636:O636"/>
    <mergeCell ref="L596:O596"/>
    <mergeCell ref="J1392:O1396"/>
    <mergeCell ref="F1494:G1494"/>
    <mergeCell ref="J255:K255"/>
    <mergeCell ref="J2506:L2506"/>
    <mergeCell ref="B2055:G2058"/>
    <mergeCell ref="B1620:G1621"/>
    <mergeCell ref="J684:K684"/>
    <mergeCell ref="B1735:G1735"/>
    <mergeCell ref="M1904:O1904"/>
    <mergeCell ref="J91:O92"/>
    <mergeCell ref="M1149:O1149"/>
    <mergeCell ref="J1775:O1775"/>
    <mergeCell ref="B1824:G1824"/>
    <mergeCell ref="J869:M869"/>
    <mergeCell ref="J2323:O2326"/>
    <mergeCell ref="B1568:G1574"/>
    <mergeCell ref="B759:D759"/>
    <mergeCell ref="B1063:G1063"/>
    <mergeCell ref="M2121:O2121"/>
    <mergeCell ref="J2076:L2076"/>
    <mergeCell ref="M844:O844"/>
    <mergeCell ref="J1019:L1019"/>
    <mergeCell ref="J713:K713"/>
    <mergeCell ref="E1094:G1094"/>
    <mergeCell ref="J1323:O1323"/>
    <mergeCell ref="B1022:G1025"/>
    <mergeCell ref="N840:O840"/>
    <mergeCell ref="J110:K110"/>
    <mergeCell ref="J1169:M1169"/>
    <mergeCell ref="M2123:O2123"/>
    <mergeCell ref="B1092:G1092"/>
    <mergeCell ref="B1996:D1996"/>
    <mergeCell ref="J2078:L2078"/>
    <mergeCell ref="E1979:G1979"/>
    <mergeCell ref="B1357:D1357"/>
    <mergeCell ref="J2405:O2412"/>
    <mergeCell ref="J715:K715"/>
    <mergeCell ref="M2421:O2421"/>
    <mergeCell ref="F1247:G1247"/>
    <mergeCell ref="J2512:O2514"/>
    <mergeCell ref="J925:M925"/>
    <mergeCell ref="F1038:G1038"/>
    <mergeCell ref="F1974:G1974"/>
    <mergeCell ref="F2389:G2389"/>
    <mergeCell ref="L655:O655"/>
    <mergeCell ref="F2308:G2308"/>
    <mergeCell ref="B1991:D1991"/>
    <mergeCell ref="J1844:O1845"/>
    <mergeCell ref="L228:O228"/>
    <mergeCell ref="J397:K397"/>
    <mergeCell ref="B1448:G1448"/>
    <mergeCell ref="L657:O657"/>
    <mergeCell ref="E1950:G1950"/>
    <mergeCell ref="J1803:O1803"/>
    <mergeCell ref="B1048:G1051"/>
    <mergeCell ref="J1675:L1675"/>
    <mergeCell ref="J404:O404"/>
    <mergeCell ref="B2101:G2104"/>
    <mergeCell ref="J914:L914"/>
    <mergeCell ref="B776:G776"/>
    <mergeCell ref="J101:K101"/>
    <mergeCell ref="J2442:O2443"/>
    <mergeCell ref="J621:O621"/>
    <mergeCell ref="B2476:D2476"/>
    <mergeCell ref="M2263:O2263"/>
    <mergeCell ref="J309:K309"/>
    <mergeCell ref="B993:G993"/>
    <mergeCell ref="J2556:O2557"/>
    <mergeCell ref="B987:G987"/>
    <mergeCell ref="J2367:O2370"/>
    <mergeCell ref="J1568:O1574"/>
    <mergeCell ref="B2511:G2511"/>
    <mergeCell ref="J1250:L1250"/>
    <mergeCell ref="L681:O681"/>
    <mergeCell ref="J311:K311"/>
    <mergeCell ref="E2202:G2202"/>
    <mergeCell ref="E2506:G2506"/>
    <mergeCell ref="B2048:G2048"/>
    <mergeCell ref="M2563:O2563"/>
    <mergeCell ref="J2702:L2702"/>
    <mergeCell ref="J1670:M1670"/>
    <mergeCell ref="B2042:D2042"/>
    <mergeCell ref="J1977:L1977"/>
    <mergeCell ref="E1903:G1903"/>
    <mergeCell ref="J2283:M2283"/>
    <mergeCell ref="L254:O254"/>
    <mergeCell ref="B1325:E1325"/>
    <mergeCell ref="N1351:O1351"/>
    <mergeCell ref="B2647:D2647"/>
    <mergeCell ref="J2737:O2737"/>
    <mergeCell ref="N590:O590"/>
    <mergeCell ref="L683:O683"/>
    <mergeCell ref="J2731:L2731"/>
    <mergeCell ref="B2044:D2044"/>
    <mergeCell ref="E1905:G1905"/>
    <mergeCell ref="L256:O256"/>
    <mergeCell ref="E2203:G2203"/>
    <mergeCell ref="J2758:L2758"/>
    <mergeCell ref="N2587:O2587"/>
    <mergeCell ref="J2793:O2793"/>
    <mergeCell ref="B1872:G1873"/>
    <mergeCell ref="J910:M910"/>
    <mergeCell ref="B1714:E1714"/>
    <mergeCell ref="F1560:G1560"/>
    <mergeCell ref="N591:O591"/>
    <mergeCell ref="J769:O771"/>
    <mergeCell ref="J1089:O1089"/>
    <mergeCell ref="B2489:G2496"/>
    <mergeCell ref="L539:O539"/>
    <mergeCell ref="J2584:O2585"/>
    <mergeCell ref="J1518:O1518"/>
    <mergeCell ref="B71:C71"/>
    <mergeCell ref="F2445:G2445"/>
    <mergeCell ref="E1587:G1587"/>
    <mergeCell ref="M1889:O1889"/>
    <mergeCell ref="J627:K627"/>
    <mergeCell ref="J1852:O1852"/>
    <mergeCell ref="J1735:O1735"/>
    <mergeCell ref="J481:K481"/>
    <mergeCell ref="B974:G977"/>
    <mergeCell ref="E1475:G1475"/>
    <mergeCell ref="B2224:G2224"/>
    <mergeCell ref="J24:K24"/>
    <mergeCell ref="E1931:G1931"/>
    <mergeCell ref="J1606:O1606"/>
    <mergeCell ref="B1886:D1886"/>
    <mergeCell ref="E1887:G1887"/>
    <mergeCell ref="E2229:G2229"/>
    <mergeCell ref="M1455:O1455"/>
    <mergeCell ref="L396:O396"/>
    <mergeCell ref="J26:K26"/>
    <mergeCell ref="J1691:M1691"/>
    <mergeCell ref="B1765:E1765"/>
    <mergeCell ref="B1375:G1375"/>
    <mergeCell ref="J482:K482"/>
    <mergeCell ref="E2231:G2231"/>
    <mergeCell ref="J2064:O2064"/>
    <mergeCell ref="N1247:O1247"/>
    <mergeCell ref="L398:O398"/>
    <mergeCell ref="J1436:O1442"/>
    <mergeCell ref="J2031:L2031"/>
    <mergeCell ref="J2148:L2148"/>
    <mergeCell ref="B1012:E1012"/>
    <mergeCell ref="M2787:O2787"/>
    <mergeCell ref="B2065:E2065"/>
    <mergeCell ref="B1302:D1302"/>
    <mergeCell ref="B7:G7"/>
    <mergeCell ref="N2389:O2389"/>
    <mergeCell ref="B883:E883"/>
    <mergeCell ref="J50:K50"/>
    <mergeCell ref="J1718:L1718"/>
    <mergeCell ref="B124:C124"/>
    <mergeCell ref="J2448:L2448"/>
    <mergeCell ref="J1747:O1747"/>
    <mergeCell ref="M1900:O1900"/>
    <mergeCell ref="J1448:O1448"/>
    <mergeCell ref="J52:K52"/>
    <mergeCell ref="B126:C126"/>
    <mergeCell ref="J2504:L2504"/>
    <mergeCell ref="B109:C109"/>
    <mergeCell ref="J1021:O1021"/>
    <mergeCell ref="J44:K44"/>
    <mergeCell ref="J2041:L2041"/>
    <mergeCell ref="E1942:G1942"/>
    <mergeCell ref="M1902:O1902"/>
    <mergeCell ref="M1147:O1147"/>
    <mergeCell ref="L625:O625"/>
    <mergeCell ref="B2120:G2120"/>
    <mergeCell ref="J2348:O2351"/>
    <mergeCell ref="E760:G760"/>
    <mergeCell ref="J1145:O1145"/>
    <mergeCell ref="N2020:O2020"/>
    <mergeCell ref="J1017:L1017"/>
    <mergeCell ref="J711:K711"/>
    <mergeCell ref="B1517:G1517"/>
    <mergeCell ref="J562:M562"/>
    <mergeCell ref="E1944:G1944"/>
    <mergeCell ref="J2043:L2043"/>
    <mergeCell ref="J1479:O1479"/>
    <mergeCell ref="M2202:O2202"/>
    <mergeCell ref="J2799:O2806"/>
    <mergeCell ref="L111:O111"/>
    <mergeCell ref="J2226:M2226"/>
    <mergeCell ref="N2144:O2144"/>
    <mergeCell ref="J1325:M1325"/>
    <mergeCell ref="N533:O533"/>
    <mergeCell ref="L626:O626"/>
    <mergeCell ref="J2044:L2044"/>
    <mergeCell ref="M1499:O1499"/>
    <mergeCell ref="L199:O199"/>
    <mergeCell ref="J705:O705"/>
    <mergeCell ref="E1328:G1328"/>
    <mergeCell ref="L628:O628"/>
    <mergeCell ref="M1173:O1173"/>
    <mergeCell ref="J444:O444"/>
    <mergeCell ref="B1235:G1235"/>
    <mergeCell ref="J1466:O1467"/>
    <mergeCell ref="E1543:G1543"/>
    <mergeCell ref="L165:O165"/>
    <mergeCell ref="B1989:D1989"/>
    <mergeCell ref="J2517:O2524"/>
    <mergeCell ref="N1560:O1560"/>
    <mergeCell ref="J856:O856"/>
    <mergeCell ref="M1044:O1044"/>
    <mergeCell ref="E1357:G1357"/>
    <mergeCell ref="B1692:E1692"/>
    <mergeCell ref="J422:K422"/>
    <mergeCell ref="J2117:M2117"/>
    <mergeCell ref="B1200:D1200"/>
    <mergeCell ref="B801:G801"/>
    <mergeCell ref="E2758:G2758"/>
    <mergeCell ref="B743:D743"/>
    <mergeCell ref="L623:O623"/>
    <mergeCell ref="E1997:G1997"/>
    <mergeCell ref="B2188:G2191"/>
    <mergeCell ref="J424:K424"/>
    <mergeCell ref="J722:K722"/>
    <mergeCell ref="B2500:G2500"/>
    <mergeCell ref="B2133:G2133"/>
    <mergeCell ref="J1038:M1038"/>
    <mergeCell ref="B1068:D1068"/>
    <mergeCell ref="N561:O561"/>
    <mergeCell ref="J1974:M1974"/>
    <mergeCell ref="J1328:L1328"/>
    <mergeCell ref="J1765:M1765"/>
    <mergeCell ref="J421:K421"/>
    <mergeCell ref="L341:O341"/>
    <mergeCell ref="B1561:G1561"/>
    <mergeCell ref="J1748:O1759"/>
    <mergeCell ref="J2065:M2065"/>
    <mergeCell ref="N2672:O2672"/>
    <mergeCell ref="B1405:E1405"/>
    <mergeCell ref="J450:K450"/>
    <mergeCell ref="M2702:O2702"/>
    <mergeCell ref="J2710:O2712"/>
    <mergeCell ref="B930:G932"/>
    <mergeCell ref="J1514:O1514"/>
    <mergeCell ref="B67:C67"/>
    <mergeCell ref="F2118:G2118"/>
    <mergeCell ref="E2313:G2313"/>
    <mergeCell ref="B829:G829"/>
    <mergeCell ref="B158:D158"/>
    <mergeCell ref="J1093:O1093"/>
    <mergeCell ref="J2146:O2146"/>
    <mergeCell ref="B1094:D1094"/>
    <mergeCell ref="L336:O336"/>
    <mergeCell ref="J452:K452"/>
    <mergeCell ref="J1391:O1391"/>
    <mergeCell ref="N272:O272"/>
    <mergeCell ref="J2088:L2088"/>
    <mergeCell ref="E1253:G1253"/>
    <mergeCell ref="M2152:O2152"/>
    <mergeCell ref="B69:C69"/>
    <mergeCell ref="B2427:G2427"/>
    <mergeCell ref="B2618:D2618"/>
    <mergeCell ref="J451:K451"/>
    <mergeCell ref="B160:D160"/>
    <mergeCell ref="B1634:G1640"/>
    <mergeCell ref="B1123:D1123"/>
    <mergeCell ref="J361:O361"/>
    <mergeCell ref="E2339:G2339"/>
    <mergeCell ref="L367:O367"/>
    <mergeCell ref="J1381:L1381"/>
    <mergeCell ref="E2314:G2314"/>
    <mergeCell ref="B1554:G1555"/>
    <mergeCell ref="B1736:E1736"/>
    <mergeCell ref="B2642:G2642"/>
    <mergeCell ref="J134:K134"/>
    <mergeCell ref="N1973:O1973"/>
    <mergeCell ref="B64:C64"/>
    <mergeCell ref="L369:O369"/>
    <mergeCell ref="L394:O394"/>
    <mergeCell ref="L692:O692"/>
    <mergeCell ref="J1383:L1383"/>
    <mergeCell ref="B1274:G1274"/>
    <mergeCell ref="B2359:E2359"/>
    <mergeCell ref="J1560:M1560"/>
    <mergeCell ref="J2738:O2740"/>
    <mergeCell ref="J163:K163"/>
    <mergeCell ref="L721:O721"/>
    <mergeCell ref="J2445:M2445"/>
    <mergeCell ref="J2174:O2174"/>
    <mergeCell ref="J171:K171"/>
    <mergeCell ref="J360:O360"/>
    <mergeCell ref="J1413:O1413"/>
    <mergeCell ref="J165:K165"/>
    <mergeCell ref="J2472:O2472"/>
    <mergeCell ref="B2546:G2546"/>
    <mergeCell ref="J594:K594"/>
    <mergeCell ref="J1074:O1077"/>
    <mergeCell ref="E1938:G1938"/>
    <mergeCell ref="B2241:G2241"/>
    <mergeCell ref="M1995:O1995"/>
    <mergeCell ref="E2069:G2069"/>
    <mergeCell ref="B2670:G2670"/>
    <mergeCell ref="J1409:L1409"/>
    <mergeCell ref="J77:K77"/>
    <mergeCell ref="B1449:E1449"/>
    <mergeCell ref="B814:G814"/>
    <mergeCell ref="N416:O416"/>
    <mergeCell ref="J682:K682"/>
    <mergeCell ref="E1940:G1940"/>
    <mergeCell ref="B1895:D1895"/>
    <mergeCell ref="B844:D844"/>
    <mergeCell ref="B2541:G2541"/>
    <mergeCell ref="B1354:D1354"/>
    <mergeCell ref="L107:O107"/>
    <mergeCell ref="B2668:G2669"/>
    <mergeCell ref="B2229:D2229"/>
    <mergeCell ref="E2703:G2703"/>
    <mergeCell ref="B2081:D2081"/>
    <mergeCell ref="N504:O504"/>
    <mergeCell ref="B1897:D1897"/>
    <mergeCell ref="B2501:E2501"/>
    <mergeCell ref="J71:O71"/>
    <mergeCell ref="J649:M649"/>
    <mergeCell ref="F2358:G2358"/>
    <mergeCell ref="J1100:O1103"/>
    <mergeCell ref="B1355:D1355"/>
    <mergeCell ref="J828:O828"/>
    <mergeCell ref="B2230:D2230"/>
    <mergeCell ref="J2329:O2330"/>
    <mergeCell ref="B141:D141"/>
    <mergeCell ref="J2316:O2316"/>
    <mergeCell ref="J678:M678"/>
    <mergeCell ref="J2614:O2614"/>
    <mergeCell ref="J2161:O2164"/>
    <mergeCell ref="B901:G901"/>
    <mergeCell ref="M1410:O1410"/>
    <mergeCell ref="J1405:M1405"/>
    <mergeCell ref="J1585:L1585"/>
    <mergeCell ref="J830:L830"/>
    <mergeCell ref="M1586:O1586"/>
    <mergeCell ref="J740:O740"/>
    <mergeCell ref="E2080:G2080"/>
    <mergeCell ref="B1628:G1628"/>
    <mergeCell ref="B2261:G2261"/>
    <mergeCell ref="B1320:G1321"/>
    <mergeCell ref="M2313:O2313"/>
    <mergeCell ref="J829:O829"/>
    <mergeCell ref="J219:K219"/>
    <mergeCell ref="J836:O837"/>
    <mergeCell ref="E1355:G1355"/>
    <mergeCell ref="E1653:G1653"/>
    <mergeCell ref="B1956:G1956"/>
    <mergeCell ref="B1962:G1962"/>
    <mergeCell ref="B1969:G1970"/>
    <mergeCell ref="M1498:O1498"/>
    <mergeCell ref="J1885:L1885"/>
    <mergeCell ref="E2082:G2082"/>
    <mergeCell ref="B2696:G2697"/>
    <mergeCell ref="B2173:G2173"/>
    <mergeCell ref="J519:K519"/>
    <mergeCell ref="B1952:D1952"/>
    <mergeCell ref="B1501:G1501"/>
    <mergeCell ref="E1953:G1953"/>
    <mergeCell ref="J2642:O2642"/>
    <mergeCell ref="J1736:M1736"/>
    <mergeCell ref="E1356:G1356"/>
    <mergeCell ref="J2508:L2508"/>
    <mergeCell ref="B1497:D1497"/>
    <mergeCell ref="J1274:O1274"/>
    <mergeCell ref="J664:K664"/>
    <mergeCell ref="J2359:M2359"/>
    <mergeCell ref="E1381:G1381"/>
    <mergeCell ref="J243:M243"/>
    <mergeCell ref="L305:O305"/>
    <mergeCell ref="B1070:D1070"/>
    <mergeCell ref="B1376:E1376"/>
    <mergeCell ref="B1646:G1646"/>
    <mergeCell ref="M1937:O1937"/>
    <mergeCell ref="F1013:G1013"/>
    <mergeCell ref="B1219:G1219"/>
    <mergeCell ref="B825:G825"/>
    <mergeCell ref="B800:G800"/>
    <mergeCell ref="J555:O556"/>
    <mergeCell ref="J1819:O1819"/>
    <mergeCell ref="F2226:G2226"/>
    <mergeCell ref="E1224:G1224"/>
    <mergeCell ref="M1939:O1939"/>
    <mergeCell ref="J2546:O2546"/>
    <mergeCell ref="J537:K537"/>
    <mergeCell ref="B1859:G1859"/>
    <mergeCell ref="J388:M388"/>
    <mergeCell ref="B1131:G1131"/>
    <mergeCell ref="B156:D156"/>
    <mergeCell ref="J2390:M2390"/>
    <mergeCell ref="B1125:G1125"/>
    <mergeCell ref="M1938:O1938"/>
    <mergeCell ref="J2241:O2241"/>
    <mergeCell ref="F1471:G1471"/>
    <mergeCell ref="J2248:O2249"/>
    <mergeCell ref="B2528:O2528"/>
    <mergeCell ref="B1975:G1975"/>
    <mergeCell ref="E1251:G1251"/>
    <mergeCell ref="B1942:D1942"/>
    <mergeCell ref="F739:G739"/>
    <mergeCell ref="N359:O359"/>
    <mergeCell ref="N997:O997"/>
    <mergeCell ref="B1821:E1821"/>
    <mergeCell ref="M1940:O1940"/>
    <mergeCell ref="B1414:G1420"/>
    <mergeCell ref="B1121:D1121"/>
    <mergeCell ref="B1427:E1427"/>
    <mergeCell ref="F2559:G2559"/>
    <mergeCell ref="L365:O365"/>
    <mergeCell ref="B1673:D1673"/>
    <mergeCell ref="J898:O898"/>
    <mergeCell ref="L25:O25"/>
    <mergeCell ref="J1354:L1354"/>
    <mergeCell ref="E2312:G2312"/>
    <mergeCell ref="F1064:G1064"/>
    <mergeCell ref="F1039:G1039"/>
    <mergeCell ref="N271:O271"/>
    <mergeCell ref="B1848:E1848"/>
    <mergeCell ref="J2081:L2081"/>
    <mergeCell ref="J2714:O2714"/>
    <mergeCell ref="J2597:O2597"/>
    <mergeCell ref="J376:O380"/>
    <mergeCell ref="J2388:O2388"/>
    <mergeCell ref="J2118:M2118"/>
    <mergeCell ref="J473:O473"/>
    <mergeCell ref="J167:K167"/>
    <mergeCell ref="J906:O907"/>
    <mergeCell ref="B2446:E2446"/>
    <mergeCell ref="B1091:E1091"/>
    <mergeCell ref="B967:G967"/>
    <mergeCell ref="B2455:G2455"/>
    <mergeCell ref="B1541:D1541"/>
    <mergeCell ref="J901:O901"/>
    <mergeCell ref="E2040:G2040"/>
    <mergeCell ref="J895:O895"/>
    <mergeCell ref="J1242:O1243"/>
    <mergeCell ref="J2261:O2261"/>
    <mergeCell ref="M1224:O1224"/>
    <mergeCell ref="J779:O780"/>
    <mergeCell ref="J162:K162"/>
    <mergeCell ref="B982:E982"/>
    <mergeCell ref="E2033:G2033"/>
    <mergeCell ref="B2172:E2172"/>
    <mergeCell ref="J2724:O2725"/>
    <mergeCell ref="N868:O868"/>
    <mergeCell ref="J1652:L1652"/>
    <mergeCell ref="M1653:O1653"/>
    <mergeCell ref="J1950:L1950"/>
    <mergeCell ref="J1956:O1956"/>
    <mergeCell ref="L78:O78"/>
    <mergeCell ref="J926:O926"/>
    <mergeCell ref="B2024:D2024"/>
    <mergeCell ref="E2025:G2025"/>
    <mergeCell ref="B1567:G1567"/>
    <mergeCell ref="E2786:G2786"/>
    <mergeCell ref="J1225:L1225"/>
    <mergeCell ref="J164:K164"/>
    <mergeCell ref="B970:G970"/>
    <mergeCell ref="E2035:G2035"/>
    <mergeCell ref="B1142:E1142"/>
    <mergeCell ref="J1952:L1952"/>
    <mergeCell ref="C790:G790"/>
    <mergeCell ref="B985:G985"/>
    <mergeCell ref="B1563:D1563"/>
    <mergeCell ref="L536:O536"/>
    <mergeCell ref="F2145:G2145"/>
    <mergeCell ref="J1883:O1883"/>
    <mergeCell ref="L73:O73"/>
    <mergeCell ref="J189:K189"/>
    <mergeCell ref="B995:G995"/>
    <mergeCell ref="J487:K487"/>
    <mergeCell ref="M1984:O1984"/>
    <mergeCell ref="F1427:G1427"/>
    <mergeCell ref="J601:K601"/>
    <mergeCell ref="J188:K188"/>
    <mergeCell ref="J323:O324"/>
    <mergeCell ref="E2508:G2508"/>
    <mergeCell ref="B2780:G2781"/>
    <mergeCell ref="N11:O11"/>
    <mergeCell ref="E1019:G1019"/>
    <mergeCell ref="M2038:O2038"/>
    <mergeCell ref="B2686:G2686"/>
    <mergeCell ref="J1580:O1580"/>
    <mergeCell ref="J825:O825"/>
    <mergeCell ref="N738:O738"/>
    <mergeCell ref="J190:K190"/>
    <mergeCell ref="B818:G820"/>
    <mergeCell ref="M1252:O1252"/>
    <mergeCell ref="J488:K488"/>
    <mergeCell ref="J1884:O1884"/>
    <mergeCell ref="B2155:G2158"/>
    <mergeCell ref="J2770:O2770"/>
    <mergeCell ref="J2179:L2179"/>
    <mergeCell ref="B2559:E2559"/>
    <mergeCell ref="M2040:O2040"/>
    <mergeCell ref="J2477:L2477"/>
    <mergeCell ref="J2616:M2616"/>
    <mergeCell ref="M2338:O2338"/>
    <mergeCell ref="M1279:O1279"/>
    <mergeCell ref="J1515:M1515"/>
    <mergeCell ref="L247:O247"/>
    <mergeCell ref="J515:K515"/>
    <mergeCell ref="J1125:O1125"/>
    <mergeCell ref="J1880:O1880"/>
    <mergeCell ref="F2171:G2171"/>
    <mergeCell ref="B101:C101"/>
    <mergeCell ref="F813:G813"/>
    <mergeCell ref="B2675:D2675"/>
    <mergeCell ref="B1582:E1582"/>
    <mergeCell ref="N39:O39"/>
    <mergeCell ref="J1427:M1427"/>
    <mergeCell ref="L547:O547"/>
    <mergeCell ref="J1121:L1121"/>
    <mergeCell ref="J1603:M1603"/>
    <mergeCell ref="M1608:O1608"/>
    <mergeCell ref="M2037:O2037"/>
    <mergeCell ref="F982:G982"/>
    <mergeCell ref="J635:K635"/>
    <mergeCell ref="J629:K629"/>
    <mergeCell ref="J804:O806"/>
    <mergeCell ref="B1882:E1882"/>
    <mergeCell ref="J1804:O1815"/>
    <mergeCell ref="B1670:E1670"/>
    <mergeCell ref="B1366:G1370"/>
    <mergeCell ref="F1472:G1472"/>
    <mergeCell ref="J843:O843"/>
    <mergeCell ref="J965:O965"/>
    <mergeCell ref="M1908:O1908"/>
    <mergeCell ref="M2030:O2030"/>
    <mergeCell ref="F2199:G2199"/>
    <mergeCell ref="M2364:O2364"/>
    <mergeCell ref="M1305:O1305"/>
    <mergeCell ref="B2399:G2399"/>
    <mergeCell ref="B1671:G1671"/>
    <mergeCell ref="B885:G885"/>
    <mergeCell ref="J845:O845"/>
    <mergeCell ref="B892:G893"/>
    <mergeCell ref="M2032:O2032"/>
    <mergeCell ref="J1892:L1892"/>
    <mergeCell ref="J359:M359"/>
    <mergeCell ref="E2702:G2702"/>
    <mergeCell ref="J1301:O1301"/>
    <mergeCell ref="K787:O787"/>
    <mergeCell ref="J2023:L2023"/>
    <mergeCell ref="J2619:L2619"/>
    <mergeCell ref="J228:K228"/>
    <mergeCell ref="B912:G912"/>
    <mergeCell ref="B1938:D1938"/>
    <mergeCell ref="E1977:G1977"/>
    <mergeCell ref="J1900:L1900"/>
    <mergeCell ref="J1894:L1894"/>
    <mergeCell ref="B2698:G2698"/>
    <mergeCell ref="J982:M982"/>
    <mergeCell ref="N243:O243"/>
    <mergeCell ref="L21:O21"/>
    <mergeCell ref="J2024:L2024"/>
    <mergeCell ref="F2225:G2225"/>
    <mergeCell ref="F826:G826"/>
    <mergeCell ref="J564:O564"/>
    <mergeCell ref="B2117:E2117"/>
    <mergeCell ref="B840:E840"/>
    <mergeCell ref="J1142:M1142"/>
    <mergeCell ref="J1895:L1895"/>
    <mergeCell ref="B117:C117"/>
    <mergeCell ref="L479:O479"/>
    <mergeCell ref="F1195:G1195"/>
    <mergeCell ref="J1013:M1013"/>
    <mergeCell ref="F1493:G1493"/>
    <mergeCell ref="L16:O16"/>
    <mergeCell ref="J132:K132"/>
    <mergeCell ref="J254:K254"/>
    <mergeCell ref="B1699:G1699"/>
    <mergeCell ref="E2422:G2422"/>
    <mergeCell ref="M2506:O2506"/>
    <mergeCell ref="B119:C119"/>
    <mergeCell ref="B1034:G1035"/>
    <mergeCell ref="J1262:O1266"/>
    <mergeCell ref="M2079:O2079"/>
    <mergeCell ref="J2647:L2647"/>
    <mergeCell ref="J256:K256"/>
    <mergeCell ref="E1696:G1696"/>
    <mergeCell ref="B2297:G2297"/>
    <mergeCell ref="M1019:O1019"/>
    <mergeCell ref="B2726:G2726"/>
    <mergeCell ref="J739:M739"/>
    <mergeCell ref="M2081:O2081"/>
    <mergeCell ref="B813:E813"/>
    <mergeCell ref="J492:O496"/>
    <mergeCell ref="B2452:D2452"/>
    <mergeCell ref="B1697:D1697"/>
    <mergeCell ref="B1653:D1653"/>
    <mergeCell ref="B1995:D1995"/>
    <mergeCell ref="J2559:M2559"/>
    <mergeCell ref="E1095:G1095"/>
    <mergeCell ref="L163:O163"/>
    <mergeCell ref="J401:K401"/>
    <mergeCell ref="E2031:G2031"/>
    <mergeCell ref="E2148:G2148"/>
    <mergeCell ref="J1039:M1039"/>
    <mergeCell ref="N841:O841"/>
    <mergeCell ref="M1993:O1993"/>
    <mergeCell ref="J1948:L1948"/>
    <mergeCell ref="J1493:M1493"/>
    <mergeCell ref="B1997:D1997"/>
    <mergeCell ref="B1953:D1953"/>
    <mergeCell ref="J1521:L1521"/>
    <mergeCell ref="N1350:O1350"/>
    <mergeCell ref="E2448:G2448"/>
    <mergeCell ref="B2199:E2199"/>
    <mergeCell ref="L44:O44"/>
    <mergeCell ref="J1911:O1914"/>
    <mergeCell ref="J584:O585"/>
    <mergeCell ref="N2225:O2225"/>
    <mergeCell ref="J2209:O2212"/>
    <mergeCell ref="J953:O953"/>
    <mergeCell ref="M1980:O1980"/>
    <mergeCell ref="E2477:G2477"/>
    <mergeCell ref="J2542:O2544"/>
    <mergeCell ref="B1378:G1378"/>
    <mergeCell ref="J294:O295"/>
    <mergeCell ref="J432:K432"/>
    <mergeCell ref="M1675:O1675"/>
    <mergeCell ref="B2461:G2468"/>
    <mergeCell ref="B1712:G1712"/>
    <mergeCell ref="J2285:O2285"/>
    <mergeCell ref="B1589:G1589"/>
    <mergeCell ref="B870:G870"/>
    <mergeCell ref="B1252:D1252"/>
    <mergeCell ref="J2393:L2393"/>
    <mergeCell ref="M2730:O2730"/>
    <mergeCell ref="E1411:G1411"/>
    <mergeCell ref="M2590:O2590"/>
    <mergeCell ref="B955:E955"/>
    <mergeCell ref="E1017:G1017"/>
    <mergeCell ref="B2335:G2335"/>
    <mergeCell ref="M1250:O1250"/>
    <mergeCell ref="J2264:L2264"/>
    <mergeCell ref="J486:K486"/>
    <mergeCell ref="B1674:D1674"/>
    <mergeCell ref="M1977:O1977"/>
    <mergeCell ref="B826:E826"/>
    <mergeCell ref="J600:K600"/>
    <mergeCell ref="B2033:D2033"/>
    <mergeCell ref="E2647:G2647"/>
    <mergeCell ref="B798:E798"/>
    <mergeCell ref="B1307:G1307"/>
    <mergeCell ref="N10:O10"/>
    <mergeCell ref="L543:O543"/>
    <mergeCell ref="J2145:M2145"/>
    <mergeCell ref="L431:O431"/>
    <mergeCell ref="J631:K631"/>
    <mergeCell ref="J2154:O2154"/>
    <mergeCell ref="L545:O545"/>
    <mergeCell ref="J633:K633"/>
    <mergeCell ref="J144:O148"/>
    <mergeCell ref="J1992:L1992"/>
    <mergeCell ref="J1537:M1537"/>
    <mergeCell ref="B2364:D2364"/>
    <mergeCell ref="B1305:D1305"/>
    <mergeCell ref="J1204:O1207"/>
    <mergeCell ref="M2151:O2151"/>
    <mergeCell ref="B881:G881"/>
    <mergeCell ref="J1693:O1693"/>
    <mergeCell ref="J1957:O1960"/>
    <mergeCell ref="J1565:L1565"/>
    <mergeCell ref="J626:K626"/>
    <mergeCell ref="L113:O113"/>
    <mergeCell ref="M2362:O2362"/>
    <mergeCell ref="J1994:L1994"/>
    <mergeCell ref="J662:K662"/>
    <mergeCell ref="B1963:G1966"/>
    <mergeCell ref="J199:K199"/>
    <mergeCell ref="B2786:D2786"/>
    <mergeCell ref="J2018:O2018"/>
    <mergeCell ref="J967:O967"/>
    <mergeCell ref="J2322:O2322"/>
    <mergeCell ref="J628:K628"/>
    <mergeCell ref="B1041:G1041"/>
    <mergeCell ref="J928:L928"/>
    <mergeCell ref="B1339:G1339"/>
    <mergeCell ref="B1346:G1347"/>
    <mergeCell ref="J1987:L1987"/>
    <mergeCell ref="J2171:M2171"/>
    <mergeCell ref="F2309:G2309"/>
    <mergeCell ref="B2659:G2666"/>
    <mergeCell ref="B1768:G1768"/>
    <mergeCell ref="J813:M813"/>
    <mergeCell ref="L571:O571"/>
    <mergeCell ref="L108:O108"/>
    <mergeCell ref="K778:O778"/>
    <mergeCell ref="J657:K657"/>
    <mergeCell ref="J1989:L1989"/>
    <mergeCell ref="B1299:E1299"/>
    <mergeCell ref="M2148:O2148"/>
    <mergeCell ref="J560:O560"/>
    <mergeCell ref="B1329:D1329"/>
    <mergeCell ref="B1904:D1904"/>
    <mergeCell ref="L573:O573"/>
    <mergeCell ref="M1175:O1175"/>
    <mergeCell ref="J340:K340"/>
    <mergeCell ref="B882:E882"/>
    <mergeCell ref="B1678:G1684"/>
    <mergeCell ref="J2199:M2199"/>
    <mergeCell ref="J1893:L1893"/>
    <mergeCell ref="M2204:O2204"/>
    <mergeCell ref="J651:O651"/>
    <mergeCell ref="F2333:G2333"/>
    <mergeCell ref="B2506:D2506"/>
    <mergeCell ref="J217:K217"/>
    <mergeCell ref="E758:G758"/>
    <mergeCell ref="E2088:G2088"/>
    <mergeCell ref="M2075:O2075"/>
    <mergeCell ref="J252:K252"/>
    <mergeCell ref="M2504:O2504"/>
    <mergeCell ref="J946:O949"/>
    <mergeCell ref="J43:K43"/>
    <mergeCell ref="M2041:O2041"/>
    <mergeCell ref="B2535:D2535"/>
    <mergeCell ref="J341:K341"/>
    <mergeCell ref="B1476:D1476"/>
    <mergeCell ref="B1690:G1690"/>
    <mergeCell ref="B1019:D1019"/>
    <mergeCell ref="B1323:G1323"/>
    <mergeCell ref="F1603:G1603"/>
    <mergeCell ref="M2077:O2077"/>
    <mergeCell ref="B1488:G1489"/>
    <mergeCell ref="L284:O284"/>
    <mergeCell ref="J858:L858"/>
    <mergeCell ref="B110:C110"/>
    <mergeCell ref="M2076:O2076"/>
    <mergeCell ref="M1017:O1017"/>
    <mergeCell ref="B2080:D2080"/>
    <mergeCell ref="B1625:E1625"/>
    <mergeCell ref="B2074:D2074"/>
    <mergeCell ref="J2644:M2644"/>
    <mergeCell ref="J2674:L2674"/>
    <mergeCell ref="L286:O286"/>
    <mergeCell ref="B1788:G1789"/>
    <mergeCell ref="J826:M826"/>
    <mergeCell ref="B1993:D1993"/>
    <mergeCell ref="M2072:O2072"/>
    <mergeCell ref="J2646:L2646"/>
    <mergeCell ref="F1298:G1298"/>
    <mergeCell ref="J1195:M1195"/>
    <mergeCell ref="B1132:G1136"/>
    <mergeCell ref="B1844:G1845"/>
    <mergeCell ref="B2284:E2284"/>
    <mergeCell ref="B1002:G1005"/>
    <mergeCell ref="E748:G748"/>
    <mergeCell ref="B1349:G1349"/>
    <mergeCell ref="B1105:G1105"/>
    <mergeCell ref="B2442:G2443"/>
    <mergeCell ref="J1174:L1174"/>
    <mergeCell ref="J1976:O1976"/>
    <mergeCell ref="J2364:L2364"/>
    <mergeCell ref="M2088:O2088"/>
    <mergeCell ref="L513:O513"/>
    <mergeCell ref="B2008:G2008"/>
    <mergeCell ref="B2730:D2730"/>
    <mergeCell ref="E743:G743"/>
    <mergeCell ref="M1045:O1045"/>
    <mergeCell ref="E2591:G2591"/>
    <mergeCell ref="J1937:L1937"/>
    <mergeCell ref="L485:O485"/>
    <mergeCell ref="J2089:L2089"/>
    <mergeCell ref="J2094:O2094"/>
    <mergeCell ref="B911:E911"/>
    <mergeCell ref="F1351:G1351"/>
    <mergeCell ref="J1333:O1333"/>
    <mergeCell ref="J5:O5"/>
    <mergeCell ref="L514:O514"/>
    <mergeCell ref="J303:O303"/>
    <mergeCell ref="B2731:D2731"/>
    <mergeCell ref="J1932:L1932"/>
    <mergeCell ref="J2049:O2052"/>
    <mergeCell ref="L480:O480"/>
    <mergeCell ref="B1849:E1849"/>
    <mergeCell ref="L516:O516"/>
    <mergeCell ref="J710:K710"/>
    <mergeCell ref="E1433:G1433"/>
    <mergeCell ref="J288:O288"/>
    <mergeCell ref="E830:G830"/>
    <mergeCell ref="B1089:G1089"/>
    <mergeCell ref="F2616:G2616"/>
    <mergeCell ref="B1721:G1721"/>
    <mergeCell ref="E1891:G1891"/>
    <mergeCell ref="L511:O511"/>
    <mergeCell ref="E1885:G1885"/>
    <mergeCell ref="M2149:O2149"/>
    <mergeCell ref="J2079:L2079"/>
    <mergeCell ref="J1983:L1983"/>
    <mergeCell ref="B1717:D1717"/>
    <mergeCell ref="J1690:O1690"/>
    <mergeCell ref="L567:O567"/>
    <mergeCell ref="J777:O777"/>
    <mergeCell ref="M2449:O2449"/>
    <mergeCell ref="B53:C53"/>
    <mergeCell ref="J1985:L1985"/>
    <mergeCell ref="L656:O656"/>
    <mergeCell ref="B1719:D1719"/>
    <mergeCell ref="C781:G781"/>
    <mergeCell ref="B1115:G1115"/>
    <mergeCell ref="L569:O569"/>
    <mergeCell ref="J2074:L2074"/>
    <mergeCell ref="B2134:G2137"/>
    <mergeCell ref="L229:O229"/>
    <mergeCell ref="B2148:D2148"/>
    <mergeCell ref="L106:O106"/>
    <mergeCell ref="B84:C84"/>
    <mergeCell ref="L658:O658"/>
    <mergeCell ref="N2560:O2560"/>
    <mergeCell ref="J785:O786"/>
    <mergeCell ref="J1872:O1873"/>
    <mergeCell ref="E972:G972"/>
    <mergeCell ref="L141:O141"/>
    <mergeCell ref="J647:O647"/>
    <mergeCell ref="M2289:O2289"/>
    <mergeCell ref="B2020:E2020"/>
    <mergeCell ref="B80:C80"/>
    <mergeCell ref="J981:O981"/>
    <mergeCell ref="L224:O224"/>
    <mergeCell ref="J2470:O2471"/>
    <mergeCell ref="J1404:O1404"/>
    <mergeCell ref="B79:C79"/>
    <mergeCell ref="J676:O676"/>
    <mergeCell ref="E2086:G2086"/>
    <mergeCell ref="N2417:O2417"/>
    <mergeCell ref="J1105:O1105"/>
    <mergeCell ref="J1112:O1113"/>
    <mergeCell ref="J2309:M2309"/>
    <mergeCell ref="E1904:G1904"/>
    <mergeCell ref="B2530:G2530"/>
    <mergeCell ref="L255:O255"/>
    <mergeCell ref="B1775:G1775"/>
    <mergeCell ref="J2461:O2468"/>
    <mergeCell ref="B81:C81"/>
    <mergeCell ref="J339:K339"/>
    <mergeCell ref="J1882:M1882"/>
    <mergeCell ref="J366:K366"/>
    <mergeCell ref="B2076:D2076"/>
    <mergeCell ref="J2590:L2590"/>
    <mergeCell ref="B2070:D2070"/>
    <mergeCell ref="E1354:G1354"/>
    <mergeCell ref="B1479:G1479"/>
    <mergeCell ref="J1277:L1277"/>
    <mergeCell ref="L282:O282"/>
    <mergeCell ref="J375:O375"/>
    <mergeCell ref="B896:E896"/>
    <mergeCell ref="J2759:L2759"/>
    <mergeCell ref="N1220:O1220"/>
    <mergeCell ref="N503:O503"/>
    <mergeCell ref="M2043:O2043"/>
    <mergeCell ref="J97:M97"/>
    <mergeCell ref="J972:L972"/>
    <mergeCell ref="J1007:O1007"/>
    <mergeCell ref="B1598:G1599"/>
    <mergeCell ref="J1998:L1998"/>
    <mergeCell ref="B2072:D2072"/>
    <mergeCell ref="N2588:O2588"/>
    <mergeCell ref="F2784:G2784"/>
    <mergeCell ref="J1430:O1430"/>
    <mergeCell ref="J480:K480"/>
    <mergeCell ref="J363:K363"/>
    <mergeCell ref="B937:O937"/>
    <mergeCell ref="J973:O973"/>
    <mergeCell ref="B1047:G1047"/>
    <mergeCell ref="E1499:G1499"/>
    <mergeCell ref="L283:O283"/>
    <mergeCell ref="J399:K399"/>
    <mergeCell ref="B2100:G2100"/>
    <mergeCell ref="L277:O277"/>
    <mergeCell ref="J1307:O1307"/>
    <mergeCell ref="J2029:L2029"/>
    <mergeCell ref="J2498:O2499"/>
    <mergeCell ref="B2517:G2524"/>
    <mergeCell ref="J365:K365"/>
    <mergeCell ref="J392:K392"/>
    <mergeCell ref="J25:K25"/>
    <mergeCell ref="J663:K663"/>
    <mergeCell ref="B99:C99"/>
    <mergeCell ref="M830:O830"/>
    <mergeCell ref="M1585:O1585"/>
    <mergeCell ref="J2612:O2613"/>
    <mergeCell ref="B2260:G2260"/>
    <mergeCell ref="F2502:G2502"/>
    <mergeCell ref="M1122:O1122"/>
    <mergeCell ref="J1303:L1303"/>
    <mergeCell ref="B1803:G1803"/>
    <mergeCell ref="J1763:O1763"/>
    <mergeCell ref="B2558:G2558"/>
    <mergeCell ref="B92:C92"/>
    <mergeCell ref="J394:K394"/>
    <mergeCell ref="E1652:G1652"/>
    <mergeCell ref="J2654:O2656"/>
    <mergeCell ref="M1885:O1885"/>
    <mergeCell ref="B2396:D2396"/>
    <mergeCell ref="J1305:L1305"/>
    <mergeCell ref="L310:O310"/>
    <mergeCell ref="B2556:G2557"/>
    <mergeCell ref="J2361:O2361"/>
    <mergeCell ref="B94:C94"/>
    <mergeCell ref="J1717:L1717"/>
    <mergeCell ref="L722:O722"/>
    <mergeCell ref="J1000:L1000"/>
    <mergeCell ref="B1038:E1038"/>
    <mergeCell ref="E1952:G1952"/>
    <mergeCell ref="B2389:E2389"/>
    <mergeCell ref="J1298:M1298"/>
    <mergeCell ref="B1328:D1328"/>
    <mergeCell ref="N2334:O2334"/>
    <mergeCell ref="J988:O991"/>
    <mergeCell ref="J729:O730"/>
    <mergeCell ref="J112:K112"/>
    <mergeCell ref="B1360:G1363"/>
    <mergeCell ref="J2134:O2137"/>
    <mergeCell ref="J1474:O1474"/>
    <mergeCell ref="J390:O390"/>
    <mergeCell ref="J84:K84"/>
    <mergeCell ref="J78:K78"/>
    <mergeCell ref="J2640:O2641"/>
    <mergeCell ref="B756:D756"/>
    <mergeCell ref="B2758:D2758"/>
    <mergeCell ref="B2154:G2154"/>
    <mergeCell ref="J2116:O2116"/>
    <mergeCell ref="J419:O419"/>
    <mergeCell ref="J302:O302"/>
    <mergeCell ref="J80:K80"/>
    <mergeCell ref="N1299:O1299"/>
    <mergeCell ref="J107:K107"/>
    <mergeCell ref="B920:G921"/>
    <mergeCell ref="B758:D758"/>
    <mergeCell ref="B1429:G1429"/>
    <mergeCell ref="B2488:G2488"/>
    <mergeCell ref="J2682:O2684"/>
    <mergeCell ref="J1018:L1018"/>
    <mergeCell ref="J712:K712"/>
    <mergeCell ref="J79:K79"/>
    <mergeCell ref="B1518:G1518"/>
    <mergeCell ref="B2584:G2585"/>
    <mergeCell ref="B751:D751"/>
    <mergeCell ref="J2416:O2416"/>
    <mergeCell ref="J1351:M1351"/>
    <mergeCell ref="J1045:L1045"/>
    <mergeCell ref="N996:O996"/>
    <mergeCell ref="J590:M590"/>
    <mergeCell ref="L652:O652"/>
    <mergeCell ref="L627:O627"/>
    <mergeCell ref="N1927:O1927"/>
    <mergeCell ref="B753:D753"/>
    <mergeCell ref="J2070:L2070"/>
    <mergeCell ref="M1354:O1354"/>
    <mergeCell ref="F2728:G2728"/>
    <mergeCell ref="F1973:G1973"/>
    <mergeCell ref="J1073:O1073"/>
    <mergeCell ref="F941:G941"/>
    <mergeCell ref="L654:O654"/>
    <mergeCell ref="F2727:G2727"/>
    <mergeCell ref="J13:O13"/>
    <mergeCell ref="J2072:L2072"/>
    <mergeCell ref="L51:O51"/>
    <mergeCell ref="J591:M591"/>
    <mergeCell ref="J1197:O1197"/>
    <mergeCell ref="N1928:O1928"/>
    <mergeCell ref="J864:O865"/>
    <mergeCell ref="J618:O618"/>
    <mergeCell ref="J1069:L1069"/>
    <mergeCell ref="J1498:L1498"/>
    <mergeCell ref="J2100:O2100"/>
    <mergeCell ref="B2445:E2445"/>
    <mergeCell ref="B2174:G2174"/>
    <mergeCell ref="L220:O220"/>
    <mergeCell ref="B2472:G2472"/>
    <mergeCell ref="J1314:O1318"/>
    <mergeCell ref="J1071:L1071"/>
    <mergeCell ref="B2630:G2630"/>
    <mergeCell ref="J308:K308"/>
    <mergeCell ref="B1747:G1747"/>
    <mergeCell ref="J606:K606"/>
    <mergeCell ref="J1002:O1005"/>
    <mergeCell ref="J1831:O1831"/>
    <mergeCell ref="L222:O222"/>
    <mergeCell ref="E1900:G1900"/>
    <mergeCell ref="L251:O251"/>
    <mergeCell ref="M1951:O1951"/>
    <mergeCell ref="B77:C77"/>
    <mergeCell ref="B2041:D2041"/>
    <mergeCell ref="L77:O77"/>
    <mergeCell ref="E1902:G1902"/>
    <mergeCell ref="E2024:G2024"/>
    <mergeCell ref="L253:O253"/>
    <mergeCell ref="J2125:L2125"/>
    <mergeCell ref="N1472:O1472"/>
    <mergeCell ref="J2396:L2396"/>
    <mergeCell ref="M1225:O1225"/>
    <mergeCell ref="N1648:O1648"/>
    <mergeCell ref="J2730:L2730"/>
    <mergeCell ref="B1145:G1145"/>
    <mergeCell ref="B2043:D2043"/>
    <mergeCell ref="L246:O246"/>
    <mergeCell ref="J2187:O2187"/>
    <mergeCell ref="J619:M619"/>
    <mergeCell ref="F954:G954"/>
    <mergeCell ref="J1963:O1966"/>
    <mergeCell ref="L711:O711"/>
    <mergeCell ref="F2144:G2144"/>
    <mergeCell ref="N799:O799"/>
    <mergeCell ref="E1897:G1897"/>
    <mergeCell ref="L248:O248"/>
    <mergeCell ref="B1170:G1170"/>
    <mergeCell ref="J1360:O1363"/>
    <mergeCell ref="B2242:G2245"/>
    <mergeCell ref="J478:K478"/>
    <mergeCell ref="J998:O998"/>
    <mergeCell ref="J21:K21"/>
    <mergeCell ref="B2161:G2164"/>
    <mergeCell ref="J491:O491"/>
    <mergeCell ref="B857:G857"/>
    <mergeCell ref="B1466:G1467"/>
    <mergeCell ref="N300:O300"/>
    <mergeCell ref="L393:O393"/>
    <mergeCell ref="J23:K23"/>
    <mergeCell ref="B1584:G1584"/>
    <mergeCell ref="B2339:D2339"/>
    <mergeCell ref="B856:G856"/>
    <mergeCell ref="J724:O728"/>
    <mergeCell ref="J1429:O1429"/>
    <mergeCell ref="J2488:O2488"/>
    <mergeCell ref="M2179:O2179"/>
    <mergeCell ref="M1120:O1120"/>
    <mergeCell ref="L306:O306"/>
    <mergeCell ref="J479:K479"/>
    <mergeCell ref="B1885:D1885"/>
    <mergeCell ref="J814:O814"/>
    <mergeCell ref="M1454:O1454"/>
    <mergeCell ref="B90:C90"/>
    <mergeCell ref="J1300:O1300"/>
    <mergeCell ref="J690:K690"/>
    <mergeCell ref="L693:O693"/>
    <mergeCell ref="J2784:M2784"/>
    <mergeCell ref="N301:O301"/>
    <mergeCell ref="N1246:O1246"/>
    <mergeCell ref="N214:O214"/>
    <mergeCell ref="N2728:O2728"/>
    <mergeCell ref="J1080:O1084"/>
    <mergeCell ref="N941:O941"/>
    <mergeCell ref="J2200:O2200"/>
    <mergeCell ref="J1141:O1141"/>
    <mergeCell ref="B1502:G1508"/>
    <mergeCell ref="J49:K49"/>
    <mergeCell ref="M1609:O1609"/>
    <mergeCell ref="N2727:O2727"/>
    <mergeCell ref="J842:O842"/>
    <mergeCell ref="E1981:G1981"/>
    <mergeCell ref="N812:O812"/>
    <mergeCell ref="B1402:O1402"/>
    <mergeCell ref="J1898:L1898"/>
    <mergeCell ref="J415:O415"/>
    <mergeCell ref="B116:C116"/>
    <mergeCell ref="B1236:G1240"/>
    <mergeCell ref="B1748:G1759"/>
    <mergeCell ref="J103:K103"/>
    <mergeCell ref="E2393:G2393"/>
    <mergeCell ref="B2574:G2574"/>
    <mergeCell ref="J2658:O2658"/>
    <mergeCell ref="J2201:O2201"/>
    <mergeCell ref="M1892:O1892"/>
    <mergeCell ref="B1514:G1514"/>
    <mergeCell ref="J2630:O2630"/>
    <mergeCell ref="B118:C118"/>
    <mergeCell ref="J403:K403"/>
    <mergeCell ref="B1385:G1385"/>
    <mergeCell ref="M1894:O1894"/>
    <mergeCell ref="J1016:L1016"/>
    <mergeCell ref="N2559:O2559"/>
    <mergeCell ref="J561:M561"/>
    <mergeCell ref="B2569:G2569"/>
    <mergeCell ref="B2563:D2563"/>
    <mergeCell ref="B749:D749"/>
    <mergeCell ref="N1714:O1714"/>
    <mergeCell ref="L20:O20"/>
    <mergeCell ref="B1381:D1381"/>
    <mergeCell ref="J2228:O2228"/>
    <mergeCell ref="J99:O99"/>
    <mergeCell ref="F1324:G1324"/>
    <mergeCell ref="L22:O22"/>
    <mergeCell ref="B2714:G2714"/>
    <mergeCell ref="L314:O314"/>
    <mergeCell ref="B927:G927"/>
    <mergeCell ref="B1383:D1383"/>
    <mergeCell ref="B1664:G1665"/>
    <mergeCell ref="N954:O954"/>
    <mergeCell ref="M1199:O1199"/>
    <mergeCell ref="B2118:E2118"/>
    <mergeCell ref="J439:O440"/>
    <mergeCell ref="J741:O741"/>
    <mergeCell ref="J131:K131"/>
    <mergeCell ref="B815:G815"/>
    <mergeCell ref="L191:O191"/>
    <mergeCell ref="J429:K429"/>
    <mergeCell ref="J100:O100"/>
    <mergeCell ref="E1994:G1994"/>
    <mergeCell ref="J272:M272"/>
    <mergeCell ref="E2450:G2450"/>
    <mergeCell ref="J1066:O1066"/>
    <mergeCell ref="J2092:L2092"/>
    <mergeCell ref="J431:K431"/>
    <mergeCell ref="J2182:O2185"/>
    <mergeCell ref="B1413:G1413"/>
    <mergeCell ref="J1923:O1924"/>
    <mergeCell ref="J2221:O2222"/>
    <mergeCell ref="J125:O125"/>
    <mergeCell ref="J2379:O2380"/>
    <mergeCell ref="B2591:D2591"/>
    <mergeCell ref="B1074:G1077"/>
    <mergeCell ref="E1697:G1697"/>
    <mergeCell ref="J2127:O2127"/>
    <mergeCell ref="B2724:G2725"/>
    <mergeCell ref="E1995:G1995"/>
    <mergeCell ref="J2121:L2121"/>
    <mergeCell ref="J2392:L2392"/>
    <mergeCell ref="E1989:G1989"/>
    <mergeCell ref="B1986:D1986"/>
    <mergeCell ref="J1973:M1973"/>
    <mergeCell ref="J2728:M2728"/>
    <mergeCell ref="L338:O338"/>
    <mergeCell ref="L460:O460"/>
    <mergeCell ref="J576:K576"/>
    <mergeCell ref="J154:O154"/>
    <mergeCell ref="B808:G809"/>
    <mergeCell ref="J941:M941"/>
    <mergeCell ref="B1225:D1225"/>
    <mergeCell ref="J113:K113"/>
    <mergeCell ref="J2123:L2123"/>
    <mergeCell ref="L373:O373"/>
    <mergeCell ref="J2427:O2427"/>
    <mergeCell ref="J2727:M2727"/>
    <mergeCell ref="B1979:D1979"/>
    <mergeCell ref="B1096:D1096"/>
    <mergeCell ref="N2066:O2066"/>
    <mergeCell ref="J2272:O2272"/>
    <mergeCell ref="B799:E799"/>
    <mergeCell ref="N2671:O2671"/>
    <mergeCell ref="M1979:O1979"/>
    <mergeCell ref="J142:K142"/>
    <mergeCell ref="L333:O333"/>
    <mergeCell ref="J449:K449"/>
    <mergeCell ref="J571:K571"/>
    <mergeCell ref="J300:M300"/>
    <mergeCell ref="B1255:G1255"/>
    <mergeCell ref="J1502:O1508"/>
    <mergeCell ref="B1708:G1709"/>
    <mergeCell ref="J1540:O1540"/>
    <mergeCell ref="M1981:O1981"/>
    <mergeCell ref="B828:G828"/>
    <mergeCell ref="J888:O890"/>
    <mergeCell ref="B2267:G2270"/>
    <mergeCell ref="J573:K573"/>
    <mergeCell ref="B2341:G2341"/>
    <mergeCell ref="B59:C59"/>
    <mergeCell ref="J120:O121"/>
    <mergeCell ref="B1251:D1251"/>
    <mergeCell ref="E1252:G1252"/>
    <mergeCell ref="B1580:G1580"/>
    <mergeCell ref="B1884:G1884"/>
    <mergeCell ref="J2574:O2574"/>
    <mergeCell ref="E1410:G1410"/>
    <mergeCell ref="M2150:O2150"/>
    <mergeCell ref="N97:O97"/>
    <mergeCell ref="B1122:D1122"/>
    <mergeCell ref="B1428:E1428"/>
    <mergeCell ref="L391:O391"/>
    <mergeCell ref="J2263:L2263"/>
    <mergeCell ref="M2264:O2264"/>
    <mergeCell ref="L689:O689"/>
    <mergeCell ref="B1880:G1880"/>
    <mergeCell ref="B836:G837"/>
    <mergeCell ref="F1065:G1065"/>
    <mergeCell ref="B2214:G2214"/>
    <mergeCell ref="F1792:G1792"/>
    <mergeCell ref="J2569:O2569"/>
    <mergeCell ref="L420:O420"/>
    <mergeCell ref="N185:O185"/>
    <mergeCell ref="L691:O691"/>
    <mergeCell ref="J1539:O1539"/>
    <mergeCell ref="J2144:M2144"/>
    <mergeCell ref="L392:O392"/>
    <mergeCell ref="B2508:D2508"/>
    <mergeCell ref="J284:K284"/>
    <mergeCell ref="B1298:E1298"/>
    <mergeCell ref="L720:O720"/>
    <mergeCell ref="M802:O802"/>
    <mergeCell ref="J934:O935"/>
    <mergeCell ref="J1664:O1665"/>
    <mergeCell ref="M1992:O1992"/>
    <mergeCell ref="J386:O386"/>
    <mergeCell ref="L686:O686"/>
    <mergeCell ref="J47:K47"/>
    <mergeCell ref="E2364:G2364"/>
    <mergeCell ref="J1268:O1269"/>
    <mergeCell ref="J815:O815"/>
    <mergeCell ref="J1564:L1564"/>
    <mergeCell ref="M1565:O1565"/>
    <mergeCell ref="J1520:L1520"/>
    <mergeCell ref="B1936:D1936"/>
    <mergeCell ref="E1937:G1937"/>
    <mergeCell ref="M1994:O1994"/>
    <mergeCell ref="B114:C114"/>
    <mergeCell ref="L104:O104"/>
    <mergeCell ref="J76:K76"/>
    <mergeCell ref="B1902:D1902"/>
    <mergeCell ref="E1939:G1939"/>
    <mergeCell ref="M2023:O2023"/>
    <mergeCell ref="B2534:D2534"/>
    <mergeCell ref="B1475:D1475"/>
    <mergeCell ref="F1881:G1881"/>
    <mergeCell ref="B1624:G1624"/>
    <mergeCell ref="J2224:O2224"/>
    <mergeCell ref="L105:O105"/>
    <mergeCell ref="J1094:L1094"/>
    <mergeCell ref="J70:O70"/>
    <mergeCell ref="F997:G997"/>
    <mergeCell ref="J1294:O1295"/>
    <mergeCell ref="J1558:O1558"/>
    <mergeCell ref="J1281:O1281"/>
    <mergeCell ref="B898:G898"/>
    <mergeCell ref="J2015:O2016"/>
    <mergeCell ref="B1327:G1327"/>
    <mergeCell ref="M944:O944"/>
    <mergeCell ref="E1018:G1018"/>
    <mergeCell ref="B1013:E1013"/>
    <mergeCell ref="M1278:O1278"/>
    <mergeCell ref="B1655:G1655"/>
    <mergeCell ref="M1409:O1409"/>
    <mergeCell ref="J514:K514"/>
    <mergeCell ref="B2226:E2226"/>
    <mergeCell ref="B1262:G1266"/>
    <mergeCell ref="B2078:D2078"/>
    <mergeCell ref="B1627:G1627"/>
    <mergeCell ref="J1037:O1037"/>
    <mergeCell ref="L430:O430"/>
    <mergeCell ref="B906:G907"/>
    <mergeCell ref="E2079:G2079"/>
    <mergeCell ref="J2227:O2227"/>
    <mergeCell ref="J853:O853"/>
    <mergeCell ref="J1279:L1279"/>
    <mergeCell ref="J218:K218"/>
    <mergeCell ref="E2535:G2535"/>
    <mergeCell ref="J69:M69"/>
    <mergeCell ref="J516:K516"/>
    <mergeCell ref="B1651:D1651"/>
    <mergeCell ref="J2341:O2341"/>
    <mergeCell ref="B1949:D1949"/>
    <mergeCell ref="B739:E739"/>
    <mergeCell ref="E2081:G2081"/>
    <mergeCell ref="B127:C127"/>
    <mergeCell ref="B895:G895"/>
    <mergeCell ref="N1737:O1737"/>
    <mergeCell ref="N40:O40"/>
    <mergeCell ref="L133:O133"/>
    <mergeCell ref="N678:O678"/>
    <mergeCell ref="J1122:L1122"/>
    <mergeCell ref="J1147:L1147"/>
    <mergeCell ref="E1564:G1564"/>
    <mergeCell ref="B1951:D1951"/>
    <mergeCell ref="E2074:G2074"/>
    <mergeCell ref="M2674:O2674"/>
    <mergeCell ref="B1039:E1039"/>
    <mergeCell ref="F841:G841"/>
    <mergeCell ref="L461:O461"/>
    <mergeCell ref="F868:G868"/>
    <mergeCell ref="J271:M271"/>
    <mergeCell ref="N1065:O1065"/>
    <mergeCell ref="J1324:M1324"/>
    <mergeCell ref="B951:G951"/>
    <mergeCell ref="E1993:G1993"/>
    <mergeCell ref="F2532:G2532"/>
    <mergeCell ref="B1249:G1249"/>
    <mergeCell ref="J920:O921"/>
    <mergeCell ref="J574:K574"/>
    <mergeCell ref="B1040:G1040"/>
    <mergeCell ref="M2092:O2092"/>
    <mergeCell ref="B1911:G1914"/>
    <mergeCell ref="J241:O241"/>
    <mergeCell ref="F1168:G1168"/>
    <mergeCell ref="B953:G953"/>
    <mergeCell ref="J1177:O1177"/>
    <mergeCell ref="J567:K567"/>
    <mergeCell ref="B2209:G2212"/>
    <mergeCell ref="B2310:G2310"/>
    <mergeCell ref="B2367:G2370"/>
    <mergeCell ref="B1308:G1311"/>
    <mergeCell ref="J656:K656"/>
    <mergeCell ref="J140:K140"/>
    <mergeCell ref="M2392:O2392"/>
    <mergeCell ref="M1631:O1631"/>
    <mergeCell ref="J1934:L1934"/>
    <mergeCell ref="J569:K569"/>
    <mergeCell ref="L629:O629"/>
    <mergeCell ref="J229:K229"/>
    <mergeCell ref="J1173:L1173"/>
    <mergeCell ref="M1174:O1174"/>
    <mergeCell ref="J2061:O2062"/>
    <mergeCell ref="M2087:O2087"/>
    <mergeCell ref="J1642:O1643"/>
    <mergeCell ref="J658:K658"/>
    <mergeCell ref="B2091:D2091"/>
    <mergeCell ref="M2394:O2394"/>
    <mergeCell ref="E2730:G2730"/>
    <mergeCell ref="E2590:G2590"/>
    <mergeCell ref="B1436:G1442"/>
    <mergeCell ref="J1936:L1936"/>
    <mergeCell ref="J1175:L1175"/>
    <mergeCell ref="N1581:O1581"/>
    <mergeCell ref="M2089:O2089"/>
    <mergeCell ref="F738:G738"/>
    <mergeCell ref="M2393:O2393"/>
    <mergeCell ref="B2770:G2770"/>
    <mergeCell ref="E2759:G2759"/>
    <mergeCell ref="B2307:G2307"/>
    <mergeCell ref="B2152:D2152"/>
    <mergeCell ref="B1120:D1120"/>
    <mergeCell ref="J1524:O1530"/>
    <mergeCell ref="J1475:L1475"/>
    <mergeCell ref="E1279:G1279"/>
    <mergeCell ref="J2534:L2534"/>
    <mergeCell ref="N1881:O1881"/>
    <mergeCell ref="B1515:E1515"/>
    <mergeCell ref="J1353:O1353"/>
    <mergeCell ref="F1221:G1221"/>
    <mergeCell ref="J592:O592"/>
    <mergeCell ref="N2390:O2390"/>
    <mergeCell ref="L515:O515"/>
    <mergeCell ref="J178:O179"/>
    <mergeCell ref="J1288:O1292"/>
    <mergeCell ref="E1304:G1304"/>
    <mergeCell ref="M2420:O2420"/>
    <mergeCell ref="J2428:O2430"/>
    <mergeCell ref="M1988:O1988"/>
    <mergeCell ref="J2291:O2291"/>
    <mergeCell ref="J282:K282"/>
    <mergeCell ref="B2147:G2147"/>
    <mergeCell ref="J11:M11"/>
    <mergeCell ref="E1303:G1303"/>
    <mergeCell ref="J811:O811"/>
    <mergeCell ref="E2151:G2151"/>
    <mergeCell ref="J2414:O2415"/>
    <mergeCell ref="J593:O593"/>
    <mergeCell ref="J159:K159"/>
    <mergeCell ref="B965:G965"/>
    <mergeCell ref="B1565:D1565"/>
    <mergeCell ref="J1655:O1655"/>
    <mergeCell ref="M1990:O1990"/>
    <mergeCell ref="J896:M896"/>
    <mergeCell ref="M958:O958"/>
    <mergeCell ref="M2288:O2288"/>
    <mergeCell ref="J1194:M1194"/>
    <mergeCell ref="E1305:G1305"/>
    <mergeCell ref="B2450:D2450"/>
    <mergeCell ref="B2754:G2754"/>
    <mergeCell ref="E2787:G2787"/>
    <mergeCell ref="E2032:G2032"/>
    <mergeCell ref="B841:E841"/>
    <mergeCell ref="E1000:G1000"/>
    <mergeCell ref="J1065:M1065"/>
    <mergeCell ref="J1651:L1651"/>
    <mergeCell ref="E1717:G1717"/>
    <mergeCell ref="J1949:L1949"/>
    <mergeCell ref="B2171:E2171"/>
    <mergeCell ref="B2023:D2023"/>
    <mergeCell ref="C787:G787"/>
    <mergeCell ref="L226:O226"/>
    <mergeCell ref="J1494:M1494"/>
    <mergeCell ref="F1537:G1537"/>
    <mergeCell ref="B788:G789"/>
    <mergeCell ref="B2619:D2619"/>
    <mergeCell ref="J285:K285"/>
    <mergeCell ref="B1718:D1718"/>
    <mergeCell ref="B2022:G2022"/>
    <mergeCell ref="J1951:L1951"/>
    <mergeCell ref="J2095:O2098"/>
    <mergeCell ref="J2765:O2765"/>
    <mergeCell ref="J316:K316"/>
    <mergeCell ref="J1249:O1249"/>
    <mergeCell ref="J310:K310"/>
    <mergeCell ref="J2570:O2572"/>
    <mergeCell ref="J463:O467"/>
    <mergeCell ref="J1583:O1583"/>
    <mergeCell ref="E1147:G1147"/>
    <mergeCell ref="B1278:D1278"/>
    <mergeCell ref="J1184:O1188"/>
    <mergeCell ref="M2045:O2045"/>
    <mergeCell ref="J2310:O2310"/>
    <mergeCell ref="B946:G949"/>
    <mergeCell ref="B1945:D1945"/>
    <mergeCell ref="J2308:M2308"/>
    <mergeCell ref="B2808:G2809"/>
    <mergeCell ref="J2178:L2178"/>
    <mergeCell ref="B2034:D2034"/>
    <mergeCell ref="M2337:O2337"/>
    <mergeCell ref="J1881:M1881"/>
    <mergeCell ref="B1947:D1947"/>
    <mergeCell ref="L421:O421"/>
    <mergeCell ref="B854:E854"/>
    <mergeCell ref="L457:O457"/>
    <mergeCell ref="B2674:D2674"/>
    <mergeCell ref="J997:M997"/>
    <mergeCell ref="N1974:O1974"/>
    <mergeCell ref="M2759:O2759"/>
    <mergeCell ref="M1431:O1431"/>
    <mergeCell ref="N1091:O1091"/>
    <mergeCell ref="L429:O429"/>
    <mergeCell ref="E2072:G2072"/>
    <mergeCell ref="J245:O245"/>
    <mergeCell ref="L423:O423"/>
    <mergeCell ref="B2404:G2404"/>
    <mergeCell ref="M1302:O1302"/>
    <mergeCell ref="B1195:E1195"/>
    <mergeCell ref="J1605:O1605"/>
    <mergeCell ref="J535:O535"/>
    <mergeCell ref="B855:E855"/>
    <mergeCell ref="N1221:O1221"/>
    <mergeCell ref="B1493:E1493"/>
    <mergeCell ref="E1674:G1674"/>
    <mergeCell ref="B1948:D1948"/>
    <mergeCell ref="J700:O701"/>
    <mergeCell ref="L458:O458"/>
    <mergeCell ref="M2029:O2029"/>
    <mergeCell ref="J2332:O2332"/>
    <mergeCell ref="L452:O452"/>
    <mergeCell ref="J652:K652"/>
    <mergeCell ref="J2687:O2694"/>
    <mergeCell ref="M2363:O2363"/>
    <mergeCell ref="J688:K688"/>
    <mergeCell ref="M1304:O1304"/>
    <mergeCell ref="J2476:L2476"/>
    <mergeCell ref="M1303:O1303"/>
    <mergeCell ref="J654:K654"/>
    <mergeCell ref="J681:K681"/>
    <mergeCell ref="B1365:G1365"/>
    <mergeCell ref="B1372:G1373"/>
    <mergeCell ref="E1675:G1675"/>
    <mergeCell ref="B1972:G1972"/>
    <mergeCell ref="E914:G914"/>
    <mergeCell ref="B2236:G2239"/>
    <mergeCell ref="J2230:L2230"/>
    <mergeCell ref="L597:O597"/>
    <mergeCell ref="J227:K227"/>
    <mergeCell ref="N1117:O1117"/>
    <mergeCell ref="J1586:L1586"/>
    <mergeCell ref="J1901:L1901"/>
    <mergeCell ref="M2085:O2085"/>
    <mergeCell ref="J173:O177"/>
    <mergeCell ref="B2089:D2089"/>
    <mergeCell ref="B2393:D2393"/>
    <mergeCell ref="J841:M841"/>
    <mergeCell ref="L599:O599"/>
    <mergeCell ref="J2232:L2232"/>
    <mergeCell ref="L142:O142"/>
    <mergeCell ref="B1333:G1333"/>
    <mergeCell ref="F2672:G2672"/>
    <mergeCell ref="N1537:O1537"/>
    <mergeCell ref="J714:K714"/>
    <mergeCell ref="B2743:G2750"/>
    <mergeCell ref="J563:O563"/>
    <mergeCell ref="B1932:D1932"/>
    <mergeCell ref="J318:O322"/>
    <mergeCell ref="J1760:O1761"/>
    <mergeCell ref="J251:K251"/>
    <mergeCell ref="B2090:D2090"/>
    <mergeCell ref="L171:O171"/>
    <mergeCell ref="B2390:E2390"/>
    <mergeCell ref="B1093:G1093"/>
    <mergeCell ref="B2119:G2119"/>
    <mergeCell ref="J265:O266"/>
    <mergeCell ref="B785:G786"/>
    <mergeCell ref="B1391:G1391"/>
    <mergeCell ref="L600:O600"/>
    <mergeCell ref="B1398:G1399"/>
    <mergeCell ref="J1649:O1649"/>
    <mergeCell ref="L594:O594"/>
    <mergeCell ref="J1624:O1624"/>
    <mergeCell ref="J2681:O2681"/>
    <mergeCell ref="J253:K253"/>
    <mergeCell ref="M2505:O2505"/>
    <mergeCell ref="M1356:O1356"/>
    <mergeCell ref="B1716:G1716"/>
    <mergeCell ref="J2215:O2218"/>
    <mergeCell ref="E1519:G1519"/>
    <mergeCell ref="J1278:L1278"/>
    <mergeCell ref="L139:O139"/>
    <mergeCell ref="B1992:D1992"/>
    <mergeCell ref="B1359:G1359"/>
    <mergeCell ref="M1475:O1475"/>
    <mergeCell ref="M1043:O1043"/>
    <mergeCell ref="M1018:O1018"/>
    <mergeCell ref="B2421:D2421"/>
    <mergeCell ref="B1693:G1693"/>
    <mergeCell ref="J738:M738"/>
    <mergeCell ref="B1261:G1261"/>
    <mergeCell ref="J1945:L1945"/>
    <mergeCell ref="J886:L886"/>
    <mergeCell ref="L170:O170"/>
    <mergeCell ref="B1086:G1087"/>
    <mergeCell ref="B2018:G2018"/>
    <mergeCell ref="B1987:D1987"/>
    <mergeCell ref="B928:D928"/>
    <mergeCell ref="J1947:L1947"/>
    <mergeCell ref="J1221:M1221"/>
    <mergeCell ref="J393:K393"/>
    <mergeCell ref="N1471:O1471"/>
    <mergeCell ref="J1677:O1677"/>
    <mergeCell ref="B1242:G1243"/>
    <mergeCell ref="J1975:O1975"/>
    <mergeCell ref="C778:G778"/>
    <mergeCell ref="B2347:G2347"/>
    <mergeCell ref="M1069:O1069"/>
    <mergeCell ref="J395:K395"/>
    <mergeCell ref="J693:K693"/>
    <mergeCell ref="N2532:O2532"/>
    <mergeCell ref="J2703:L2703"/>
    <mergeCell ref="J951:O951"/>
    <mergeCell ref="J1673:L1673"/>
    <mergeCell ref="M1674:O1674"/>
    <mergeCell ref="J945:O945"/>
    <mergeCell ref="M1071:O1071"/>
    <mergeCell ref="E2204:G2204"/>
    <mergeCell ref="B944:D944"/>
    <mergeCell ref="J1672:O1672"/>
    <mergeCell ref="N1792:O1792"/>
    <mergeCell ref="M2124:O2124"/>
    <mergeCell ref="E986:G986"/>
    <mergeCell ref="B2038:D2038"/>
    <mergeCell ref="J1247:M1247"/>
    <mergeCell ref="E1016:G1016"/>
    <mergeCell ref="J1372:O1373"/>
    <mergeCell ref="J2087:L2087"/>
    <mergeCell ref="E2504:G2504"/>
    <mergeCell ref="B2040:D2040"/>
    <mergeCell ref="E2041:G2041"/>
    <mergeCell ref="B66:C66"/>
    <mergeCell ref="L252:O252"/>
    <mergeCell ref="N1647:O1647"/>
    <mergeCell ref="L366:O366"/>
    <mergeCell ref="F2019:G2019"/>
    <mergeCell ref="L542:O542"/>
    <mergeCell ref="J331:O331"/>
    <mergeCell ref="L664:O664"/>
    <mergeCell ref="E2043:G2043"/>
    <mergeCell ref="F2588:G2588"/>
    <mergeCell ref="B972:D972"/>
    <mergeCell ref="B1007:G1007"/>
    <mergeCell ref="B2759:D2759"/>
    <mergeCell ref="B1001:G1001"/>
    <mergeCell ref="J1590:O1596"/>
    <mergeCell ref="M2786:O2786"/>
    <mergeCell ref="L544:O544"/>
    <mergeCell ref="B1825:G1829"/>
    <mergeCell ref="J671:O672"/>
    <mergeCell ref="N2699:O2699"/>
    <mergeCell ref="B2333:E2333"/>
    <mergeCell ref="J201:O201"/>
    <mergeCell ref="J1398:O1399"/>
    <mergeCell ref="J332:O332"/>
    <mergeCell ref="E858:G858"/>
    <mergeCell ref="L537:O537"/>
    <mergeCell ref="J1385:O1385"/>
    <mergeCell ref="J20:K20"/>
    <mergeCell ref="J196:K196"/>
    <mergeCell ref="J1230:O1233"/>
    <mergeCell ref="J625:K625"/>
    <mergeCell ref="J1028:O1032"/>
    <mergeCell ref="J1984:L1984"/>
    <mergeCell ref="B1303:D1303"/>
    <mergeCell ref="B1603:E1603"/>
    <mergeCell ref="J1716:O1716"/>
    <mergeCell ref="J22:K22"/>
    <mergeCell ref="B873:G873"/>
    <mergeCell ref="L568:O568"/>
    <mergeCell ref="B1455:D1455"/>
    <mergeCell ref="J802:L802"/>
    <mergeCell ref="E2646:G2646"/>
    <mergeCell ref="B2654:G2656"/>
    <mergeCell ref="B1174:D1174"/>
    <mergeCell ref="B2526:G2527"/>
    <mergeCell ref="B1976:G1976"/>
    <mergeCell ref="J259:O259"/>
    <mergeCell ref="J51:K51"/>
    <mergeCell ref="B2787:D2787"/>
    <mergeCell ref="N897:O897"/>
    <mergeCell ref="B1000:D1000"/>
    <mergeCell ref="N1848:O1848"/>
    <mergeCell ref="B1604:E1604"/>
    <mergeCell ref="J818:O820"/>
    <mergeCell ref="B988:G991"/>
    <mergeCell ref="L167:O167"/>
    <mergeCell ref="J1015:O1015"/>
    <mergeCell ref="E755:G755"/>
    <mergeCell ref="N1116:O1116"/>
    <mergeCell ref="L565:O565"/>
    <mergeCell ref="B1900:D1900"/>
    <mergeCell ref="J859:O859"/>
    <mergeCell ref="B122:C122"/>
    <mergeCell ref="B1470:G1470"/>
    <mergeCell ref="B2049:G2052"/>
    <mergeCell ref="B105:C105"/>
    <mergeCell ref="L169:O169"/>
    <mergeCell ref="J2347:O2347"/>
    <mergeCell ref="J338:K338"/>
    <mergeCell ref="E757:G757"/>
    <mergeCell ref="L598:O598"/>
    <mergeCell ref="M1898:O1898"/>
    <mergeCell ref="B2197:G2197"/>
    <mergeCell ref="J2598:O2600"/>
    <mergeCell ref="B926:G926"/>
    <mergeCell ref="J352:O353"/>
    <mergeCell ref="B2116:G2116"/>
    <mergeCell ref="B2682:G2684"/>
    <mergeCell ref="E756:G756"/>
    <mergeCell ref="B107:C107"/>
    <mergeCell ref="J1908:L1908"/>
    <mergeCell ref="E750:G750"/>
    <mergeCell ref="J648:M648"/>
    <mergeCell ref="L710:O710"/>
    <mergeCell ref="J2039:L2039"/>
    <mergeCell ref="J2045:L2045"/>
    <mergeCell ref="N798:O798"/>
    <mergeCell ref="J944:L944"/>
    <mergeCell ref="B1018:D1018"/>
    <mergeCell ref="J2337:L2337"/>
    <mergeCell ref="N2445:O2445"/>
    <mergeCell ref="J2643:M2643"/>
    <mergeCell ref="B2202:D2202"/>
    <mergeCell ref="J381:O382"/>
    <mergeCell ref="B1990:D1990"/>
    <mergeCell ref="B2416:G2416"/>
    <mergeCell ref="B2588:E2588"/>
    <mergeCell ref="J2030:L2030"/>
    <mergeCell ref="N2474:O2474"/>
    <mergeCell ref="N827:O827"/>
    <mergeCell ref="N1713:O1713"/>
    <mergeCell ref="B1983:D1983"/>
    <mergeCell ref="J2040:L2040"/>
    <mergeCell ref="L195:O195"/>
    <mergeCell ref="B1073:G1073"/>
    <mergeCell ref="L624:O624"/>
    <mergeCell ref="L309:O309"/>
    <mergeCell ref="J526:O527"/>
    <mergeCell ref="J1157:O1157"/>
    <mergeCell ref="J1164:O1165"/>
    <mergeCell ref="J274:O274"/>
    <mergeCell ref="J1604:M1604"/>
    <mergeCell ref="J1656:O1662"/>
    <mergeCell ref="B1985:D1985"/>
    <mergeCell ref="N2019:O2019"/>
    <mergeCell ref="B768:G768"/>
    <mergeCell ref="M1497:O1497"/>
    <mergeCell ref="L197:O197"/>
    <mergeCell ref="B1769:G1773"/>
    <mergeCell ref="J1853:O1857"/>
    <mergeCell ref="F1928:G1928"/>
    <mergeCell ref="J689:K689"/>
    <mergeCell ref="B43:G43"/>
    <mergeCell ref="B1069:D1069"/>
    <mergeCell ref="J1457:O1457"/>
    <mergeCell ref="B797:G797"/>
    <mergeCell ref="M1042:O1042"/>
    <mergeCell ref="J1668:O1668"/>
    <mergeCell ref="N213:O213"/>
    <mergeCell ref="J420:K420"/>
    <mergeCell ref="J718:K718"/>
    <mergeCell ref="M858:O858"/>
    <mergeCell ref="J637:O641"/>
    <mergeCell ref="E2289:G2289"/>
    <mergeCell ref="J2715:O2722"/>
    <mergeCell ref="J1331:L1331"/>
    <mergeCell ref="J1453:L1453"/>
    <mergeCell ref="B1831:G1831"/>
    <mergeCell ref="J1629:L1629"/>
    <mergeCell ref="B2586:G2586"/>
    <mergeCell ref="J2358:M2358"/>
    <mergeCell ref="N242:O242"/>
    <mergeCell ref="J720:K720"/>
    <mergeCell ref="B1404:G1404"/>
    <mergeCell ref="B147:G149"/>
    <mergeCell ref="N2756:O2756"/>
    <mergeCell ref="J1455:L1455"/>
    <mergeCell ref="B1696:D1696"/>
    <mergeCell ref="N969:O969"/>
    <mergeCell ref="J1631:L1631"/>
    <mergeCell ref="B1112:G1113"/>
    <mergeCell ref="B2309:E2309"/>
    <mergeCell ref="B1099:G1099"/>
    <mergeCell ref="E1409:G1409"/>
    <mergeCell ref="B2125:D2125"/>
    <mergeCell ref="N882:O882"/>
    <mergeCell ref="L337:O337"/>
    <mergeCell ref="L635:O635"/>
    <mergeCell ref="B2590:D2590"/>
    <mergeCell ref="J104:K104"/>
    <mergeCell ref="F924:G924"/>
    <mergeCell ref="B1095:D1095"/>
    <mergeCell ref="L339:O339"/>
    <mergeCell ref="L662:O662"/>
    <mergeCell ref="B1998:D1998"/>
    <mergeCell ref="J328:O328"/>
    <mergeCell ref="B62:G62"/>
    <mergeCell ref="B1430:G1430"/>
    <mergeCell ref="B65:C65"/>
    <mergeCell ref="J2743:O2750"/>
    <mergeCell ref="F911:G911"/>
    <mergeCell ref="F2615:G2615"/>
    <mergeCell ref="J1044:L1044"/>
    <mergeCell ref="J105:K105"/>
    <mergeCell ref="M1543:O1543"/>
    <mergeCell ref="J1980:L1980"/>
    <mergeCell ref="N1625:O1625"/>
    <mergeCell ref="M2448:O2448"/>
    <mergeCell ref="B2516:G2516"/>
    <mergeCell ref="F940:G940"/>
    <mergeCell ref="B50:C50"/>
    <mergeCell ref="M2562:O2562"/>
    <mergeCell ref="E1585:G1585"/>
    <mergeCell ref="J1982:L1982"/>
    <mergeCell ref="J1227:L1227"/>
    <mergeCell ref="B832:G834"/>
    <mergeCell ref="B2612:G2613"/>
    <mergeCell ref="E1122:G1122"/>
    <mergeCell ref="J2444:O2444"/>
    <mergeCell ref="J2742:O2742"/>
    <mergeCell ref="L50:O50"/>
    <mergeCell ref="L566:O566"/>
    <mergeCell ref="J468:O469"/>
    <mergeCell ref="L688:O688"/>
    <mergeCell ref="B1411:D1411"/>
    <mergeCell ref="N2259:O2259"/>
    <mergeCell ref="J958:L958"/>
    <mergeCell ref="J2588:M2588"/>
    <mergeCell ref="J503:M503"/>
    <mergeCell ref="F1669:G1669"/>
    <mergeCell ref="J430:K430"/>
    <mergeCell ref="B843:G843"/>
    <mergeCell ref="L52:O52"/>
    <mergeCell ref="N474:O474"/>
    <mergeCell ref="J2170:O2170"/>
    <mergeCell ref="F2755:G2755"/>
    <mergeCell ref="J41:O41"/>
    <mergeCell ref="J161:K161"/>
    <mergeCell ref="B1929:G1929"/>
    <mergeCell ref="B2200:G2200"/>
    <mergeCell ref="J459:K459"/>
    <mergeCell ref="J1340:O1344"/>
    <mergeCell ref="J2460:O2460"/>
    <mergeCell ref="J1097:L1097"/>
    <mergeCell ref="J1523:O1523"/>
    <mergeCell ref="J1769:O1773"/>
    <mergeCell ref="E1934:G1934"/>
    <mergeCell ref="J2122:L2122"/>
    <mergeCell ref="B2502:E2502"/>
    <mergeCell ref="J461:K461"/>
    <mergeCell ref="B1474:G1474"/>
    <mergeCell ref="E752:G752"/>
    <mergeCell ref="M1564:O1564"/>
    <mergeCell ref="B78:C78"/>
    <mergeCell ref="E746:G746"/>
    <mergeCell ref="J797:O797"/>
    <mergeCell ref="B1011:G1011"/>
    <mergeCell ref="B1832:G1843"/>
    <mergeCell ref="J1695:L1695"/>
    <mergeCell ref="E1936:G1936"/>
    <mergeCell ref="B2201:G2201"/>
    <mergeCell ref="E1175:G1175"/>
    <mergeCell ref="B2640:G2641"/>
    <mergeCell ref="J2151:L2151"/>
    <mergeCell ref="J2422:L2422"/>
    <mergeCell ref="L279:O279"/>
    <mergeCell ref="E754:G754"/>
    <mergeCell ref="J67:O67"/>
    <mergeCell ref="F2020:G2020"/>
    <mergeCell ref="L403:O403"/>
    <mergeCell ref="J1696:L1696"/>
    <mergeCell ref="J1554:O1555"/>
    <mergeCell ref="F2783:G2783"/>
    <mergeCell ref="L280:O280"/>
    <mergeCell ref="J497:O498"/>
    <mergeCell ref="F996:G996"/>
    <mergeCell ref="J1386:O1389"/>
    <mergeCell ref="L432:O432"/>
    <mergeCell ref="B129:C129"/>
    <mergeCell ref="J410:O411"/>
    <mergeCell ref="J1797:O1801"/>
    <mergeCell ref="J362:K362"/>
    <mergeCell ref="J660:K660"/>
    <mergeCell ref="J822:O823"/>
    <mergeCell ref="E1954:G1954"/>
    <mergeCell ref="E2076:G2076"/>
    <mergeCell ref="B2257:G2257"/>
    <mergeCell ref="J1612:O1618"/>
    <mergeCell ref="B1496:G1496"/>
    <mergeCell ref="B741:G741"/>
    <mergeCell ref="M1277:O1277"/>
    <mergeCell ref="J364:K364"/>
    <mergeCell ref="J1001:O1001"/>
    <mergeCell ref="N184:O184"/>
    <mergeCell ref="J391:K391"/>
    <mergeCell ref="B1197:G1197"/>
    <mergeCell ref="M2091:O2091"/>
    <mergeCell ref="B864:G865"/>
    <mergeCell ref="B1495:G1495"/>
    <mergeCell ref="E2078:G2078"/>
    <mergeCell ref="J1120:L1120"/>
    <mergeCell ref="B1498:D1498"/>
    <mergeCell ref="B2182:G2185"/>
    <mergeCell ref="E1651:G1651"/>
    <mergeCell ref="B1923:G1924"/>
    <mergeCell ref="J691:K691"/>
    <mergeCell ref="B1071:D1071"/>
    <mergeCell ref="E1949:G1949"/>
    <mergeCell ref="B2221:G2222"/>
    <mergeCell ref="J2516:O2516"/>
    <mergeCell ref="B2379:G2380"/>
    <mergeCell ref="J358:M358"/>
    <mergeCell ref="N940:O940"/>
    <mergeCell ref="F2198:G2198"/>
    <mergeCell ref="L308:O308"/>
    <mergeCell ref="E1951:G1951"/>
    <mergeCell ref="L631:O631"/>
    <mergeCell ref="J2541:O2541"/>
    <mergeCell ref="L422:O422"/>
    <mergeCell ref="B2123:D2123"/>
    <mergeCell ref="B2727:E2727"/>
    <mergeCell ref="J75:K75"/>
    <mergeCell ref="J2085:L2085"/>
    <mergeCell ref="L335:O335"/>
    <mergeCell ref="J1183:O1183"/>
    <mergeCell ref="L633:O633"/>
    <mergeCell ref="J850:O851"/>
    <mergeCell ref="J1928:M1928"/>
    <mergeCell ref="F1764:G1764"/>
    <mergeCell ref="B1937:D1937"/>
    <mergeCell ref="N2755:O2755"/>
    <mergeCell ref="J1352:O1352"/>
    <mergeCell ref="B1426:G1426"/>
    <mergeCell ref="M1935:O1935"/>
    <mergeCell ref="M2233:O2233"/>
    <mergeCell ref="B2264:D2264"/>
    <mergeCell ref="B1776:G1787"/>
    <mergeCell ref="N1298:O1298"/>
    <mergeCell ref="M1934:O1934"/>
    <mergeCell ref="B748:D748"/>
    <mergeCell ref="J1860:O1871"/>
    <mergeCell ref="E2396:G2396"/>
    <mergeCell ref="B145:D145"/>
    <mergeCell ref="E2150:G2150"/>
    <mergeCell ref="M1936:O1936"/>
    <mergeCell ref="B750:D750"/>
    <mergeCell ref="L46:O46"/>
    <mergeCell ref="J1472:M1472"/>
    <mergeCell ref="J1648:M1648"/>
    <mergeCell ref="J2077:L2077"/>
    <mergeCell ref="E2179:G2179"/>
    <mergeCell ref="E1120:G1120"/>
    <mergeCell ref="B839:G839"/>
    <mergeCell ref="L48:O48"/>
    <mergeCell ref="B2144:E2144"/>
    <mergeCell ref="J12:O12"/>
    <mergeCell ref="B2478:D2478"/>
    <mergeCell ref="L217:O217"/>
    <mergeCell ref="J184:M184"/>
    <mergeCell ref="L690:O690"/>
    <mergeCell ref="J1196:O1196"/>
    <mergeCell ref="M1946:O1946"/>
    <mergeCell ref="J462:O462"/>
    <mergeCell ref="J782:O783"/>
    <mergeCell ref="L43:O43"/>
    <mergeCell ref="B1080:G1084"/>
    <mergeCell ref="J457:K457"/>
    <mergeCell ref="B1141:G1141"/>
    <mergeCell ref="M1954:O1954"/>
    <mergeCell ref="J2257:O2257"/>
    <mergeCell ref="J2282:O2282"/>
    <mergeCell ref="B2322:G2322"/>
    <mergeCell ref="J1496:O1496"/>
    <mergeCell ref="B1433:D1433"/>
    <mergeCell ref="B2329:G2330"/>
    <mergeCell ref="N706:O706"/>
    <mergeCell ref="J768:O768"/>
    <mergeCell ref="B842:G842"/>
    <mergeCell ref="B1564:D1564"/>
    <mergeCell ref="E1565:G1565"/>
    <mergeCell ref="B1224:D1224"/>
    <mergeCell ref="E1901:G1901"/>
    <mergeCell ref="L74:O74"/>
    <mergeCell ref="B1576:G1577"/>
    <mergeCell ref="L372:O372"/>
    <mergeCell ref="B76:C76"/>
    <mergeCell ref="J1408:O1408"/>
    <mergeCell ref="M1520:O1520"/>
    <mergeCell ref="E2232:G2232"/>
    <mergeCell ref="B1226:D1226"/>
    <mergeCell ref="M1651:O1651"/>
    <mergeCell ref="M1949:O1949"/>
    <mergeCell ref="L76:O76"/>
    <mergeCell ref="E2023:G2023"/>
    <mergeCell ref="L399:O399"/>
    <mergeCell ref="L374:O374"/>
    <mergeCell ref="J301:M301"/>
    <mergeCell ref="J1669:M1669"/>
    <mergeCell ref="J2124:L2124"/>
    <mergeCell ref="J2149:L2149"/>
    <mergeCell ref="E1718:G1718"/>
    <mergeCell ref="B1893:D1893"/>
    <mergeCell ref="E1894:G1894"/>
    <mergeCell ref="J550:O554"/>
    <mergeCell ref="J2755:M2755"/>
    <mergeCell ref="F1538:G1538"/>
    <mergeCell ref="J1414:O1420"/>
    <mergeCell ref="J909:O909"/>
    <mergeCell ref="J2449:L2449"/>
    <mergeCell ref="B1294:G1295"/>
    <mergeCell ref="B2113:O2113"/>
    <mergeCell ref="B1281:G1281"/>
    <mergeCell ref="B1126:G1129"/>
    <mergeCell ref="J2236:O2239"/>
    <mergeCell ref="B2547:G2554"/>
    <mergeCell ref="J170:K170"/>
    <mergeCell ref="B983:E983"/>
    <mergeCell ref="B1796:G1796"/>
    <mergeCell ref="J605:K605"/>
    <mergeCell ref="J2480:L2480"/>
    <mergeCell ref="J183:O183"/>
    <mergeCell ref="J599:K599"/>
    <mergeCell ref="J1719:L1719"/>
    <mergeCell ref="B1277:D1277"/>
    <mergeCell ref="E1278:G1278"/>
    <mergeCell ref="M2000:O2000"/>
    <mergeCell ref="J1426:O1426"/>
    <mergeCell ref="J2181:O2181"/>
    <mergeCell ref="B984:G984"/>
    <mergeCell ref="J2175:L2175"/>
    <mergeCell ref="J665:O665"/>
    <mergeCell ref="J55:K55"/>
    <mergeCell ref="M2176:O2176"/>
    <mergeCell ref="E1586:G1586"/>
    <mergeCell ref="B1148:D1148"/>
    <mergeCell ref="B87:C87"/>
    <mergeCell ref="B2338:D2338"/>
    <mergeCell ref="B1279:D1279"/>
    <mergeCell ref="E1945:G1945"/>
    <mergeCell ref="F1406:G1406"/>
    <mergeCell ref="J2177:L2177"/>
    <mergeCell ref="M2178:O2178"/>
    <mergeCell ref="N1691:O1691"/>
    <mergeCell ref="J329:M329"/>
    <mergeCell ref="J694:O694"/>
    <mergeCell ref="B1066:G1066"/>
    <mergeCell ref="J1576:O1577"/>
    <mergeCell ref="N2418:O2418"/>
    <mergeCell ref="E1947:G1947"/>
    <mergeCell ref="M2031:O2031"/>
    <mergeCell ref="B1149:D1149"/>
    <mergeCell ref="J2456:O2458"/>
    <mergeCell ref="L456:O456"/>
    <mergeCell ref="E2674:G2674"/>
    <mergeCell ref="J996:M996"/>
    <mergeCell ref="J2197:O2197"/>
    <mergeCell ref="J2783:M2783"/>
    <mergeCell ref="J839:O839"/>
    <mergeCell ref="J198:K198"/>
    <mergeCell ref="E2092:G2092"/>
    <mergeCell ref="J954:M954"/>
    <mergeCell ref="J534:O534"/>
    <mergeCell ref="B113:C113"/>
    <mergeCell ref="L712:O712"/>
    <mergeCell ref="J1432:L1432"/>
    <mergeCell ref="M1906:O1906"/>
    <mergeCell ref="F2066:G2066"/>
    <mergeCell ref="B2272:G2272"/>
    <mergeCell ref="J1444:O1445"/>
    <mergeCell ref="B2266:G2266"/>
    <mergeCell ref="B1633:G1633"/>
    <mergeCell ref="B2233:D2233"/>
    <mergeCell ref="B2323:G2326"/>
    <mergeCell ref="B115:C115"/>
    <mergeCell ref="J1589:O1589"/>
    <mergeCell ref="E2392:G2392"/>
    <mergeCell ref="J1896:L1896"/>
    <mergeCell ref="J1890:L1890"/>
    <mergeCell ref="E2087:G2087"/>
    <mergeCell ref="F1793:G1793"/>
    <mergeCell ref="J1433:L1433"/>
    <mergeCell ref="B2262:D2262"/>
    <mergeCell ref="B1169:E1169"/>
    <mergeCell ref="E2394:G2394"/>
    <mergeCell ref="B746:D746"/>
    <mergeCell ref="M1901:O1901"/>
    <mergeCell ref="L17:O17"/>
    <mergeCell ref="J402:K402"/>
    <mergeCell ref="J2198:M2198"/>
    <mergeCell ref="B143:D143"/>
    <mergeCell ref="J2484:O2486"/>
    <mergeCell ref="J2502:M2502"/>
    <mergeCell ref="N1406:O1406"/>
    <mergeCell ref="B2562:D2562"/>
    <mergeCell ref="M2232:O2232"/>
    <mergeCell ref="J1320:O1321"/>
    <mergeCell ref="J1891:L1891"/>
    <mergeCell ref="J867:O867"/>
    <mergeCell ref="L19:O19"/>
    <mergeCell ref="J257:K257"/>
    <mergeCell ref="B2263:D2263"/>
    <mergeCell ref="M2046:O2046"/>
    <mergeCell ref="J2066:M2066"/>
    <mergeCell ref="J1480:O1486"/>
    <mergeCell ref="B1353:G1353"/>
    <mergeCell ref="J1620:O1621"/>
    <mergeCell ref="J1167:O1167"/>
    <mergeCell ref="E1991:G1991"/>
    <mergeCell ref="B1539:G1539"/>
    <mergeCell ref="J433:O433"/>
    <mergeCell ref="M1016:O1016"/>
    <mergeCell ref="B1288:G1292"/>
    <mergeCell ref="B159:D159"/>
    <mergeCell ref="L14:O14"/>
    <mergeCell ref="J1126:O1129"/>
    <mergeCell ref="J428:K428"/>
    <mergeCell ref="E1984:G1984"/>
    <mergeCell ref="E2121:G2121"/>
    <mergeCell ref="J1492:O1492"/>
    <mergeCell ref="J2547:O2554"/>
    <mergeCell ref="B2625:G2625"/>
    <mergeCell ref="J542:K542"/>
    <mergeCell ref="N677:O677"/>
    <mergeCell ref="J2038:L2038"/>
    <mergeCell ref="B2414:G2415"/>
    <mergeCell ref="E2449:G2449"/>
    <mergeCell ref="E802:G802"/>
    <mergeCell ref="B934:G935"/>
    <mergeCell ref="E1992:G1992"/>
    <mergeCell ref="L368:O368"/>
    <mergeCell ref="F2531:G2531"/>
    <mergeCell ref="B2702:D2702"/>
    <mergeCell ref="L159:O159"/>
    <mergeCell ref="J1148:L1148"/>
    <mergeCell ref="B2283:E2283"/>
    <mergeCell ref="E1383:G1383"/>
    <mergeCell ref="J2338:L2338"/>
    <mergeCell ref="B1520:D1520"/>
    <mergeCell ref="M1945:O1945"/>
    <mergeCell ref="L72:O72"/>
    <mergeCell ref="B1065:E1065"/>
    <mergeCell ref="L487:O487"/>
    <mergeCell ref="L370:O370"/>
    <mergeCell ref="B925:E925"/>
    <mergeCell ref="B2512:G2514"/>
    <mergeCell ref="N1765:O1765"/>
    <mergeCell ref="L188:O188"/>
    <mergeCell ref="J456:K456"/>
    <mergeCell ref="L459:O459"/>
    <mergeCell ref="B1314:G1318"/>
    <mergeCell ref="B1889:D1889"/>
    <mergeCell ref="M1947:O1947"/>
    <mergeCell ref="J521:O525"/>
    <mergeCell ref="B2631:G2638"/>
    <mergeCell ref="M2731:O2731"/>
    <mergeCell ref="J607:O607"/>
    <mergeCell ref="J2420:L2420"/>
    <mergeCell ref="J1203:O1203"/>
    <mergeCell ref="J568:K568"/>
    <mergeCell ref="N2065:O2065"/>
    <mergeCell ref="L488:O488"/>
    <mergeCell ref="B2765:G2765"/>
    <mergeCell ref="N707:O707"/>
    <mergeCell ref="B1245:G1245"/>
    <mergeCell ref="J595:K595"/>
    <mergeCell ref="J570:K570"/>
    <mergeCell ref="M1673:O1673"/>
    <mergeCell ref="N1064:O1064"/>
    <mergeCell ref="E2045:G2045"/>
    <mergeCell ref="B63:G63"/>
    <mergeCell ref="B2015:G2016"/>
    <mergeCell ref="E944:G944"/>
    <mergeCell ref="J2266:O2266"/>
    <mergeCell ref="J1201:L1201"/>
    <mergeCell ref="B1581:E1581"/>
    <mergeCell ref="J1847:O1847"/>
    <mergeCell ref="B1250:D1250"/>
    <mergeCell ref="J1499:L1499"/>
    <mergeCell ref="L83:O83"/>
    <mergeCell ref="F1220:G1220"/>
    <mergeCell ref="E2030:G2030"/>
    <mergeCell ref="N1793:O1793"/>
    <mergeCell ref="J2262:L2262"/>
    <mergeCell ref="J169:K169"/>
    <mergeCell ref="B1881:E1881"/>
    <mergeCell ref="J598:K598"/>
    <mergeCell ref="B2031:D2031"/>
    <mergeCell ref="J1538:M1538"/>
    <mergeCell ref="J2562:L2562"/>
    <mergeCell ref="L541:O541"/>
    <mergeCell ref="L84:O84"/>
    <mergeCell ref="J200:K200"/>
    <mergeCell ref="J506:O506"/>
    <mergeCell ref="B1147:D1147"/>
    <mergeCell ref="J1686:O1687"/>
    <mergeCell ref="J1988:L1988"/>
    <mergeCell ref="B2292:G2295"/>
    <mergeCell ref="J623:K623"/>
    <mergeCell ref="J505:O505"/>
    <mergeCell ref="F1090:G1090"/>
    <mergeCell ref="B769:G771"/>
    <mergeCell ref="E1302:G1302"/>
    <mergeCell ref="B1605:G1605"/>
    <mergeCell ref="B1763:G1763"/>
    <mergeCell ref="L80:O80"/>
    <mergeCell ref="B58:C58"/>
    <mergeCell ref="B1300:G1300"/>
    <mergeCell ref="B52:C52"/>
    <mergeCell ref="J1990:L1990"/>
    <mergeCell ref="B1172:D1172"/>
    <mergeCell ref="M1991:O1991"/>
    <mergeCell ref="J2288:L2288"/>
    <mergeCell ref="B2362:D2362"/>
    <mergeCell ref="E2363:G2363"/>
    <mergeCell ref="B2687:G2694"/>
    <mergeCell ref="J195:K195"/>
    <mergeCell ref="E1331:G1331"/>
    <mergeCell ref="E1453:G1453"/>
    <mergeCell ref="E1629:G1629"/>
    <mergeCell ref="B1177:G1177"/>
    <mergeCell ref="J1563:L1563"/>
    <mergeCell ref="B1899:D1899"/>
    <mergeCell ref="J624:K624"/>
    <mergeCell ref="J2653:O2653"/>
    <mergeCell ref="B2361:G2361"/>
    <mergeCell ref="B1606:G1606"/>
    <mergeCell ref="M1897:O1897"/>
    <mergeCell ref="J197:K197"/>
    <mergeCell ref="E1455:G1455"/>
    <mergeCell ref="B1630:D1630"/>
    <mergeCell ref="F1117:G1117"/>
    <mergeCell ref="E1631:G1631"/>
    <mergeCell ref="B1586:D1586"/>
    <mergeCell ref="B1173:D1173"/>
    <mergeCell ref="B1901:D1901"/>
    <mergeCell ref="N446:O446"/>
    <mergeCell ref="J1737:M1737"/>
    <mergeCell ref="J40:M40"/>
    <mergeCell ref="L140:O140"/>
    <mergeCell ref="B1642:G1643"/>
    <mergeCell ref="B2061:G2062"/>
    <mergeCell ref="F2334:G2334"/>
    <mergeCell ref="N2531:O2531"/>
    <mergeCell ref="B868:E868"/>
    <mergeCell ref="B1175:D1175"/>
    <mergeCell ref="F1581:G1581"/>
    <mergeCell ref="M2042:O2042"/>
    <mergeCell ref="J342:K342"/>
    <mergeCell ref="J707:M707"/>
    <mergeCell ref="B1060:G1061"/>
    <mergeCell ref="J1889:L1889"/>
    <mergeCell ref="N2473:O2473"/>
    <mergeCell ref="J2631:O2638"/>
    <mergeCell ref="E1173:G1173"/>
    <mergeCell ref="B1168:E1168"/>
    <mergeCell ref="B1524:G1530"/>
    <mergeCell ref="J2273:O2276"/>
    <mergeCell ref="M2071:O2071"/>
    <mergeCell ref="B2075:D2075"/>
    <mergeCell ref="E1044:G1044"/>
    <mergeCell ref="N1405:O1405"/>
    <mergeCell ref="J1611:O1611"/>
    <mergeCell ref="J2675:L2675"/>
    <mergeCell ref="J1276:L1276"/>
    <mergeCell ref="J337:K337"/>
    <mergeCell ref="B1021:G1021"/>
    <mergeCell ref="J513:K513"/>
    <mergeCell ref="M2073:O2073"/>
    <mergeCell ref="J373:K373"/>
    <mergeCell ref="B803:G803"/>
    <mergeCell ref="J520:O520"/>
    <mergeCell ref="B1045:D1045"/>
    <mergeCell ref="E1988:G1988"/>
    <mergeCell ref="B2291:G2291"/>
    <mergeCell ref="E1982:G1982"/>
    <mergeCell ref="J1607:L1607"/>
    <mergeCell ref="B2285:G2285"/>
    <mergeCell ref="B2348:G2351"/>
    <mergeCell ref="E2534:G2534"/>
    <mergeCell ref="B2542:G2544"/>
    <mergeCell ref="E747:G747"/>
    <mergeCell ref="B1017:D1017"/>
    <mergeCell ref="J1899:L1899"/>
    <mergeCell ref="B738:E738"/>
    <mergeCell ref="E958:G958"/>
    <mergeCell ref="B1194:E1194"/>
    <mergeCell ref="J1907:L1907"/>
    <mergeCell ref="N1736:O1736"/>
    <mergeCell ref="J2205:L2205"/>
    <mergeCell ref="L455:O455"/>
    <mergeCell ref="L449:O449"/>
    <mergeCell ref="J447:O447"/>
    <mergeCell ref="J2659:O2666"/>
    <mergeCell ref="M886:O886"/>
    <mergeCell ref="M1328:O1328"/>
    <mergeCell ref="B1221:E1221"/>
    <mergeCell ref="N2615:O2615"/>
    <mergeCell ref="B1494:E1494"/>
    <mergeCell ref="B1248:G1248"/>
    <mergeCell ref="B1792:E1792"/>
    <mergeCell ref="L484:O484"/>
    <mergeCell ref="J273:O273"/>
    <mergeCell ref="B2432:G2432"/>
    <mergeCell ref="L478:O478"/>
    <mergeCell ref="B943:G943"/>
    <mergeCell ref="J1902:L1902"/>
    <mergeCell ref="B2140:G2141"/>
    <mergeCell ref="J872:L872"/>
    <mergeCell ref="J566:K566"/>
    <mergeCell ref="J2292:O2295"/>
    <mergeCell ref="J2317:O2320"/>
    <mergeCell ref="J2366:O2366"/>
    <mergeCell ref="J109:K109"/>
    <mergeCell ref="L486:O486"/>
    <mergeCell ref="J832:O834"/>
    <mergeCell ref="B1334:G1337"/>
    <mergeCell ref="M2084:O2084"/>
    <mergeCell ref="L23:O23"/>
    <mergeCell ref="J871:O871"/>
    <mergeCell ref="B945:G945"/>
    <mergeCell ref="J743:L743"/>
    <mergeCell ref="E1695:G1695"/>
    <mergeCell ref="B2088:D2088"/>
    <mergeCell ref="J1933:L1933"/>
    <mergeCell ref="B2570:G2572"/>
    <mergeCell ref="J2794:O2796"/>
    <mergeCell ref="N388:O388"/>
    <mergeCell ref="J1172:L1172"/>
    <mergeCell ref="J446:M446"/>
    <mergeCell ref="E2124:G2124"/>
    <mergeCell ref="J138:K138"/>
    <mergeCell ref="M2086:O2086"/>
    <mergeCell ref="J1330:L1330"/>
    <mergeCell ref="M1331:O1331"/>
    <mergeCell ref="N2333:O2333"/>
    <mergeCell ref="M1629:O1629"/>
    <mergeCell ref="B1957:G1960"/>
    <mergeCell ref="B1184:G1188"/>
    <mergeCell ref="J2362:L2362"/>
    <mergeCell ref="L54:O54"/>
    <mergeCell ref="B1247:E1247"/>
    <mergeCell ref="N1273:O1273"/>
    <mergeCell ref="J1935:L1935"/>
    <mergeCell ref="B2000:D2000"/>
    <mergeCell ref="N1449:O1449"/>
    <mergeCell ref="J2233:L2233"/>
    <mergeCell ref="L510:O510"/>
    <mergeCell ref="F1821:G1821"/>
    <mergeCell ref="J1630:L1630"/>
    <mergeCell ref="B2308:E2308"/>
    <mergeCell ref="J589:O589"/>
    <mergeCell ref="F1516:G1516"/>
    <mergeCell ref="F1647:G1647"/>
    <mergeCell ref="L512:O512"/>
    <mergeCell ref="F2700:G2700"/>
    <mergeCell ref="B1119:G1119"/>
    <mergeCell ref="L49:O49"/>
    <mergeCell ref="J1650:O1650"/>
    <mergeCell ref="J1229:O1229"/>
    <mergeCell ref="J172:O172"/>
    <mergeCell ref="J279:K279"/>
    <mergeCell ref="J1060:O1061"/>
    <mergeCell ref="B1590:G1596"/>
    <mergeCell ref="B2710:G2712"/>
    <mergeCell ref="J1047:O1047"/>
    <mergeCell ref="M1357:O1357"/>
    <mergeCell ref="J1377:M1377"/>
    <mergeCell ref="M1382:O1382"/>
    <mergeCell ref="J1546:O1552"/>
    <mergeCell ref="B162:G164"/>
    <mergeCell ref="J1510:O1511"/>
    <mergeCell ref="J1986:L1986"/>
    <mergeCell ref="B956:G956"/>
    <mergeCell ref="J1562:O1562"/>
    <mergeCell ref="J281:K281"/>
    <mergeCell ref="B2146:G2146"/>
    <mergeCell ref="J801:O801"/>
    <mergeCell ref="J1917:O1920"/>
    <mergeCell ref="J2075:L2075"/>
    <mergeCell ref="J1043:L1043"/>
    <mergeCell ref="B1230:G1233"/>
    <mergeCell ref="J915:O915"/>
    <mergeCell ref="J280:K280"/>
    <mergeCell ref="B1602:G1602"/>
    <mergeCell ref="M1718:O1718"/>
    <mergeCell ref="E2029:G2029"/>
    <mergeCell ref="B1028:G1032"/>
    <mergeCell ref="B1984:D1984"/>
    <mergeCell ref="B2357:G2357"/>
    <mergeCell ref="J1946:L1946"/>
    <mergeCell ref="J803:O803"/>
    <mergeCell ref="J193:K193"/>
    <mergeCell ref="B1930:G1930"/>
    <mergeCell ref="J1981:L1981"/>
    <mergeCell ref="M1982:O1982"/>
    <mergeCell ref="F1246:G1246"/>
    <mergeCell ref="L136:O136"/>
    <mergeCell ref="J305:K305"/>
    <mergeCell ref="L225:O225"/>
    <mergeCell ref="B51:C51"/>
    <mergeCell ref="L102:O102"/>
    <mergeCell ref="F897:G897"/>
    <mergeCell ref="B1410:D1410"/>
    <mergeCell ref="B1471:E1471"/>
    <mergeCell ref="N2258:O2258"/>
    <mergeCell ref="B2372:G2372"/>
    <mergeCell ref="J2587:M2587"/>
    <mergeCell ref="J942:O942"/>
    <mergeCell ref="J307:K307"/>
    <mergeCell ref="B2644:E2644"/>
    <mergeCell ref="B1560:E1560"/>
    <mergeCell ref="B2313:D2313"/>
    <mergeCell ref="J773:O774"/>
    <mergeCell ref="L227:O227"/>
    <mergeCell ref="J1090:M1090"/>
    <mergeCell ref="B2532:E2532"/>
    <mergeCell ref="B1015:G1015"/>
    <mergeCell ref="J1248:O1248"/>
    <mergeCell ref="B2003:G2006"/>
    <mergeCell ref="J971:O971"/>
    <mergeCell ref="J216:O216"/>
    <mergeCell ref="F1116:G1116"/>
    <mergeCell ref="B2071:D2071"/>
    <mergeCell ref="M1097:O1097"/>
    <mergeCell ref="J943:O943"/>
    <mergeCell ref="J979:O979"/>
    <mergeCell ref="M2044:O2044"/>
    <mergeCell ref="J2670:O2670"/>
    <mergeCell ref="J1999:L1999"/>
    <mergeCell ref="J1271:O1271"/>
    <mergeCell ref="J1334:O1337"/>
    <mergeCell ref="B1649:G1649"/>
    <mergeCell ref="J335:K335"/>
    <mergeCell ref="M1695:O1695"/>
    <mergeCell ref="N155:O155"/>
    <mergeCell ref="J1117:M1117"/>
    <mergeCell ref="N1515:O1515"/>
    <mergeCell ref="L278:O278"/>
    <mergeCell ref="B2215:G2218"/>
    <mergeCell ref="L576:O576"/>
    <mergeCell ref="B1647:E1647"/>
    <mergeCell ref="J2000:L2000"/>
    <mergeCell ref="M2039:O2039"/>
    <mergeCell ref="E745:G745"/>
    <mergeCell ref="E1043:G1043"/>
    <mergeCell ref="B2672:E2672"/>
    <mergeCell ref="F1582:G1582"/>
    <mergeCell ref="F827:G827"/>
    <mergeCell ref="J1458:O1464"/>
    <mergeCell ref="J1581:M1581"/>
    <mergeCell ref="F2474:G2474"/>
    <mergeCell ref="M1123:O1123"/>
    <mergeCell ref="B886:D886"/>
    <mergeCell ref="B1939:D1939"/>
    <mergeCell ref="N1516:O1516"/>
    <mergeCell ref="J2360:O2360"/>
    <mergeCell ref="J999:O999"/>
    <mergeCell ref="J244:O244"/>
    <mergeCell ref="J1776:O1787"/>
    <mergeCell ref="J1297:O1297"/>
    <mergeCell ref="F1882:G1882"/>
    <mergeCell ref="E1068:G1068"/>
    <mergeCell ref="J1119:O1119"/>
    <mergeCell ref="F2643:G2643"/>
    <mergeCell ref="N2700:O2700"/>
    <mergeCell ref="B2069:D2069"/>
    <mergeCell ref="E1497:G1497"/>
    <mergeCell ref="J46:K46"/>
    <mergeCell ref="B1853:G1857"/>
    <mergeCell ref="J1256:O1259"/>
    <mergeCell ref="B89:C89"/>
    <mergeCell ref="J1628:O1628"/>
    <mergeCell ref="J1054:O1058"/>
    <mergeCell ref="E1070:G1070"/>
    <mergeCell ref="B860:G862"/>
    <mergeCell ref="B1677:G1677"/>
    <mergeCell ref="B2084:D2084"/>
    <mergeCell ref="J48:K48"/>
    <mergeCell ref="B1791:G1791"/>
    <mergeCell ref="J956:O956"/>
    <mergeCell ref="E1069:G1069"/>
    <mergeCell ref="J2020:M2020"/>
    <mergeCell ref="J653:K653"/>
    <mergeCell ref="J986:L986"/>
    <mergeCell ref="E1498:G1498"/>
    <mergeCell ref="B2086:D2086"/>
    <mergeCell ref="B1331:D1331"/>
    <mergeCell ref="B1629:D1629"/>
    <mergeCell ref="J2357:O2357"/>
    <mergeCell ref="L718:O718"/>
    <mergeCell ref="E1071:G1071"/>
    <mergeCell ref="B1672:G1672"/>
    <mergeCell ref="F855:G855"/>
    <mergeCell ref="B2079:D2079"/>
    <mergeCell ref="M2206:O2206"/>
    <mergeCell ref="J1930:O1930"/>
    <mergeCell ref="N475:O475"/>
    <mergeCell ref="B2394:D2394"/>
    <mergeCell ref="J533:M533"/>
    <mergeCell ref="M2083:O2083"/>
    <mergeCell ref="L508:O508"/>
    <mergeCell ref="B2087:D2087"/>
    <mergeCell ref="F2671:G2671"/>
    <mergeCell ref="F840:G840"/>
    <mergeCell ref="J846:O848"/>
    <mergeCell ref="N1142:O1142"/>
    <mergeCell ref="J1471:M1471"/>
    <mergeCell ref="J74:K74"/>
    <mergeCell ref="L134:O134"/>
    <mergeCell ref="J250:K250"/>
    <mergeCell ref="J372:K372"/>
    <mergeCell ref="B752:D752"/>
    <mergeCell ref="L47:O47"/>
    <mergeCell ref="B888:G890"/>
    <mergeCell ref="M1899:O1899"/>
    <mergeCell ref="E2480:G2480"/>
    <mergeCell ref="J2532:M2532"/>
    <mergeCell ref="J374:K374"/>
    <mergeCell ref="B754:D754"/>
    <mergeCell ref="J2003:O2006"/>
    <mergeCell ref="J2071:L2071"/>
    <mergeCell ref="B108:C108"/>
    <mergeCell ref="M1355:O1355"/>
    <mergeCell ref="M2230:O2230"/>
    <mergeCell ref="E2264:G2264"/>
    <mergeCell ref="B1044:D1044"/>
    <mergeCell ref="F2699:G2699"/>
    <mergeCell ref="M928:O928"/>
    <mergeCell ref="J1942:L1942"/>
    <mergeCell ref="M1226:O1226"/>
    <mergeCell ref="J2073:L2073"/>
    <mergeCell ref="J2404:O2404"/>
    <mergeCell ref="J2671:M2671"/>
    <mergeCell ref="N1168:O1168"/>
    <mergeCell ref="J1944:L1944"/>
    <mergeCell ref="B2444:G2444"/>
    <mergeCell ref="L221:O221"/>
    <mergeCell ref="L196:O196"/>
    <mergeCell ref="B2742:G2742"/>
    <mergeCell ref="J1647:M1647"/>
    <mergeCell ref="N532:O532"/>
    <mergeCell ref="J874:O876"/>
    <mergeCell ref="N855:O855"/>
    <mergeCell ref="J1796:O1796"/>
    <mergeCell ref="B2019:E2019"/>
    <mergeCell ref="J2394:L2394"/>
    <mergeCell ref="J2700:M2700"/>
    <mergeCell ref="N1626:O1626"/>
    <mergeCell ref="F2417:G2417"/>
    <mergeCell ref="J2672:M2672"/>
    <mergeCell ref="N1582:O1582"/>
    <mergeCell ref="L223:O223"/>
    <mergeCell ref="B44:G44"/>
    <mergeCell ref="J1939:L1939"/>
    <mergeCell ref="B2170:G2170"/>
    <mergeCell ref="J187:O187"/>
    <mergeCell ref="J603:K603"/>
    <mergeCell ref="N2643:O2643"/>
    <mergeCell ref="J2455:O2455"/>
    <mergeCell ref="M1068:O1068"/>
    <mergeCell ref="J304:K304"/>
    <mergeCell ref="B1532:G1533"/>
    <mergeCell ref="B2254:O2254"/>
    <mergeCell ref="J1357:L1357"/>
    <mergeCell ref="L218:O218"/>
    <mergeCell ref="N127:O127"/>
    <mergeCell ref="E1896:G1896"/>
    <mergeCell ref="J2432:O2432"/>
    <mergeCell ref="M1070:O1070"/>
    <mergeCell ref="J860:O862"/>
    <mergeCell ref="J2084:L2084"/>
    <mergeCell ref="J423:K423"/>
    <mergeCell ref="J306:K306"/>
    <mergeCell ref="J604:K604"/>
    <mergeCell ref="B779:G780"/>
    <mergeCell ref="F955:G955"/>
    <mergeCell ref="N1012:O1012"/>
    <mergeCell ref="B2037:D2037"/>
    <mergeCell ref="E1898:G1898"/>
    <mergeCell ref="J1246:M1246"/>
    <mergeCell ref="B1276:D1276"/>
    <mergeCell ref="L249:O249"/>
    <mergeCell ref="B1138:G1139"/>
    <mergeCell ref="M2122:O2122"/>
    <mergeCell ref="B2151:D2151"/>
    <mergeCell ref="J2086:L2086"/>
    <mergeCell ref="J970:O970"/>
    <mergeCell ref="L363:O363"/>
    <mergeCell ref="N883:O883"/>
    <mergeCell ref="M2035:O2035"/>
    <mergeCell ref="B2386:O2386"/>
    <mergeCell ref="J897:M897"/>
    <mergeCell ref="F1377:G1377"/>
    <mergeCell ref="B2039:D2039"/>
    <mergeCell ref="B2337:D2337"/>
    <mergeCell ref="F798:G798"/>
    <mergeCell ref="J2279:O2280"/>
    <mergeCell ref="L663:O663"/>
    <mergeCell ref="E1893:G1893"/>
    <mergeCell ref="J1816:O1817"/>
    <mergeCell ref="J18:K18"/>
    <mergeCell ref="B1883:G1883"/>
    <mergeCell ref="J2483:O2483"/>
    <mergeCell ref="M1121:O1121"/>
    <mergeCell ref="F1713:G1713"/>
    <mergeCell ref="J1116:M1116"/>
    <mergeCell ref="B1804:G1815"/>
    <mergeCell ref="M1717:O1717"/>
    <mergeCell ref="J17:K17"/>
    <mergeCell ref="B2094:G2094"/>
    <mergeCell ref="B91:C91"/>
    <mergeCell ref="E2337:G2337"/>
    <mergeCell ref="B853:G853"/>
    <mergeCell ref="B98:G98"/>
    <mergeCell ref="B1157:G1157"/>
    <mergeCell ref="B1151:G1151"/>
    <mergeCell ref="B1164:G1165"/>
    <mergeCell ref="B1612:G1618"/>
    <mergeCell ref="B1656:G1662"/>
    <mergeCell ref="E2038:G2038"/>
    <mergeCell ref="M1719:O1719"/>
    <mergeCell ref="J2022:O2022"/>
    <mergeCell ref="J19:K19"/>
    <mergeCell ref="E1277:G1277"/>
    <mergeCell ref="B93:C93"/>
    <mergeCell ref="M2480:O2480"/>
    <mergeCell ref="J2771:O2778"/>
    <mergeCell ref="M2175:O2175"/>
    <mergeCell ref="B1457:G1457"/>
    <mergeCell ref="B2179:D2179"/>
    <mergeCell ref="E1148:G1148"/>
    <mergeCell ref="B1451:G1451"/>
    <mergeCell ref="B86:C86"/>
    <mergeCell ref="E2338:G2338"/>
    <mergeCell ref="B2477:D2477"/>
    <mergeCell ref="J1380:L1380"/>
    <mergeCell ref="B1454:D1454"/>
    <mergeCell ref="F968:G968"/>
    <mergeCell ref="B1668:G1668"/>
    <mergeCell ref="M2177:O2177"/>
    <mergeCell ref="N813:O813"/>
    <mergeCell ref="B1392:G1396"/>
    <mergeCell ref="J504:M504"/>
    <mergeCell ref="J2474:M2474"/>
    <mergeCell ref="J827:M827"/>
    <mergeCell ref="B1453:D1453"/>
    <mergeCell ref="J1713:M1713"/>
    <mergeCell ref="J1740:O1740"/>
    <mergeCell ref="J985:O985"/>
    <mergeCell ref="J2101:O2104"/>
    <mergeCell ref="B2358:E2358"/>
    <mergeCell ref="N1692:O1692"/>
    <mergeCell ref="F2756:G2756"/>
    <mergeCell ref="J42:O42"/>
    <mergeCell ref="J680:O680"/>
    <mergeCell ref="F969:G969"/>
    <mergeCell ref="J2019:M2019"/>
    <mergeCell ref="J2625:O2625"/>
    <mergeCell ref="J2808:O2809"/>
    <mergeCell ref="J207:O208"/>
    <mergeCell ref="J1014:O1014"/>
    <mergeCell ref="F882:G882"/>
    <mergeCell ref="J2034:L2034"/>
    <mergeCell ref="B1928:E1928"/>
    <mergeCell ref="M1895:O1895"/>
    <mergeCell ref="E1174:G1174"/>
    <mergeCell ref="J709:O709"/>
    <mergeCell ref="M1432:O1432"/>
    <mergeCell ref="J370:K370"/>
    <mergeCell ref="B1352:G1352"/>
    <mergeCell ref="B104:C104"/>
    <mergeCell ref="J2042:L2042"/>
    <mergeCell ref="M1888:O1888"/>
    <mergeCell ref="J2036:L2036"/>
    <mergeCell ref="B1382:D1382"/>
    <mergeCell ref="B1892:D1892"/>
    <mergeCell ref="L161:O161"/>
    <mergeCell ref="B1860:G1871"/>
    <mergeCell ref="B106:C106"/>
    <mergeCell ref="M1896:O1896"/>
    <mergeCell ref="M1890:O1890"/>
    <mergeCell ref="E2262:G2262"/>
    <mergeCell ref="J242:M242"/>
    <mergeCell ref="J855:M855"/>
    <mergeCell ref="J1304:L1304"/>
    <mergeCell ref="J1608:L1608"/>
    <mergeCell ref="B1894:D1894"/>
    <mergeCell ref="N955:O955"/>
    <mergeCell ref="B1980:D1980"/>
    <mergeCell ref="J2037:L2037"/>
    <mergeCell ref="B2417:E2417"/>
    <mergeCell ref="J969:M969"/>
    <mergeCell ref="L192:O192"/>
    <mergeCell ref="F1625:G1625"/>
    <mergeCell ref="N826:O826"/>
    <mergeCell ref="E2562:G2562"/>
    <mergeCell ref="J840:M840"/>
    <mergeCell ref="B1982:D1982"/>
    <mergeCell ref="J1067:O1067"/>
    <mergeCell ref="L194:O194"/>
    <mergeCell ref="L316:O316"/>
    <mergeCell ref="J1365:O1365"/>
    <mergeCell ref="B924:E924"/>
    <mergeCell ref="J546:K546"/>
    <mergeCell ref="L606:O606"/>
    <mergeCell ref="L160:O160"/>
    <mergeCell ref="B811:G811"/>
    <mergeCell ref="J83:K83"/>
    <mergeCell ref="J96:O96"/>
    <mergeCell ref="E1990:G1990"/>
    <mergeCell ref="J1027:O1027"/>
    <mergeCell ref="J1034:O1035"/>
    <mergeCell ref="B1223:G1223"/>
    <mergeCell ref="E2288:G2288"/>
    <mergeCell ref="B1722:G1728"/>
    <mergeCell ref="J548:K548"/>
    <mergeCell ref="L189:O189"/>
    <mergeCell ref="J427:K427"/>
    <mergeCell ref="E1563:G1563"/>
    <mergeCell ref="J2699:M2699"/>
    <mergeCell ref="B763:D763"/>
    <mergeCell ref="J2726:O2726"/>
    <mergeCell ref="J1151:O1151"/>
    <mergeCell ref="J541:K541"/>
    <mergeCell ref="B1158:G1162"/>
    <mergeCell ref="J717:K717"/>
    <mergeCell ref="B1097:D1097"/>
    <mergeCell ref="B1523:G1523"/>
    <mergeCell ref="N983:O983"/>
    <mergeCell ref="B940:E940"/>
    <mergeCell ref="J2505:L2505"/>
    <mergeCell ref="N1604:O1604"/>
    <mergeCell ref="B2122:D2122"/>
    <mergeCell ref="B979:G979"/>
    <mergeCell ref="J2424:L2424"/>
    <mergeCell ref="B2095:G2098"/>
    <mergeCell ref="B2286:G2286"/>
    <mergeCell ref="M1148:O1148"/>
    <mergeCell ref="L334:O334"/>
    <mergeCell ref="J572:K572"/>
    <mergeCell ref="J719:K719"/>
    <mergeCell ref="N854:O854"/>
    <mergeCell ref="B1519:D1519"/>
    <mergeCell ref="E1520:G1520"/>
    <mergeCell ref="J1454:L1454"/>
    <mergeCell ref="B1064:E1064"/>
    <mergeCell ref="B1695:D1695"/>
    <mergeCell ref="N968:O968"/>
    <mergeCell ref="J149:O150"/>
    <mergeCell ref="B2124:D2124"/>
    <mergeCell ref="J1053:O1053"/>
    <mergeCell ref="B1669:E1669"/>
    <mergeCell ref="B2422:D2422"/>
    <mergeCell ref="J1209:O1209"/>
    <mergeCell ref="J2417:M2417"/>
    <mergeCell ref="L634:O634"/>
    <mergeCell ref="B1521:D1521"/>
    <mergeCell ref="F1350:G1350"/>
    <mergeCell ref="B54:C54"/>
    <mergeCell ref="E1889:G1889"/>
    <mergeCell ref="J111:K111"/>
    <mergeCell ref="F1648:G1648"/>
    <mergeCell ref="J27:O27"/>
    <mergeCell ref="B61:G61"/>
    <mergeCell ref="B2755:E2755"/>
    <mergeCell ref="J1378:O1378"/>
    <mergeCell ref="J878:O879"/>
    <mergeCell ref="J1536:O1536"/>
    <mergeCell ref="B56:C56"/>
    <mergeCell ref="J2400:O2402"/>
    <mergeCell ref="B1386:G1389"/>
    <mergeCell ref="B2784:E2784"/>
    <mergeCell ref="J923:O923"/>
    <mergeCell ref="B1009:O1009"/>
    <mergeCell ref="B1910:G1910"/>
    <mergeCell ref="B2181:G2181"/>
    <mergeCell ref="B2738:G2740"/>
    <mergeCell ref="B2208:G2208"/>
    <mergeCell ref="B822:G823"/>
    <mergeCell ref="J2143:O2143"/>
    <mergeCell ref="B2175:D2175"/>
    <mergeCell ref="J1382:L1382"/>
    <mergeCell ref="B57:C57"/>
    <mergeCell ref="E1250:G1250"/>
    <mergeCell ref="L685:O685"/>
    <mergeCell ref="B2304:G2305"/>
    <mergeCell ref="J1674:L1674"/>
    <mergeCell ref="E1609:G1609"/>
    <mergeCell ref="E1907:G1907"/>
    <mergeCell ref="B2177:D2177"/>
    <mergeCell ref="L258:O258"/>
    <mergeCell ref="B2204:D2204"/>
    <mergeCell ref="J798:M798"/>
    <mergeCell ref="M2262:O2262"/>
    <mergeCell ref="L687:O687"/>
    <mergeCell ref="J434:O438"/>
    <mergeCell ref="B2145:E2145"/>
    <mergeCell ref="B2206:D2206"/>
    <mergeCell ref="B2456:G2458"/>
    <mergeCell ref="J38:O38"/>
    <mergeCell ref="B996:E996"/>
    <mergeCell ref="B2504:D2504"/>
    <mergeCell ref="E2505:G2505"/>
    <mergeCell ref="L716:O716"/>
    <mergeCell ref="J902:O904"/>
    <mergeCell ref="J1222:O1222"/>
    <mergeCell ref="J130:K130"/>
    <mergeCell ref="E872:G872"/>
    <mergeCell ref="B2:O3"/>
    <mergeCell ref="B802:D802"/>
    <mergeCell ref="J489:K489"/>
    <mergeCell ref="J160:K160"/>
    <mergeCell ref="L682:O682"/>
    <mergeCell ref="J924:M924"/>
    <mergeCell ref="E1477:G1477"/>
    <mergeCell ref="J1979:L1979"/>
    <mergeCell ref="B75:C75"/>
    <mergeCell ref="J2128:O2131"/>
    <mergeCell ref="B1183:G1183"/>
    <mergeCell ref="E1933:G1933"/>
    <mergeCell ref="B850:G851"/>
    <mergeCell ref="B1888:D1888"/>
    <mergeCell ref="E1172:G1172"/>
    <mergeCell ref="J1223:O1223"/>
    <mergeCell ref="J1722:O1728"/>
    <mergeCell ref="E2362:G2362"/>
    <mergeCell ref="N620:O620"/>
    <mergeCell ref="J72:K72"/>
    <mergeCell ref="E1330:G1330"/>
    <mergeCell ref="M1563:O1563"/>
    <mergeCell ref="M1886:O1886"/>
    <mergeCell ref="B1896:D1896"/>
    <mergeCell ref="E1935:G1935"/>
    <mergeCell ref="J484:K484"/>
    <mergeCell ref="B1890:D1890"/>
    <mergeCell ref="J213:M213"/>
    <mergeCell ref="J1158:O1162"/>
    <mergeCell ref="B2232:D2232"/>
    <mergeCell ref="E2233:G2233"/>
    <mergeCell ref="J2150:L2150"/>
    <mergeCell ref="J2033:L2033"/>
    <mergeCell ref="B70:C70"/>
    <mergeCell ref="L400:O400"/>
    <mergeCell ref="J940:M940"/>
    <mergeCell ref="E1630:G1630"/>
    <mergeCell ref="J2069:L2069"/>
    <mergeCell ref="J39:M39"/>
    <mergeCell ref="N1376:O1376"/>
    <mergeCell ref="F1450:G1450"/>
    <mergeCell ref="B9:G9"/>
    <mergeCell ref="B2225:E2225"/>
    <mergeCell ref="B2484:G2486"/>
    <mergeCell ref="B745:D745"/>
    <mergeCell ref="L131:O131"/>
    <mergeCell ref="L402:O402"/>
    <mergeCell ref="J930:O932"/>
    <mergeCell ref="B1193:G1193"/>
    <mergeCell ref="J1519:L1519"/>
    <mergeCell ref="B1891:D1891"/>
    <mergeCell ref="J2035:L2035"/>
    <mergeCell ref="J2152:L2152"/>
    <mergeCell ref="B2646:D2646"/>
    <mergeCell ref="B2681:G2681"/>
    <mergeCell ref="J2756:M2756"/>
    <mergeCell ref="L103:O103"/>
    <mergeCell ref="L401:O401"/>
    <mergeCell ref="J517:K517"/>
    <mergeCell ref="B1152:G1155"/>
    <mergeCell ref="L395:O395"/>
    <mergeCell ref="B1472:E1472"/>
    <mergeCell ref="J418:O418"/>
    <mergeCell ref="B1764:E1764"/>
    <mergeCell ref="J2336:O2336"/>
    <mergeCell ref="J54:K54"/>
    <mergeCell ref="J115:O119"/>
    <mergeCell ref="B128:C128"/>
    <mergeCell ref="J510:K510"/>
    <mergeCell ref="J1452:O1452"/>
    <mergeCell ref="J1123:L1123"/>
    <mergeCell ref="E2075:G2075"/>
    <mergeCell ref="J2176:L2176"/>
    <mergeCell ref="B2575:G2582"/>
    <mergeCell ref="L426:O426"/>
    <mergeCell ref="M2675:O2675"/>
    <mergeCell ref="M1276:O1276"/>
    <mergeCell ref="N1821:O1821"/>
    <mergeCell ref="J512:K512"/>
    <mergeCell ref="B1196:G1196"/>
    <mergeCell ref="E1946:G1946"/>
    <mergeCell ref="J1905:L1905"/>
    <mergeCell ref="J2766:O2768"/>
    <mergeCell ref="E2077:G2077"/>
    <mergeCell ref="J2203:L2203"/>
    <mergeCell ref="B123:C123"/>
    <mergeCell ref="L428:O428"/>
    <mergeCell ref="E1045:G1045"/>
    <mergeCell ref="M1607:O1607"/>
    <mergeCell ref="J1910:O1910"/>
    <mergeCell ref="J2208:O2208"/>
    <mergeCell ref="B2282:G2282"/>
    <mergeCell ref="J1625:M1625"/>
    <mergeCell ref="B1819:G1819"/>
    <mergeCell ref="J2046:L2046"/>
    <mergeCell ref="J141:K141"/>
    <mergeCell ref="J2204:L2204"/>
    <mergeCell ref="M1146:O1146"/>
    <mergeCell ref="N2446:O2446"/>
    <mergeCell ref="L630:O630"/>
    <mergeCell ref="B2715:G2722"/>
    <mergeCell ref="J2206:L2206"/>
    <mergeCell ref="J1349:O1349"/>
    <mergeCell ref="B1545:G1545"/>
    <mergeCell ref="J1216:O1217"/>
    <mergeCell ref="B1733:O1733"/>
    <mergeCell ref="M1932:O1932"/>
    <mergeCell ref="B153:G154"/>
    <mergeCell ref="J448:O448"/>
    <mergeCell ref="J2235:O2235"/>
    <mergeCell ref="B1852:G1852"/>
    <mergeCell ref="M2090:O2090"/>
    <mergeCell ref="B2603:G2610"/>
    <mergeCell ref="B1118:G1118"/>
    <mergeCell ref="M872:O872"/>
    <mergeCell ref="J143:O143"/>
    <mergeCell ref="J225:K225"/>
    <mergeCell ref="B909:G909"/>
    <mergeCell ref="B1631:D1631"/>
    <mergeCell ref="E1999:G1999"/>
    <mergeCell ref="J2231:L2231"/>
    <mergeCell ref="J1476:L1476"/>
    <mergeCell ref="B2782:G2782"/>
    <mergeCell ref="B142:D142"/>
    <mergeCell ref="M1200:O1200"/>
    <mergeCell ref="L198:O198"/>
    <mergeCell ref="J742:L742"/>
    <mergeCell ref="M743:O743"/>
    <mergeCell ref="B816:D816"/>
    <mergeCell ref="M1933:O1933"/>
    <mergeCell ref="J2433:O2440"/>
    <mergeCell ref="N387:O387"/>
    <mergeCell ref="M1172:O1172"/>
    <mergeCell ref="B1543:D1543"/>
    <mergeCell ref="M1330:O1330"/>
    <mergeCell ref="B1847:G1847"/>
    <mergeCell ref="B777:G777"/>
    <mergeCell ref="B144:D144"/>
    <mergeCell ref="E2000:G2000"/>
    <mergeCell ref="B55:C55"/>
    <mergeCell ref="M1201:O1201"/>
    <mergeCell ref="L45:O45"/>
    <mergeCell ref="F1820:G1820"/>
    <mergeCell ref="L343:O343"/>
    <mergeCell ref="B2289:D2289"/>
    <mergeCell ref="M1630:O1630"/>
    <mergeCell ref="L55:O55"/>
    <mergeCell ref="J1350:M1350"/>
    <mergeCell ref="N1450:O1450"/>
    <mergeCell ref="J9:O9"/>
    <mergeCell ref="J2225:M2225"/>
    <mergeCell ref="J1132:O1136"/>
    <mergeCell ref="L345:O345"/>
    <mergeCell ref="J1193:O1193"/>
    <mergeCell ref="B1538:E1538"/>
    <mergeCell ref="J231:O235"/>
    <mergeCell ref="F2418:G2418"/>
    <mergeCell ref="B831:G831"/>
    <mergeCell ref="B1730:G1731"/>
    <mergeCell ref="B2783:E2783"/>
    <mergeCell ref="B2021:G2021"/>
    <mergeCell ref="J1152:O1155"/>
    <mergeCell ref="J454:K454"/>
    <mergeCell ref="B1558:G1558"/>
    <mergeCell ref="J1764:M1764"/>
    <mergeCell ref="J1545:O1545"/>
    <mergeCell ref="J1099:O1099"/>
    <mergeCell ref="J426:K426"/>
    <mergeCell ref="M1986:O1986"/>
    <mergeCell ref="N1377:O1377"/>
    <mergeCell ref="L340:O340"/>
    <mergeCell ref="B958:D958"/>
    <mergeCell ref="M2591:O2591"/>
    <mergeCell ref="J2575:O2582"/>
    <mergeCell ref="M2618:O2618"/>
    <mergeCell ref="B1432:D1432"/>
    <mergeCell ref="J2160:O2160"/>
    <mergeCell ref="J455:K455"/>
    <mergeCell ref="B957:G957"/>
    <mergeCell ref="M914:O914"/>
    <mergeCell ref="L371:O371"/>
    <mergeCell ref="E2476:G2476"/>
    <mergeCell ref="J1543:L1543"/>
    <mergeCell ref="J10:M10"/>
    <mergeCell ref="J2418:M2418"/>
    <mergeCell ref="J1178:O1181"/>
    <mergeCell ref="L425:O425"/>
    <mergeCell ref="B830:D830"/>
    <mergeCell ref="B1916:G1916"/>
    <mergeCell ref="N619:O619"/>
    <mergeCell ref="B859:G859"/>
    <mergeCell ref="B2198:E2198"/>
    <mergeCell ref="F2560:G2560"/>
    <mergeCell ref="J2307:O2307"/>
    <mergeCell ref="B973:G973"/>
    <mergeCell ref="L427:O427"/>
    <mergeCell ref="M972:O972"/>
    <mergeCell ref="J602:K602"/>
    <mergeCell ref="J1275:O1275"/>
    <mergeCell ref="F2473:G2473"/>
    <mergeCell ref="J596:K596"/>
    <mergeCell ref="B2598:G2600"/>
    <mergeCell ref="J2002:O2002"/>
    <mergeCell ref="E2071:G2071"/>
    <mergeCell ref="B981:G981"/>
    <mergeCell ref="E2046:G2046"/>
    <mergeCell ref="B1480:G1486"/>
    <mergeCell ref="M2033:O2033"/>
    <mergeCell ref="J1411:L1411"/>
    <mergeCell ref="J2603:O2610"/>
    <mergeCell ref="B2470:G2471"/>
    <mergeCell ref="J1118:O1118"/>
    <mergeCell ref="J508:K508"/>
    <mergeCell ref="M1999:O1999"/>
    <mergeCell ref="E2073:G2073"/>
    <mergeCell ref="L424:O424"/>
    <mergeCell ref="J597:K597"/>
    <mergeCell ref="J81:K81"/>
    <mergeCell ref="B887:G887"/>
    <mergeCell ref="B1793:E1793"/>
    <mergeCell ref="B2030:D2030"/>
    <mergeCell ref="N2117:O2117"/>
    <mergeCell ref="J816:L816"/>
    <mergeCell ref="N330:O330"/>
    <mergeCell ref="B1943:D1943"/>
    <mergeCell ref="M2028:O2028"/>
    <mergeCell ref="L453:O453"/>
    <mergeCell ref="J1406:M1406"/>
    <mergeCell ref="B2032:D2032"/>
    <mergeCell ref="B761:D761"/>
    <mergeCell ref="N2784:O2784"/>
    <mergeCell ref="J226:K226"/>
    <mergeCell ref="N1820:O1820"/>
    <mergeCell ref="M1000:O1000"/>
    <mergeCell ref="J655:K655"/>
    <mergeCell ref="J531:O531"/>
    <mergeCell ref="J1715:O1715"/>
    <mergeCell ref="L112:O112"/>
    <mergeCell ref="B960:G963"/>
    <mergeCell ref="J1587:L1587"/>
    <mergeCell ref="B1700:G1706"/>
    <mergeCell ref="M2025:O2025"/>
    <mergeCell ref="J2314:L2314"/>
    <mergeCell ref="J1171:O1171"/>
    <mergeCell ref="E2731:G2731"/>
    <mergeCell ref="J831:O831"/>
    <mergeCell ref="J221:K221"/>
    <mergeCell ref="J1730:O1731"/>
    <mergeCell ref="J2021:O2021"/>
    <mergeCell ref="B1203:G1203"/>
    <mergeCell ref="B138:D138"/>
    <mergeCell ref="J1887:L1887"/>
    <mergeCell ref="E2084:G2084"/>
    <mergeCell ref="J677:M677"/>
    <mergeCell ref="J2530:O2530"/>
    <mergeCell ref="J223:K223"/>
    <mergeCell ref="B1933:D1933"/>
    <mergeCell ref="B2794:G2796"/>
    <mergeCell ref="B2531:E2531"/>
    <mergeCell ref="B1199:D1199"/>
    <mergeCell ref="B140:D140"/>
    <mergeCell ref="M986:O986"/>
    <mergeCell ref="B2085:D2085"/>
    <mergeCell ref="E1673:G1673"/>
    <mergeCell ref="J706:M706"/>
    <mergeCell ref="L595:O595"/>
    <mergeCell ref="J1888:L1888"/>
    <mergeCell ref="L138:O138"/>
    <mergeCell ref="F1449:G1449"/>
    <mergeCell ref="B2388:G2388"/>
    <mergeCell ref="B869:E869"/>
    <mergeCell ref="B1201:D1201"/>
    <mergeCell ref="B2560:E2560"/>
    <mergeCell ref="B1499:D1499"/>
    <mergeCell ref="L168:O168"/>
    <mergeCell ref="J368:K368"/>
    <mergeCell ref="J247:K247"/>
    <mergeCell ref="J884:O884"/>
    <mergeCell ref="J249:K249"/>
    <mergeCell ref="B1650:G1650"/>
    <mergeCell ref="J547:K547"/>
    <mergeCell ref="J608:O612"/>
    <mergeCell ref="B1741:G1745"/>
    <mergeCell ref="J2372:O2372"/>
    <mergeCell ref="J539:K539"/>
    <mergeCell ref="B1546:G1552"/>
    <mergeCell ref="J1138:O1139"/>
    <mergeCell ref="M2074:O2074"/>
    <mergeCell ref="B2287:D2287"/>
    <mergeCell ref="B1510:G1511"/>
    <mergeCell ref="J1064:M1064"/>
    <mergeCell ref="B1686:G1687"/>
    <mergeCell ref="B1562:G1562"/>
    <mergeCell ref="B1917:G1920"/>
    <mergeCell ref="B1043:D1043"/>
    <mergeCell ref="E1380:G1380"/>
    <mergeCell ref="J1941:L1941"/>
    <mergeCell ref="M1942:O1942"/>
    <mergeCell ref="B1675:D1675"/>
    <mergeCell ref="B1946:D1946"/>
    <mergeCell ref="B1220:E1220"/>
    <mergeCell ref="B914:D914"/>
    <mergeCell ref="J1793:M1793"/>
    <mergeCell ref="J887:O887"/>
    <mergeCell ref="J1820:M1820"/>
    <mergeCell ref="F1927:G1927"/>
    <mergeCell ref="J2389:M2389"/>
    <mergeCell ref="J1943:L1943"/>
    <mergeCell ref="N1764:O1764"/>
    <mergeCell ref="F2258:G2258"/>
    <mergeCell ref="J912:O912"/>
    <mergeCell ref="L362:O362"/>
    <mergeCell ref="B773:G774"/>
    <mergeCell ref="B2616:E2616"/>
    <mergeCell ref="J186:O186"/>
    <mergeCell ref="L364:O364"/>
    <mergeCell ref="J960:O963"/>
    <mergeCell ref="E2042:G2042"/>
    <mergeCell ref="B971:G971"/>
    <mergeCell ref="J1700:O1706"/>
    <mergeCell ref="J900:L900"/>
    <mergeCell ref="J476:O476"/>
    <mergeCell ref="J1198:L1198"/>
    <mergeCell ref="M1541:O1541"/>
    <mergeCell ref="J1356:L1356"/>
    <mergeCell ref="B2298:G2301"/>
    <mergeCell ref="B2273:G2276"/>
    <mergeCell ref="E2044:G2044"/>
    <mergeCell ref="J899:O899"/>
    <mergeCell ref="B1210:G1214"/>
    <mergeCell ref="F2587:G2587"/>
    <mergeCell ref="B2793:G2793"/>
    <mergeCell ref="B2026:D2026"/>
    <mergeCell ref="B1271:G1271"/>
    <mergeCell ref="J2083:L2083"/>
    <mergeCell ref="E1608:G1608"/>
    <mergeCell ref="J1200:L1200"/>
    <mergeCell ref="J1542:L1542"/>
    <mergeCell ref="J474:M474"/>
    <mergeCell ref="B1287:G1287"/>
    <mergeCell ref="J166:K166"/>
    <mergeCell ref="E2037:G2037"/>
    <mergeCell ref="F2284:G2284"/>
    <mergeCell ref="M2758:O2758"/>
    <mergeCell ref="M2024:O2024"/>
    <mergeCell ref="F1559:G1559"/>
    <mergeCell ref="J1199:L1199"/>
    <mergeCell ref="L82:O82"/>
    <mergeCell ref="B804:G806"/>
    <mergeCell ref="J1954:L1954"/>
    <mergeCell ref="B2028:D2028"/>
    <mergeCell ref="B1609:D1609"/>
    <mergeCell ref="B2332:G2332"/>
    <mergeCell ref="B2334:E2334"/>
    <mergeCell ref="L538:O538"/>
    <mergeCell ref="E2039:G2039"/>
    <mergeCell ref="L75:O75"/>
    <mergeCell ref="J191:K191"/>
    <mergeCell ref="N417:O417"/>
    <mergeCell ref="J2560:M2560"/>
    <mergeCell ref="B2187:G2187"/>
    <mergeCell ref="J1224:L1224"/>
    <mergeCell ref="J1086:O1087"/>
    <mergeCell ref="L540:O540"/>
    <mergeCell ref="J2473:M2473"/>
    <mergeCell ref="J2752:O2753"/>
    <mergeCell ref="F799:G799"/>
    <mergeCell ref="B999:G999"/>
    <mergeCell ref="J2242:O2245"/>
    <mergeCell ref="B1297:G1297"/>
    <mergeCell ref="B49:C49"/>
    <mergeCell ref="J1226:L1226"/>
    <mergeCell ref="J192:K192"/>
    <mergeCell ref="B998:G998"/>
    <mergeCell ref="B1256:G1259"/>
    <mergeCell ref="J1741:O1745"/>
    <mergeCell ref="B1054:G1058"/>
    <mergeCell ref="J2107:O2108"/>
    <mergeCell ref="J2287:L2287"/>
    <mergeCell ref="J2312:L2312"/>
    <mergeCell ref="J1584:O1584"/>
    <mergeCell ref="J194:K194"/>
    <mergeCell ref="E2090:G2090"/>
    <mergeCell ref="B872:D872"/>
    <mergeCell ref="B2317:G2320"/>
    <mergeCell ref="J2311:O2311"/>
    <mergeCell ref="E2424:G2424"/>
    <mergeCell ref="F1272:G1272"/>
    <mergeCell ref="B986:D986"/>
    <mergeCell ref="B871:G871"/>
    <mergeCell ref="M1380:O1380"/>
    <mergeCell ref="E1454:G1454"/>
    <mergeCell ref="N2284:O2284"/>
    <mergeCell ref="J1287:O1287"/>
    <mergeCell ref="N445:O445"/>
    <mergeCell ref="J1220:M1220"/>
    <mergeCell ref="L164:O164"/>
    <mergeCell ref="B1330:D1330"/>
    <mergeCell ref="J333:K333"/>
    <mergeCell ref="J2500:O2500"/>
    <mergeCell ref="J1886:L1886"/>
    <mergeCell ref="J2167:O2168"/>
    <mergeCell ref="J346:O346"/>
    <mergeCell ref="F1273:G1273"/>
    <mergeCell ref="J2798:O2798"/>
    <mergeCell ref="B1282:G1285"/>
    <mergeCell ref="J128:O128"/>
    <mergeCell ref="J2615:M2615"/>
    <mergeCell ref="E751:G751"/>
    <mergeCell ref="B929:G929"/>
    <mergeCell ref="M2034:O2034"/>
    <mergeCell ref="J334:K334"/>
    <mergeCell ref="E753:G753"/>
    <mergeCell ref="F812:G812"/>
    <mergeCell ref="B2709:G2709"/>
    <mergeCell ref="M2070:O2070"/>
    <mergeCell ref="J2025:L2025"/>
    <mergeCell ref="J1916:O1916"/>
    <mergeCell ref="J857:O857"/>
    <mergeCell ref="J129:O129"/>
    <mergeCell ref="J545:K545"/>
    <mergeCell ref="B1229:G1229"/>
    <mergeCell ref="B103:C103"/>
    <mergeCell ref="J1313:O1313"/>
    <mergeCell ref="M2036:O2036"/>
    <mergeCell ref="J336:K336"/>
    <mergeCell ref="N911:O911"/>
    <mergeCell ref="J659:K659"/>
    <mergeCell ref="J634:K634"/>
    <mergeCell ref="E1382:G1382"/>
    <mergeCell ref="E1892:G1892"/>
    <mergeCell ref="J2027:L2027"/>
    <mergeCell ref="N69:O69"/>
    <mergeCell ref="J2298:O2301"/>
    <mergeCell ref="J1906:L1906"/>
    <mergeCell ref="J2026:L2026"/>
    <mergeCell ref="J1449:M1449"/>
    <mergeCell ref="K784:O784"/>
    <mergeCell ref="L490:O490"/>
    <mergeCell ref="J417:M417"/>
    <mergeCell ref="B1016:D1016"/>
    <mergeCell ref="N1849:O1849"/>
    <mergeCell ref="E1980:G1980"/>
    <mergeCell ref="B2392:D2392"/>
    <mergeCell ref="F1714:G1714"/>
    <mergeCell ref="L604:O604"/>
    <mergeCell ref="N1428:O1428"/>
    <mergeCell ref="B1973:E1973"/>
    <mergeCell ref="J873:O873"/>
    <mergeCell ref="N1559:O1559"/>
    <mergeCell ref="J666:O670"/>
    <mergeCell ref="B1516:E1516"/>
    <mergeCell ref="J2028:L2028"/>
    <mergeCell ref="J2334:M2334"/>
    <mergeCell ref="J1609:L1609"/>
    <mergeCell ref="B2700:E2700"/>
    <mergeCell ref="J270:O270"/>
    <mergeCell ref="B1981:D1981"/>
    <mergeCell ref="J2526:O2527"/>
    <mergeCell ref="B133:G134"/>
    <mergeCell ref="L193:O193"/>
    <mergeCell ref="F1626:G1626"/>
    <mergeCell ref="J685:K685"/>
    <mergeCell ref="B121:C121"/>
    <mergeCell ref="J1282:O1285"/>
    <mergeCell ref="L605:O605"/>
    <mergeCell ref="J721:K721"/>
    <mergeCell ref="B1974:E1974"/>
    <mergeCell ref="B135:G136"/>
    <mergeCell ref="J258:K258"/>
    <mergeCell ref="B942:G942"/>
    <mergeCell ref="J1236:O1240"/>
    <mergeCell ref="J2009:O2012"/>
    <mergeCell ref="J565:K565"/>
    <mergeCell ref="J416:M416"/>
    <mergeCell ref="M1907:O1907"/>
    <mergeCell ref="M2205:O2205"/>
    <mergeCell ref="J1326:O1326"/>
    <mergeCell ref="J716:K716"/>
    <mergeCell ref="E1097:G1097"/>
    <mergeCell ref="J445:M445"/>
    <mergeCell ref="B2420:D2420"/>
    <mergeCell ref="M1697:O1697"/>
    <mergeCell ref="J1329:L1329"/>
    <mergeCell ref="L632:O632"/>
    <mergeCell ref="J1927:M1927"/>
    <mergeCell ref="B2127:G2127"/>
    <mergeCell ref="B1246:E1246"/>
    <mergeCell ref="B1999:D1999"/>
    <mergeCell ref="N1272:O1272"/>
    <mergeCell ref="B2121:D2121"/>
    <mergeCell ref="E2122:G2122"/>
    <mergeCell ref="M2424:O2424"/>
    <mergeCell ref="L509:O509"/>
    <mergeCell ref="E2152:G2152"/>
    <mergeCell ref="B2728:E2728"/>
    <mergeCell ref="F910:G910"/>
    <mergeCell ref="B941:E941"/>
    <mergeCell ref="J1106:O1110"/>
    <mergeCell ref="B1117:E1117"/>
    <mergeCell ref="M1997:O1997"/>
    <mergeCell ref="N1143:O1143"/>
    <mergeCell ref="M1477:O1477"/>
    <mergeCell ref="J2258:M2258"/>
    <mergeCell ref="J2531:M2531"/>
    <mergeCell ref="F1515:G1515"/>
    <mergeCell ref="J2342:O2345"/>
    <mergeCell ref="B812:E812"/>
    <mergeCell ref="E1521:G1521"/>
    <mergeCell ref="J927:O927"/>
    <mergeCell ref="B1994:D1994"/>
    <mergeCell ref="B2054:G2054"/>
    <mergeCell ref="J1473:O1473"/>
    <mergeCell ref="B45:C45"/>
    <mergeCell ref="J957:O957"/>
    <mergeCell ref="J1261:O1261"/>
    <mergeCell ref="J1255:O1255"/>
    <mergeCell ref="B1458:G1464"/>
    <mergeCell ref="J400:K400"/>
    <mergeCell ref="E1123:G1123"/>
    <mergeCell ref="M1381:O1381"/>
    <mergeCell ref="J929:O929"/>
    <mergeCell ref="N869:O869"/>
    <mergeCell ref="B916:G918"/>
    <mergeCell ref="B1301:G1301"/>
    <mergeCell ref="B1540:G1540"/>
    <mergeCell ref="B47:C47"/>
    <mergeCell ref="J1379:O1379"/>
    <mergeCell ref="J2373:O2376"/>
    <mergeCell ref="J1251:L1251"/>
    <mergeCell ref="E2178:G2178"/>
    <mergeCell ref="M1383:O1383"/>
    <mergeCell ref="B46:C46"/>
    <mergeCell ref="N896:O896"/>
    <mergeCell ref="J1042:L1042"/>
    <mergeCell ref="N1194:O1194"/>
    <mergeCell ref="N1169:O1169"/>
    <mergeCell ref="J1978:L1978"/>
    <mergeCell ref="N2226:O2226"/>
    <mergeCell ref="J2284:M2284"/>
    <mergeCell ref="B1079:G1079"/>
    <mergeCell ref="B867:G867"/>
    <mergeCell ref="J1559:M1559"/>
    <mergeCell ref="J460:K460"/>
    <mergeCell ref="B48:C48"/>
    <mergeCell ref="N1494:O1494"/>
    <mergeCell ref="L135:O135"/>
    <mergeCell ref="L257:O257"/>
    <mergeCell ref="N739:O739"/>
    <mergeCell ref="B1626:E1626"/>
    <mergeCell ref="J2055:O2058"/>
    <mergeCell ref="L101:O101"/>
    <mergeCell ref="B1409:D1409"/>
    <mergeCell ref="B954:E954"/>
    <mergeCell ref="J1824:O1824"/>
    <mergeCell ref="B73:C73"/>
    <mergeCell ref="E2206:G2206"/>
    <mergeCell ref="J799:M799"/>
    <mergeCell ref="B2643:E2643"/>
    <mergeCell ref="M1094:O1094"/>
    <mergeCell ref="J1708:O1709"/>
    <mergeCell ref="E749:G749"/>
    <mergeCell ref="B1014:G1014"/>
    <mergeCell ref="B2067:G2067"/>
    <mergeCell ref="J1092:O1092"/>
    <mergeCell ref="J215:O215"/>
    <mergeCell ref="B846:G848"/>
    <mergeCell ref="E1476:G1476"/>
    <mergeCell ref="J1996:L1996"/>
    <mergeCell ref="J2267:O2270"/>
    <mergeCell ref="J1095:L1095"/>
    <mergeCell ref="B74:C74"/>
    <mergeCell ref="N924:O924"/>
    <mergeCell ref="M1096:O1096"/>
    <mergeCell ref="B68:C68"/>
    <mergeCell ref="B1268:G1269"/>
    <mergeCell ref="B2626:G2628"/>
    <mergeCell ref="J630:K630"/>
    <mergeCell ref="E2230:G2230"/>
    <mergeCell ref="B1100:G1103"/>
    <mergeCell ref="B2227:G2227"/>
    <mergeCell ref="J1272:M1272"/>
    <mergeCell ref="L275:O275"/>
    <mergeCell ref="E744:G744"/>
    <mergeCell ref="N1670:O1670"/>
    <mergeCell ref="N2308:O2308"/>
    <mergeCell ref="J632:K632"/>
    <mergeCell ref="J1991:L1991"/>
    <mergeCell ref="B2363:D2363"/>
    <mergeCell ref="B1304:D1304"/>
    <mergeCell ref="B1608:D1608"/>
    <mergeCell ref="J62:O63"/>
    <mergeCell ref="L575:O575"/>
    <mergeCell ref="B740:G740"/>
    <mergeCell ref="J1721:O1721"/>
    <mergeCell ref="F1737:G1737"/>
    <mergeCell ref="B2066:E2066"/>
    <mergeCell ref="N156:O156"/>
    <mergeCell ref="J1273:M1273"/>
    <mergeCell ref="J214:M214"/>
    <mergeCell ref="L276:O276"/>
    <mergeCell ref="J661:K661"/>
    <mergeCell ref="F1405:G1405"/>
    <mergeCell ref="B2671:E2671"/>
    <mergeCell ref="N910:O910"/>
    <mergeCell ref="L577:O577"/>
    <mergeCell ref="J1327:O1327"/>
    <mergeCell ref="J692:K692"/>
    <mergeCell ref="J812:M812"/>
    <mergeCell ref="L570:O570"/>
    <mergeCell ref="J686:K686"/>
    <mergeCell ref="J53:K53"/>
    <mergeCell ref="B737:G737"/>
    <mergeCell ref="B874:G876"/>
    <mergeCell ref="B1190:G1191"/>
    <mergeCell ref="B1492:G1492"/>
    <mergeCell ref="J357:O357"/>
    <mergeCell ref="J2054:O2054"/>
    <mergeCell ref="J2048:O2048"/>
    <mergeCell ref="J2511:O2511"/>
    <mergeCell ref="J45:K45"/>
    <mergeCell ref="J343:K343"/>
    <mergeCell ref="E762:G762"/>
    <mergeCell ref="B1027:G1027"/>
    <mergeCell ref="M1903:O1903"/>
    <mergeCell ref="J1627:O1627"/>
    <mergeCell ref="B1907:D1907"/>
    <mergeCell ref="J868:M868"/>
    <mergeCell ref="F1736:G1736"/>
    <mergeCell ref="B2205:D2205"/>
    <mergeCell ref="M2508:O2508"/>
    <mergeCell ref="J916:O918"/>
    <mergeCell ref="B1037:G1037"/>
    <mergeCell ref="M1476:O1476"/>
    <mergeCell ref="B112:C112"/>
    <mergeCell ref="B2699:E2699"/>
    <mergeCell ref="J345:K345"/>
    <mergeCell ref="J687:K687"/>
    <mergeCell ref="E886:G886"/>
    <mergeCell ref="B1694:G1694"/>
    <mergeCell ref="M1905:O1905"/>
    <mergeCell ref="M2203:O2203"/>
    <mergeCell ref="F1765:G1765"/>
    <mergeCell ref="J1168:M1168"/>
    <mergeCell ref="B2505:D2505"/>
    <mergeCell ref="E763:G763"/>
    <mergeCell ref="J1714:M1714"/>
    <mergeCell ref="L717:O717"/>
    <mergeCell ref="B2424:D2424"/>
    <mergeCell ref="F854:G854"/>
    <mergeCell ref="J347:O351"/>
    <mergeCell ref="J532:M532"/>
    <mergeCell ref="F1012:G1012"/>
    <mergeCell ref="F2065:G2065"/>
    <mergeCell ref="L200:O200"/>
    <mergeCell ref="L719:O719"/>
    <mergeCell ref="B1324:E1324"/>
    <mergeCell ref="B1053:G1053"/>
    <mergeCell ref="L507:O507"/>
    <mergeCell ref="J1626:M1626"/>
    <mergeCell ref="J1040:O1040"/>
    <mergeCell ref="B2248:G2249"/>
    <mergeCell ref="F883:G883"/>
    <mergeCell ref="M2534:O2534"/>
    <mergeCell ref="B897:E897"/>
    <mergeCell ref="E2149:G2149"/>
    <mergeCell ref="F2390:G2390"/>
    <mergeCell ref="J73:K73"/>
    <mergeCell ref="B2703:D2703"/>
    <mergeCell ref="J371:K371"/>
    <mergeCell ref="B791:G792"/>
    <mergeCell ref="J1308:O1311"/>
    <mergeCell ref="M1931:O1931"/>
    <mergeCell ref="M2229:O2229"/>
    <mergeCell ref="B2279:G2280"/>
    <mergeCell ref="B1536:G1536"/>
    <mergeCell ref="B1816:G1817"/>
    <mergeCell ref="B2400:G2402"/>
    <mergeCell ref="J737:O737"/>
    <mergeCell ref="J1375:O1375"/>
    <mergeCell ref="J102:K102"/>
    <mergeCell ref="E1121:G1121"/>
    <mergeCell ref="J425:K425"/>
    <mergeCell ref="J2067:O2067"/>
    <mergeCell ref="B2483:G2483"/>
    <mergeCell ref="M2231:O2231"/>
    <mergeCell ref="B1407:G1407"/>
    <mergeCell ref="M2535:O2535"/>
    <mergeCell ref="B2597:G2597"/>
    <mergeCell ref="E816:G816"/>
    <mergeCell ref="J2626:O2628"/>
    <mergeCell ref="B2143:G2143"/>
    <mergeCell ref="J2709:O2709"/>
    <mergeCell ref="N562:O562"/>
    <mergeCell ref="J156:M156"/>
    <mergeCell ref="E1719:G1719"/>
    <mergeCell ref="J1495:O1495"/>
    <mergeCell ref="J883:M883"/>
    <mergeCell ref="E2175:G2175"/>
    <mergeCell ref="J155:M155"/>
    <mergeCell ref="N1325:O1325"/>
    <mergeCell ref="J2363:L2363"/>
    <mergeCell ref="L342:O342"/>
    <mergeCell ref="J458:K458"/>
    <mergeCell ref="L518:O518"/>
    <mergeCell ref="B1380:D1380"/>
    <mergeCell ref="E2177:G2177"/>
    <mergeCell ref="E2619:G2619"/>
    <mergeCell ref="B2474:E2474"/>
    <mergeCell ref="L344:O344"/>
    <mergeCell ref="B827:E827"/>
    <mergeCell ref="B1713:E1713"/>
    <mergeCell ref="B1740:G1740"/>
    <mergeCell ref="B2428:G2430"/>
    <mergeCell ref="F1692:G1692"/>
    <mergeCell ref="J2147:O2147"/>
    <mergeCell ref="J1063:O1063"/>
    <mergeCell ref="J453:K453"/>
    <mergeCell ref="M1950:O1950"/>
    <mergeCell ref="B1435:G1435"/>
    <mergeCell ref="J57:O61"/>
    <mergeCell ref="B764:D764"/>
    <mergeCell ref="J1190:O1191"/>
    <mergeCell ref="M1944:O1944"/>
    <mergeCell ref="B1797:G1801"/>
    <mergeCell ref="B2128:G2131"/>
    <mergeCell ref="J1022:O1025"/>
    <mergeCell ref="J2091:L2091"/>
    <mergeCell ref="E1895:G1895"/>
    <mergeCell ref="M1952:O1952"/>
    <mergeCell ref="B72:C72"/>
    <mergeCell ref="B1431:D1431"/>
    <mergeCell ref="E1432:G1432"/>
    <mergeCell ref="B1737:E1737"/>
    <mergeCell ref="J2450:L2450"/>
    <mergeCell ref="J2754:O2754"/>
    <mergeCell ref="E1888:G1888"/>
    <mergeCell ref="B2036:D2036"/>
    <mergeCell ref="N1038:O1038"/>
    <mergeCell ref="B968:E968"/>
    <mergeCell ref="J788:O789"/>
    <mergeCell ref="J33:O34"/>
    <mergeCell ref="B2150:D2150"/>
    <mergeCell ref="J2452:L2452"/>
    <mergeCell ref="J185:M185"/>
    <mergeCell ref="L660:O660"/>
    <mergeCell ref="F1376:G1376"/>
    <mergeCell ref="E1890:G1890"/>
    <mergeCell ref="J1692:M1692"/>
    <mergeCell ref="B2756:E2756"/>
    <mergeCell ref="B969:E969"/>
    <mergeCell ref="J1048:O1051"/>
    <mergeCell ref="B88:C88"/>
    <mergeCell ref="B82:C82"/>
    <mergeCell ref="L572:O572"/>
    <mergeCell ref="J776:O776"/>
    <mergeCell ref="M2477:O2477"/>
    <mergeCell ref="B1583:G1583"/>
    <mergeCell ref="J993:O993"/>
    <mergeCell ref="J16:K16"/>
    <mergeCell ref="J987:O987"/>
    <mergeCell ref="B1067:G1067"/>
    <mergeCell ref="E1948:G1948"/>
    <mergeCell ref="J2133:O2133"/>
    <mergeCell ref="J168:K168"/>
    <mergeCell ref="B97:G97"/>
    <mergeCell ref="B2176:D2176"/>
    <mergeCell ref="J2478:L2478"/>
    <mergeCell ref="J2782:O2782"/>
    <mergeCell ref="E2675:G2675"/>
    <mergeCell ref="B83:C83"/>
    <mergeCell ref="J995:O995"/>
    <mergeCell ref="E1276:G1276"/>
    <mergeCell ref="J683:K683"/>
    <mergeCell ref="E1941:G1941"/>
    <mergeCell ref="B845:G845"/>
    <mergeCell ref="B2766:G2768"/>
    <mergeCell ref="J983:M983"/>
    <mergeCell ref="J1407:O1407"/>
    <mergeCell ref="E1908:G1908"/>
    <mergeCell ref="B2178:D2178"/>
    <mergeCell ref="E759:G759"/>
    <mergeCell ref="B1146:D1146"/>
    <mergeCell ref="B85:C85"/>
    <mergeCell ref="M816:O816"/>
    <mergeCell ref="J955:M955"/>
    <mergeCell ref="L713:O713"/>
    <mergeCell ref="J1410:L1410"/>
    <mergeCell ref="E1943:G1943"/>
    <mergeCell ref="E761:G761"/>
    <mergeCell ref="N2118:O2118"/>
    <mergeCell ref="F2359:G2359"/>
    <mergeCell ref="B997:E997"/>
    <mergeCell ref="F1604:G1604"/>
    <mergeCell ref="F1091:G1091"/>
    <mergeCell ref="J1011:O1011"/>
    <mergeCell ref="B1350:E1350"/>
    <mergeCell ref="L714:O714"/>
    <mergeCell ref="J2489:O2496"/>
    <mergeCell ref="J679:O679"/>
    <mergeCell ref="J367:K367"/>
    <mergeCell ref="B747:D747"/>
    <mergeCell ref="J2618:L2618"/>
    <mergeCell ref="M2619:O2619"/>
    <mergeCell ref="M1587:O1587"/>
    <mergeCell ref="L287:O287"/>
    <mergeCell ref="J1582:M1582"/>
    <mergeCell ref="B1209:G1209"/>
    <mergeCell ref="L281:O281"/>
    <mergeCell ref="B1216:G1217"/>
    <mergeCell ref="E900:G900"/>
    <mergeCell ref="J1634:O1640"/>
    <mergeCell ref="E1198:G1198"/>
    <mergeCell ref="J974:O977"/>
    <mergeCell ref="M2314:O2314"/>
    <mergeCell ref="B111:C111"/>
    <mergeCell ref="J708:O708"/>
    <mergeCell ref="J369:K369"/>
    <mergeCell ref="B1351:E1351"/>
    <mergeCell ref="J396:K396"/>
    <mergeCell ref="B2228:G2228"/>
    <mergeCell ref="M1887:O1887"/>
    <mergeCell ref="J1435:O1435"/>
    <mergeCell ref="E2083:G2083"/>
    <mergeCell ref="B878:G879"/>
    <mergeCell ref="L312:O312"/>
    <mergeCell ref="J485:K485"/>
    <mergeCell ref="E1200:G1200"/>
    <mergeCell ref="E1542:G1542"/>
    <mergeCell ref="B782:G783"/>
    <mergeCell ref="B742:D742"/>
    <mergeCell ref="N648:O648"/>
    <mergeCell ref="J398:K398"/>
    <mergeCell ref="J127:M127"/>
    <mergeCell ref="E1199:G1199"/>
    <mergeCell ref="E2085:G2085"/>
    <mergeCell ref="J1431:L1431"/>
    <mergeCell ref="J854:M854"/>
    <mergeCell ref="B744:D744"/>
    <mergeCell ref="J1012:M1012"/>
    <mergeCell ref="B1042:D1042"/>
    <mergeCell ref="L15:O15"/>
    <mergeCell ref="J968:M968"/>
    <mergeCell ref="J2335:O2335"/>
    <mergeCell ref="L313:O313"/>
    <mergeCell ref="E1201:G1201"/>
    <mergeCell ref="J1302:L1302"/>
    <mergeCell ref="L307:O307"/>
    <mergeCell ref="F2501:G2501"/>
    <mergeCell ref="N649:O649"/>
    <mergeCell ref="J1791:O1791"/>
    <mergeCell ref="J543:K543"/>
    <mergeCell ref="B1877:O1877"/>
    <mergeCell ref="B1377:E1377"/>
    <mergeCell ref="B1648:E1648"/>
    <mergeCell ref="J2090:L2090"/>
    <mergeCell ref="L315:O315"/>
    <mergeCell ref="J2119:O2119"/>
    <mergeCell ref="E1987:G1987"/>
    <mergeCell ref="E928:G928"/>
    <mergeCell ref="J1210:O1214"/>
    <mergeCell ref="E1226:G1226"/>
    <mergeCell ref="J1904:L1904"/>
    <mergeCell ref="J1149:L1149"/>
    <mergeCell ref="J82:K82"/>
    <mergeCell ref="B915:G915"/>
    <mergeCell ref="B760:D760"/>
    <mergeCell ref="J28:O32"/>
    <mergeCell ref="J1678:O1684"/>
    <mergeCell ref="J844:L844"/>
    <mergeCell ref="J538:K538"/>
    <mergeCell ref="B1222:G1222"/>
    <mergeCell ref="E2287:G2287"/>
    <mergeCell ref="B157:D157"/>
    <mergeCell ref="M1519:O1519"/>
    <mergeCell ref="J2120:O2120"/>
    <mergeCell ref="L454:O454"/>
    <mergeCell ref="M2703:O2703"/>
    <mergeCell ref="J1359:O1359"/>
    <mergeCell ref="M1948:O1948"/>
    <mergeCell ref="B762:D762"/>
    <mergeCell ref="E1227:G1227"/>
    <mergeCell ref="J1517:O1517"/>
    <mergeCell ref="J2421:L2421"/>
    <mergeCell ref="J540:K540"/>
    <mergeCell ref="E2618:G2618"/>
    <mergeCell ref="B2160:G2160"/>
    <mergeCell ref="M1521:O1521"/>
    <mergeCell ref="J2535:L2535"/>
    <mergeCell ref="M1941:O1941"/>
    <mergeCell ref="B755:D755"/>
    <mergeCell ref="L483:O483"/>
    <mergeCell ref="N1603:O1603"/>
    <mergeCell ref="N2358:O2358"/>
    <mergeCell ref="J1355:L1355"/>
    <mergeCell ref="J86:O90"/>
    <mergeCell ref="J1146:L1146"/>
    <mergeCell ref="E1886:G1886"/>
    <mergeCell ref="M1943:O1943"/>
    <mergeCell ref="F1670:G1670"/>
    <mergeCell ref="J108:K108"/>
    <mergeCell ref="B757:D757"/>
    <mergeCell ref="B1090:E1090"/>
    <mergeCell ref="L53:O53"/>
    <mergeCell ref="J1235:O1235"/>
    <mergeCell ref="N2359:O2359"/>
    <mergeCell ref="J137:K137"/>
    <mergeCell ref="J1962:O1962"/>
    <mergeCell ref="J1969:O1970"/>
    <mergeCell ref="B1144:G1144"/>
    <mergeCell ref="J1079:O1079"/>
    <mergeCell ref="B1275:G1275"/>
    <mergeCell ref="J2173:O2173"/>
    <mergeCell ref="J139:K139"/>
    <mergeCell ref="J317:O317"/>
    <mergeCell ref="J2188:O2191"/>
    <mergeCell ref="B2336:G2336"/>
    <mergeCell ref="M1953:O1953"/>
    <mergeCell ref="L653:O653"/>
    <mergeCell ref="M1198:O1198"/>
    <mergeCell ref="J1501:O1501"/>
    <mergeCell ref="J620:M620"/>
    <mergeCell ref="E2027:G2027"/>
    <mergeCell ref="J2563:L2563"/>
    <mergeCell ref="L79:O79"/>
    <mergeCell ref="B1903:D1903"/>
    <mergeCell ref="J1068:L1068"/>
    <mergeCell ref="E2026:G2026"/>
    <mergeCell ref="J477:O477"/>
    <mergeCell ref="M1542:O1542"/>
    <mergeCell ref="M1227:O1227"/>
    <mergeCell ref="J1497:L1497"/>
    <mergeCell ref="L684:O684"/>
    <mergeCell ref="B1537:E1537"/>
    <mergeCell ref="B1204:G1207"/>
    <mergeCell ref="L81:O81"/>
    <mergeCell ref="J1376:M1376"/>
    <mergeCell ref="J1070:L1070"/>
    <mergeCell ref="B1450:E1450"/>
    <mergeCell ref="B1905:D1905"/>
    <mergeCell ref="E2028:G2028"/>
    <mergeCell ref="B2203:D2203"/>
    <mergeCell ref="B2360:G2360"/>
    <mergeCell ref="F1848:G1848"/>
    <mergeCell ref="N1013:O1013"/>
    <mergeCell ref="J502:O502"/>
    <mergeCell ref="J1219:O1219"/>
    <mergeCell ref="J1561:O1561"/>
    <mergeCell ref="J800:O800"/>
    <mergeCell ref="B1898:D1898"/>
    <mergeCell ref="E1899:G1899"/>
    <mergeCell ref="L250:O250"/>
    <mergeCell ref="N2501:O2501"/>
    <mergeCell ref="L110:O110"/>
    <mergeCell ref="B2771:G2778"/>
    <mergeCell ref="J1825:O1829"/>
    <mergeCell ref="L715:O715"/>
    <mergeCell ref="J1532:O1533"/>
    <mergeCell ref="J1131:O1131"/>
    <mergeCell ref="F2446:G2446"/>
    <mergeCell ref="J490:K490"/>
    <mergeCell ref="B1587:D1587"/>
    <mergeCell ref="M1987:O1987"/>
    <mergeCell ref="M1253:O1253"/>
    <mergeCell ref="B2354:G2355"/>
    <mergeCell ref="J2140:O2141"/>
    <mergeCell ref="J1821:M1821"/>
    <mergeCell ref="B1931:D1931"/>
    <mergeCell ref="E1932:G1932"/>
    <mergeCell ref="J1096:L1096"/>
    <mergeCell ref="B1887:D1887"/>
    <mergeCell ref="M1989:O1989"/>
    <mergeCell ref="B2235:G2235"/>
    <mergeCell ref="M2287:O2287"/>
    <mergeCell ref="M2339:O2339"/>
    <mergeCell ref="B2045:D2045"/>
    <mergeCell ref="E1329:G1329"/>
    <mergeCell ref="J1516:M1516"/>
    <mergeCell ref="L397:O397"/>
    <mergeCell ref="N1039:O1039"/>
    <mergeCell ref="J1245:O1245"/>
    <mergeCell ref="F2172:G2172"/>
    <mergeCell ref="M2646:O2646"/>
    <mergeCell ref="B1473:G1473"/>
    <mergeCell ref="J483:K483"/>
    <mergeCell ref="B2231:D2231"/>
    <mergeCell ref="J2787:L2787"/>
    <mergeCell ref="F1142:G1142"/>
    <mergeCell ref="J1091:M1091"/>
    <mergeCell ref="B130:G130"/>
    <mergeCell ref="J2786:L2786"/>
    <mergeCell ref="B125:C125"/>
    <mergeCell ref="L311:O311"/>
    <mergeCell ref="J1541:L1541"/>
    <mergeCell ref="B858:D858"/>
    <mergeCell ref="E1983:G1983"/>
    <mergeCell ref="J642:O643"/>
    <mergeCell ref="J2333:M2333"/>
    <mergeCell ref="E742:G742"/>
    <mergeCell ref="B1585:D1585"/>
    <mergeCell ref="J2214:O2214"/>
    <mergeCell ref="E1985:G1985"/>
    <mergeCell ref="J1144:O1144"/>
    <mergeCell ref="J85:O85"/>
    <mergeCell ref="J509:K509"/>
    <mergeCell ref="M2069:O2069"/>
    <mergeCell ref="B120:C120"/>
    <mergeCell ref="E1042:G1042"/>
    <mergeCell ref="B913:G913"/>
    <mergeCell ref="E1978:G1978"/>
    <mergeCell ref="B1908:D1908"/>
    <mergeCell ref="J536:K536"/>
    <mergeCell ref="J511:K511"/>
    <mergeCell ref="J114:O114"/>
    <mergeCell ref="N2616:O2616"/>
    <mergeCell ref="B1944:D1944"/>
    <mergeCell ref="J2668:O2669"/>
    <mergeCell ref="J1602:O1602"/>
    <mergeCell ref="J2202:L2202"/>
    <mergeCell ref="E1986:G1986"/>
    <mergeCell ref="E1225:G1225"/>
    <mergeCell ref="J1903:L1903"/>
    <mergeCell ref="M2026:O2026"/>
    <mergeCell ref="N2145:O2145"/>
    <mergeCell ref="J1897:L1897"/>
    <mergeCell ref="N358:O358"/>
    <mergeCell ref="J2501:M2501"/>
    <mergeCell ref="B1820:E1820"/>
    <mergeCell ref="B2602:G2602"/>
    <mergeCell ref="E1096:G1096"/>
    <mergeCell ref="L481:O481"/>
    <mergeCell ref="N1427:O1427"/>
    <mergeCell ref="J1633:O1633"/>
    <mergeCell ref="L24:O24"/>
    <mergeCell ref="L18:O18"/>
    <mergeCell ref="J1450:M1450"/>
    <mergeCell ref="B1691:E1691"/>
    <mergeCell ref="E2125:G2125"/>
    <mergeCell ref="J106:K106"/>
    <mergeCell ref="B2418:E2418"/>
    <mergeCell ref="J133:K133"/>
    <mergeCell ref="B817:G817"/>
    <mergeCell ref="B939:G939"/>
    <mergeCell ref="L26:O26"/>
    <mergeCell ref="B1178:G1181"/>
    <mergeCell ref="J1470:O1470"/>
    <mergeCell ref="E1996:G1996"/>
    <mergeCell ref="L482:O482"/>
    <mergeCell ref="M2080:O2080"/>
    <mergeCell ref="J202:O206"/>
    <mergeCell ref="J236:O237"/>
    <mergeCell ref="J135:K135"/>
    <mergeCell ref="N2171:O2171"/>
    <mergeCell ref="J224:K224"/>
    <mergeCell ref="E1998:G1998"/>
    <mergeCell ref="B5:G6"/>
    <mergeCell ref="E1541:G1541"/>
    <mergeCell ref="M2082:O2082"/>
    <mergeCell ref="J2354:O2355"/>
    <mergeCell ref="J2696:O2697"/>
    <mergeCell ref="B2002:G2002"/>
    <mergeCell ref="J2260:O2260"/>
    <mergeCell ref="J1931:L1931"/>
    <mergeCell ref="J2558:O2558"/>
    <mergeCell ref="M900:O900"/>
    <mergeCell ref="J2229:L2229"/>
    <mergeCell ref="B1988:D1988"/>
    <mergeCell ref="J136:K136"/>
    <mergeCell ref="B1542:D1542"/>
    <mergeCell ref="N982:O982"/>
    <mergeCell ref="B1227:D1227"/>
    <mergeCell ref="M1329:O1329"/>
    <mergeCell ref="M1652:O1652"/>
    <mergeCell ref="N2172:O2172"/>
    <mergeCell ref="E2420:G2420"/>
    <mergeCell ref="B2288:D2288"/>
    <mergeCell ref="F2117:G2117"/>
    <mergeCell ref="J158:O158"/>
    <mergeCell ref="B1116:E1116"/>
    <mergeCell ref="J1671:O1671"/>
    <mergeCell ref="J1646:O1646"/>
    <mergeCell ref="J885:O885"/>
    <mergeCell ref="J275:K275"/>
    <mergeCell ref="J892:O893"/>
    <mergeCell ref="B959:G959"/>
    <mergeCell ref="B1406:E1406"/>
    <mergeCell ref="B1422:G1423"/>
    <mergeCell ref="B2752:G2753"/>
    <mergeCell ref="M1983:O1983"/>
    <mergeCell ref="J2286:O2286"/>
    <mergeCell ref="J283:K283"/>
    <mergeCell ref="J277:K277"/>
    <mergeCell ref="B2658:G2658"/>
    <mergeCell ref="J575:K575"/>
    <mergeCell ref="M742:O742"/>
    <mergeCell ref="B1253:D1253"/>
    <mergeCell ref="J1859:O1859"/>
    <mergeCell ref="J2698:O2698"/>
    <mergeCell ref="J1792:M1792"/>
    <mergeCell ref="J276:K276"/>
    <mergeCell ref="B1715:G1715"/>
    <mergeCell ref="M1985:O1985"/>
    <mergeCell ref="J2586:O2586"/>
    <mergeCell ref="M1251:O1251"/>
    <mergeCell ref="J577:K577"/>
    <mergeCell ref="B1926:G1926"/>
    <mergeCell ref="B1171:G1171"/>
    <mergeCell ref="B2314:D2314"/>
    <mergeCell ref="J913:O913"/>
    <mergeCell ref="M1978:O1978"/>
    <mergeCell ref="J278:K278"/>
    <mergeCell ref="B2653:G2653"/>
    <mergeCell ref="J330:M330"/>
    <mergeCell ref="M2312:O2312"/>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81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'DADOS_PROGRESSAO'!$AG$2:$AG$34</formula1>
    </dataValidation>
    <dataValidation sqref="E749" showDropDown="0" showInputMessage="0" showErrorMessage="1" allowBlank="1" type="list" errorStyle="stop">
      <formula1>'DADOS_PROGRESSAO'!$AG$2:$AG$34</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799" showDropDown="0" showInputMessage="0" showErrorMessage="1" allowBlank="1" type="list" errorStyle="stop">
      <formula1>'DADOS_PROGRESSAO'!$AM$2:$AM$2</formula1>
    </dataValidation>
    <dataValidation sqref="E802" showDropDown="0" showInputMessage="0" showErrorMessage="1" allowBlank="1" type="list" errorStyle="stop">
      <formula1>'DADOS_PROGRESSAO'!$AN$2:$AN$6</formula1>
    </dataValidation>
    <dataValidation sqref="J799" showDropDown="0" showInputMessage="0" showErrorMessage="1" allowBlank="1" type="list" errorStyle="stop">
      <formula1>'DADOS_PROGRESSAO'!$AM$2:$AM$2</formula1>
    </dataValidation>
    <dataValidation sqref="M802" showDropDown="0" showInputMessage="0" showErrorMessage="1" allowBlank="1" type="list" errorStyle="stop">
      <formula1>'DADOS_PROGRESSAO'!$AN$2:$AN$6</formula1>
    </dataValidation>
    <dataValidation sqref="B813" showDropDown="0" showInputMessage="0" showErrorMessage="1" allowBlank="1" type="list" errorStyle="stop">
      <formula1>'DADOS_PROGRESSAO'!$AM$2:$AM$2</formula1>
    </dataValidation>
    <dataValidation sqref="E816" showDropDown="0" showInputMessage="0" showErrorMessage="1" allowBlank="1" type="list" errorStyle="stop">
      <formula1>'DADOS_PROGRESSAO'!$AN$2:$AN$6</formula1>
    </dataValidation>
    <dataValidation sqref="J813" showDropDown="0" showInputMessage="0" showErrorMessage="1" allowBlank="1" type="list" errorStyle="stop">
      <formula1>'DADOS_PROGRESSAO'!$AM$2:$AM$2</formula1>
    </dataValidation>
    <dataValidation sqref="M816" showDropDown="0" showInputMessage="0" showErrorMessage="1" allowBlank="1" type="list" errorStyle="stop">
      <formula1>'DADOS_PROGRESSAO'!$AN$2:$AN$6</formula1>
    </dataValidation>
    <dataValidation sqref="B827" showDropDown="0" showInputMessage="0" showErrorMessage="1" allowBlank="1" type="list" errorStyle="stop">
      <formula1>'DADOS_PROGRESSAO'!$AM$2:$AM$2</formula1>
    </dataValidation>
    <dataValidation sqref="E830" showDropDown="0" showInputMessage="0" showErrorMessage="1" allowBlank="1" type="list" errorStyle="stop">
      <formula1>'DADOS_PROGRESSAO'!$AN$2:$AN$6</formula1>
    </dataValidation>
    <dataValidation sqref="J827" showDropDown="0" showInputMessage="0" showErrorMessage="1" allowBlank="1" type="list" errorStyle="stop">
      <formula1>'DADOS_PROGRESSAO'!$AM$2:$AM$2</formula1>
    </dataValidation>
    <dataValidation sqref="M830" showDropDown="0" showInputMessage="0" showErrorMessage="1" allowBlank="1" type="list" errorStyle="stop">
      <formula1>'DADOS_PROGRESSAO'!$AN$2:$AN$6</formula1>
    </dataValidation>
    <dataValidation sqref="B841" showDropDown="0" showInputMessage="0" showErrorMessage="1" allowBlank="1" type="list" errorStyle="stop">
      <formula1>'DADOS_PROGRESSAO'!$AM$2:$AM$2</formula1>
    </dataValidation>
    <dataValidation sqref="E844" showDropDown="0" showInputMessage="0" showErrorMessage="1" allowBlank="1" type="list" errorStyle="stop">
      <formula1>'DADOS_PROGRESSAO'!$AN$2:$AN$6</formula1>
    </dataValidation>
    <dataValidation sqref="J841" showDropDown="0" showInputMessage="0" showErrorMessage="1" allowBlank="1" type="list" errorStyle="stop">
      <formula1>'DADOS_PROGRESSAO'!$AM$2:$AM$2</formula1>
    </dataValidation>
    <dataValidation sqref="M844" showDropDown="0" showInputMessage="0" showErrorMessage="1" allowBlank="1" type="list" errorStyle="stop">
      <formula1>'DADOS_PROGRESSAO'!$AN$2:$AN$6</formula1>
    </dataValidation>
    <dataValidation sqref="B855" showDropDown="0" showInputMessage="0" showErrorMessage="1" allowBlank="1" type="list" errorStyle="stop">
      <formula1>'DADOS_PROGRESSAO'!$AM$2:$AM$2</formula1>
    </dataValidation>
    <dataValidation sqref="E858" showDropDown="0" showInputMessage="0" showErrorMessage="1" allowBlank="1" type="list" errorStyle="stop">
      <formula1>'DADOS_PROGRESSAO'!$AN$2:$AN$6</formula1>
    </dataValidation>
    <dataValidation sqref="J855" showDropDown="0" showInputMessage="0" showErrorMessage="1" allowBlank="1" type="list" errorStyle="stop">
      <formula1>'DADOS_PROGRESSAO'!$AM$2:$AM$2</formula1>
    </dataValidation>
    <dataValidation sqref="M858" showDropDown="0" showInputMessage="0" showErrorMessage="1" allowBlank="1" type="list" errorStyle="stop">
      <formula1>'DADOS_PROGRESSAO'!$AN$2:$AN$6</formula1>
    </dataValidation>
    <dataValidation sqref="B869" showDropDown="0" showInputMessage="0" showErrorMessage="1" allowBlank="1" type="list" errorStyle="stop">
      <formula1>'DADOS_PROGRESSAO'!$AM$3:$AM$3</formula1>
    </dataValidation>
    <dataValidation sqref="E872" showDropDown="0" showInputMessage="0" showErrorMessage="1" allowBlank="1" type="list" errorStyle="stop">
      <formula1>'DADOS_PROGRESSAO'!$AN$2:$AN$6</formula1>
    </dataValidation>
    <dataValidation sqref="J869" showDropDown="0" showInputMessage="0" showErrorMessage="1" allowBlank="1" type="list" errorStyle="stop">
      <formula1>'DADOS_PROGRESSAO'!$AM$3:$AM$3</formula1>
    </dataValidation>
    <dataValidation sqref="M872" showDropDown="0" showInputMessage="0" showErrorMessage="1" allowBlank="1" type="list" errorStyle="stop">
      <formula1>'DADOS_PROGRESSAO'!$AN$2:$AN$6</formula1>
    </dataValidation>
    <dataValidation sqref="B883" showDropDown="0" showInputMessage="0" showErrorMessage="1" allowBlank="1" type="list" errorStyle="stop">
      <formula1>'DADOS_PROGRESSAO'!$AM$3:$AM$3</formula1>
    </dataValidation>
    <dataValidation sqref="E886" showDropDown="0" showInputMessage="0" showErrorMessage="1" allowBlank="1" type="list" errorStyle="stop">
      <formula1>'DADOS_PROGRESSAO'!$AN$2:$AN$6</formula1>
    </dataValidation>
    <dataValidation sqref="J883" showDropDown="0" showInputMessage="0" showErrorMessage="1" allowBlank="1" type="list" errorStyle="stop">
      <formula1>'DADOS_PROGRESSAO'!$AM$3:$AM$3</formula1>
    </dataValidation>
    <dataValidation sqref="M886" showDropDown="0" showInputMessage="0" showErrorMessage="1" allowBlank="1" type="list" errorStyle="stop">
      <formula1>'DADOS_PROGRESSAO'!$AN$2:$AN$6</formula1>
    </dataValidation>
    <dataValidation sqref="B897" showDropDown="0" showInputMessage="0" showErrorMessage="1" allowBlank="1" type="list" errorStyle="stop">
      <formula1>'DADOS_PROGRESSAO'!$AM$3:$AM$3</formula1>
    </dataValidation>
    <dataValidation sqref="E900" showDropDown="0" showInputMessage="0" showErrorMessage="1" allowBlank="1" type="list" errorStyle="stop">
      <formula1>'DADOS_PROGRESSAO'!$AN$2:$AN$6</formula1>
    </dataValidation>
    <dataValidation sqref="J897" showDropDown="0" showInputMessage="0" showErrorMessage="1" allowBlank="1" type="list" errorStyle="stop">
      <formula1>'DADOS_PROGRESSAO'!$AM$3:$AM$3</formula1>
    </dataValidation>
    <dataValidation sqref="M900" showDropDown="0" showInputMessage="0" showErrorMessage="1" allowBlank="1" type="list" errorStyle="stop">
      <formula1>'DADOS_PROGRESSAO'!$AN$2:$AN$6</formula1>
    </dataValidation>
    <dataValidation sqref="B911" showDropDown="0" showInputMessage="0" showErrorMessage="1" allowBlank="1" type="list" errorStyle="stop">
      <formula1>'DADOS_PROGRESSAO'!$AM$3:$AM$3</formula1>
    </dataValidation>
    <dataValidation sqref="E914" showDropDown="0" showInputMessage="0" showErrorMessage="1" allowBlank="1" type="list" errorStyle="stop">
      <formula1>'DADOS_PROGRESSAO'!$AN$2:$AN$6</formula1>
    </dataValidation>
    <dataValidation sqref="J911" showDropDown="0" showInputMessage="0" showErrorMessage="1" allowBlank="1" type="list" errorStyle="stop">
      <formula1>'DADOS_PROGRESSAO'!$AM$3:$AM$3</formula1>
    </dataValidation>
    <dataValidation sqref="M914" showDropDown="0" showInputMessage="0" showErrorMessage="1" allowBlank="1" type="list" errorStyle="stop">
      <formula1>'DADOS_PROGRESSAO'!$AN$2:$AN$6</formula1>
    </dataValidation>
    <dataValidation sqref="B925" showDropDown="0" showInputMessage="0" showErrorMessage="1" allowBlank="1" type="list" errorStyle="stop">
      <formula1>'DADOS_PROGRESSAO'!$AM$3:$AM$3</formula1>
    </dataValidation>
    <dataValidation sqref="E928" showDropDown="0" showInputMessage="0" showErrorMessage="1" allowBlank="1" type="list" errorStyle="stop">
      <formula1>'DADOS_PROGRESSAO'!$AN$2:$AN$6</formula1>
    </dataValidation>
    <dataValidation sqref="J925" showDropDown="0" showInputMessage="0" showErrorMessage="1" allowBlank="1" type="list" errorStyle="stop">
      <formula1>'DADOS_PROGRESSAO'!$AM$3:$AM$3</formula1>
    </dataValidation>
    <dataValidation sqref="M928"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 sqref="F157" showDropDown="1" showInputMessage="0" showErrorMessage="1" allowBlank="1" type="custom" errorStyle="stop">
      <formula1>OR(ISBLANK(F157),IFERROR(AND(ISNUMBER(F157),F157&gt;=0,INT(F157)=F157),FALSE))</formula1>
    </dataValidation>
    <dataValidation sqref="F158" showDropDown="1" showInputMessage="0" showErrorMessage="1" allowBlank="1" type="custom" errorStyle="stop">
      <formula1>OR(ISBLANK(F158),IFERROR(AND(ISNUMBER(F158),F158&gt;=0,INT(F158)=F158),FALSE))</formula1>
    </dataValidation>
    <dataValidation sqref="E944" showDropDown="0" showInputMessage="0" showErrorMessage="1" allowBlank="1" type="list" errorStyle="stop">
      <formula1>'DADOS_CRIACAO'!$M$2:$M$4</formula1>
    </dataValidation>
    <dataValidation sqref="M944" showDropDown="0" showInputMessage="0" showErrorMessage="1" allowBlank="1" type="list" errorStyle="stop">
      <formula1>'DADOS_CRIACAO'!$M$2:$M$4</formula1>
    </dataValidation>
    <dataValidation sqref="E958" showDropDown="0" showInputMessage="0" showErrorMessage="1" allowBlank="1" type="list" errorStyle="stop">
      <formula1>'DADOS_CRIACAO'!$M$2:$M$4</formula1>
    </dataValidation>
    <dataValidation sqref="M958" showDropDown="0" showInputMessage="0" showErrorMessage="1" allowBlank="1" type="list" errorStyle="stop">
      <formula1>'DADOS_CRIACAO'!$M$2:$M$4</formula1>
    </dataValidation>
    <dataValidation sqref="E972" showDropDown="0" showInputMessage="0" showErrorMessage="1" allowBlank="1" type="list" errorStyle="stop">
      <formula1>'DADOS_CRIACAO'!$M$2:$M$4</formula1>
    </dataValidation>
    <dataValidation sqref="M972" showDropDown="0" showInputMessage="0" showErrorMessage="1" allowBlank="1" type="list" errorStyle="stop">
      <formula1>'DADOS_CRIACAO'!$M$2:$M$4</formula1>
    </dataValidation>
    <dataValidation sqref="E986" showDropDown="0" showInputMessage="0" showErrorMessage="1" allowBlank="1" type="list" errorStyle="stop">
      <formula1>'DADOS_CRIACAO'!$M$2:$M$4</formula1>
    </dataValidation>
    <dataValidation sqref="M986" showDropDown="0" showInputMessage="0" showErrorMessage="1" allowBlank="1" type="list" errorStyle="stop">
      <formula1>'DADOS_CRIACAO'!$M$2:$M$4</formula1>
    </dataValidation>
    <dataValidation sqref="E1000" showDropDown="0" showInputMessage="0" showErrorMessage="1" allowBlank="1" type="list" errorStyle="stop">
      <formula1>'DADOS_CRIACAO'!$M$2:$M$4</formula1>
    </dataValidation>
    <dataValidation sqref="M1000" showDropDown="0" showInputMessage="0" showErrorMessage="1" allowBlank="1" type="list" errorStyle="stop">
      <formula1>'DADOS_CRIACAO'!$M$2:$M$4</formula1>
    </dataValidation>
    <dataValidation sqref="E1016" showDropDown="0" showInputMessage="0" showErrorMessage="1" allowBlank="1" type="list" errorStyle="stop">
      <formula1>'DADOS_MELHORIAS'!$BV$2:$BV$84</formula1>
    </dataValidation>
    <dataValidation sqref="E1017" showDropDown="0" showInputMessage="0" showErrorMessage="1" allowBlank="1" type="list" errorStyle="stop">
      <formula1>'DADOS_MELHORIAS'!$BM$2:$BM$21</formula1>
    </dataValidation>
    <dataValidation sqref="E1018" showDropDown="0" showInputMessage="0" showErrorMessage="1" allowBlank="1" type="list" errorStyle="stop">
      <formula1>'DADOS_MELHORIAS'!$BN$2:$BN$4</formula1>
    </dataValidation>
    <dataValidation sqref="E1019" showDropDown="0" showInputMessage="0" showErrorMessage="1" allowBlank="1" type="list" errorStyle="stop">
      <formula1>'DADOS_MELHORIAS'!$BO$2:$BO$3</formula1>
    </dataValidation>
    <dataValidation sqref="M1016" showDropDown="0" showInputMessage="0" showErrorMessage="1" allowBlank="1" type="list" errorStyle="stop">
      <formula1>'DADOS_MELHORIAS'!$BW$2:$BW$84</formula1>
    </dataValidation>
    <dataValidation sqref="M1017" showDropDown="0" showInputMessage="0" showErrorMessage="1" allowBlank="1" type="list" errorStyle="stop">
      <formula1>'DADOS_MELHORIAS'!$BM$2:$BM$21</formula1>
    </dataValidation>
    <dataValidation sqref="M1018" showDropDown="0" showInputMessage="0" showErrorMessage="1" allowBlank="1" type="list" errorStyle="stop">
      <formula1>'DADOS_MELHORIAS'!$BN$2:$BN$4</formula1>
    </dataValidation>
    <dataValidation sqref="M1019" showDropDown="0" showInputMessage="0" showErrorMessage="1" allowBlank="1" type="list" errorStyle="stop">
      <formula1>'DADOS_MELHORIAS'!$BO$2:$BO$3</formula1>
    </dataValidation>
    <dataValidation sqref="E1042" showDropDown="0" showInputMessage="0" showErrorMessage="1" allowBlank="1" type="list" errorStyle="stop">
      <formula1>'DADOS_MELHORIAS'!$BX$2:$BX$84</formula1>
    </dataValidation>
    <dataValidation sqref="E1043" showDropDown="0" showInputMessage="0" showErrorMessage="1" allowBlank="1" type="list" errorStyle="stop">
      <formula1>'DADOS_MELHORIAS'!$BM$2:$BM$21</formula1>
    </dataValidation>
    <dataValidation sqref="E1044" showDropDown="0" showInputMessage="0" showErrorMessage="1" allowBlank="1" type="list" errorStyle="stop">
      <formula1>'DADOS_MELHORIAS'!$BN$2:$BN$4</formula1>
    </dataValidation>
    <dataValidation sqref="E1045" showDropDown="0" showInputMessage="0" showErrorMessage="1" allowBlank="1" type="list" errorStyle="stop">
      <formula1>'DADOS_MELHORIAS'!$BO$2:$BO$3</formula1>
    </dataValidation>
    <dataValidation sqref="M1042" showDropDown="0" showInputMessage="0" showErrorMessage="1" allowBlank="1" type="list" errorStyle="stop">
      <formula1>'DADOS_MELHORIAS'!$BY$2:$BY$84</formula1>
    </dataValidation>
    <dataValidation sqref="M1043" showDropDown="0" showInputMessage="0" showErrorMessage="1" allowBlank="1" type="list" errorStyle="stop">
      <formula1>'DADOS_MELHORIAS'!$BM$2:$BM$21</formula1>
    </dataValidation>
    <dataValidation sqref="M1044" showDropDown="0" showInputMessage="0" showErrorMessage="1" allowBlank="1" type="list" errorStyle="stop">
      <formula1>'DADOS_MELHORIAS'!$BN$2:$BN$4</formula1>
    </dataValidation>
    <dataValidation sqref="M1045" showDropDown="0" showInputMessage="0" showErrorMessage="1" allowBlank="1" type="list" errorStyle="stop">
      <formula1>'DADOS_MELHORIAS'!$BO$2:$BO$3</formula1>
    </dataValidation>
    <dataValidation sqref="E1068" showDropDown="0" showInputMessage="0" showErrorMessage="1" allowBlank="1" type="list" errorStyle="stop">
      <formula1>'DADOS_MELHORIAS'!$BZ$2:$BZ$84</formula1>
    </dataValidation>
    <dataValidation sqref="E1069" showDropDown="0" showInputMessage="0" showErrorMessage="1" allowBlank="1" type="list" errorStyle="stop">
      <formula1>'DADOS_MELHORIAS'!$BM$2:$BM$21</formula1>
    </dataValidation>
    <dataValidation sqref="E1070" showDropDown="0" showInputMessage="0" showErrorMessage="1" allowBlank="1" type="list" errorStyle="stop">
      <formula1>'DADOS_MELHORIAS'!$BN$2:$BN$4</formula1>
    </dataValidation>
    <dataValidation sqref="E1071" showDropDown="0" showInputMessage="0" showErrorMessage="1" allowBlank="1" type="list" errorStyle="stop">
      <formula1>'DADOS_MELHORIAS'!$BO$2:$BO$3</formula1>
    </dataValidation>
    <dataValidation sqref="M1068" showDropDown="0" showInputMessage="0" showErrorMessage="1" allowBlank="1" type="list" errorStyle="stop">
      <formula1>'DADOS_MELHORIAS'!$CA$2:$CA$84</formula1>
    </dataValidation>
    <dataValidation sqref="M1069" showDropDown="0" showInputMessage="0" showErrorMessage="1" allowBlank="1" type="list" errorStyle="stop">
      <formula1>'DADOS_MELHORIAS'!$BM$2:$BM$21</formula1>
    </dataValidation>
    <dataValidation sqref="M1070" showDropDown="0" showInputMessage="0" showErrorMessage="1" allowBlank="1" type="list" errorStyle="stop">
      <formula1>'DADOS_MELHORIAS'!$BN$2:$BN$4</formula1>
    </dataValidation>
    <dataValidation sqref="M1071" showDropDown="0" showInputMessage="0" showErrorMessage="1" allowBlank="1" type="list" errorStyle="stop">
      <formula1>'DADOS_MELHORIAS'!$BO$2:$BO$3</formula1>
    </dataValidation>
    <dataValidation sqref="E1094" showDropDown="0" showInputMessage="0" showErrorMessage="1" allowBlank="1" type="list" errorStyle="stop">
      <formula1>'DADOS_MELHORIAS'!$CB$2:$CB$84</formula1>
    </dataValidation>
    <dataValidation sqref="E1095" showDropDown="0" showInputMessage="0" showErrorMessage="1" allowBlank="1" type="list" errorStyle="stop">
      <formula1>'DADOS_MELHORIAS'!$BM$2:$BM$21</formula1>
    </dataValidation>
    <dataValidation sqref="E1096" showDropDown="0" showInputMessage="0" showErrorMessage="1" allowBlank="1" type="list" errorStyle="stop">
      <formula1>'DADOS_MELHORIAS'!$BN$2:$BN$4</formula1>
    </dataValidation>
    <dataValidation sqref="E1097" showDropDown="0" showInputMessage="0" showErrorMessage="1" allowBlank="1" type="list" errorStyle="stop">
      <formula1>'DADOS_MELHORIAS'!$BO$2:$BO$3</formula1>
    </dataValidation>
    <dataValidation sqref="M1094" showDropDown="0" showInputMessage="0" showErrorMessage="1" allowBlank="1" type="list" errorStyle="stop">
      <formula1>'DADOS_MELHORIAS'!$CC$2:$CC$84</formula1>
    </dataValidation>
    <dataValidation sqref="M1095" showDropDown="0" showInputMessage="0" showErrorMessage="1" allowBlank="1" type="list" errorStyle="stop">
      <formula1>'DADOS_MELHORIAS'!$BM$2:$BM$21</formula1>
    </dataValidation>
    <dataValidation sqref="M1096" showDropDown="0" showInputMessage="0" showErrorMessage="1" allowBlank="1" type="list" errorStyle="stop">
      <formula1>'DADOS_MELHORIAS'!$BN$2:$BN$4</formula1>
    </dataValidation>
    <dataValidation sqref="M1097" showDropDown="0" showInputMessage="0" showErrorMessage="1" allowBlank="1" type="list" errorStyle="stop">
      <formula1>'DADOS_MELHORIAS'!$BO$2:$BO$3</formula1>
    </dataValidation>
    <dataValidation sqref="E1120" showDropDown="0" showInputMessage="0" showErrorMessage="1" allowBlank="1" type="list" errorStyle="stop">
      <formula1>'DADOS_MELHORIAS'!$CD$2:$CD$84</formula1>
    </dataValidation>
    <dataValidation sqref="E1121" showDropDown="0" showInputMessage="0" showErrorMessage="1" allowBlank="1" type="list" errorStyle="stop">
      <formula1>'DADOS_MELHORIAS'!$BM$2:$BM$21</formula1>
    </dataValidation>
    <dataValidation sqref="E1122" showDropDown="0" showInputMessage="0" showErrorMessage="1" allowBlank="1" type="list" errorStyle="stop">
      <formula1>'DADOS_MELHORIAS'!$BN$2:$BN$4</formula1>
    </dataValidation>
    <dataValidation sqref="E1123" showDropDown="0" showInputMessage="0" showErrorMessage="1" allowBlank="1" type="list" errorStyle="stop">
      <formula1>'DADOS_MELHORIAS'!$BO$2:$BO$3</formula1>
    </dataValidation>
    <dataValidation sqref="M1120" showDropDown="0" showInputMessage="0" showErrorMessage="1" allowBlank="1" type="list" errorStyle="stop">
      <formula1>'DADOS_MELHORIAS'!$CE$2:$CE$84</formula1>
    </dataValidation>
    <dataValidation sqref="M1121" showDropDown="0" showInputMessage="0" showErrorMessage="1" allowBlank="1" type="list" errorStyle="stop">
      <formula1>'DADOS_MELHORIAS'!$BM$2:$BM$21</formula1>
    </dataValidation>
    <dataValidation sqref="M1122" showDropDown="0" showInputMessage="0" showErrorMessage="1" allowBlank="1" type="list" errorStyle="stop">
      <formula1>'DADOS_MELHORIAS'!$BN$2:$BN$4</formula1>
    </dataValidation>
    <dataValidation sqref="M1123" showDropDown="0" showInputMessage="0" showErrorMessage="1" allowBlank="1" type="list" errorStyle="stop">
      <formula1>'DADOS_MELHORIAS'!$BO$2:$BO$3</formula1>
    </dataValidation>
    <dataValidation sqref="E1146" showDropDown="0" showInputMessage="0" showErrorMessage="1" allowBlank="1" type="list" errorStyle="stop">
      <formula1>'DADOS_MELHORIAS'!$CF$2:$CF$84</formula1>
    </dataValidation>
    <dataValidation sqref="E1147" showDropDown="0" showInputMessage="0" showErrorMessage="1" allowBlank="1" type="list" errorStyle="stop">
      <formula1>'DADOS_MELHORIAS'!$BM$2:$BM$21</formula1>
    </dataValidation>
    <dataValidation sqref="E1148" showDropDown="0" showInputMessage="0" showErrorMessage="1" allowBlank="1" type="list" errorStyle="stop">
      <formula1>'DADOS_MELHORIAS'!$BN$2:$BN$4</formula1>
    </dataValidation>
    <dataValidation sqref="E1149" showDropDown="0" showInputMessage="0" showErrorMessage="1" allowBlank="1" type="list" errorStyle="stop">
      <formula1>'DADOS_MELHORIAS'!$BO$2:$BO$3</formula1>
    </dataValidation>
    <dataValidation sqref="M1146" showDropDown="0" showInputMessage="0" showErrorMessage="1" allowBlank="1" type="list" errorStyle="stop">
      <formula1>'DADOS_MELHORIAS'!$CG$2:$CG$84</formula1>
    </dataValidation>
    <dataValidation sqref="M1147" showDropDown="0" showInputMessage="0" showErrorMessage="1" allowBlank="1" type="list" errorStyle="stop">
      <formula1>'DADOS_MELHORIAS'!$BM$2:$BM$21</formula1>
    </dataValidation>
    <dataValidation sqref="M1148" showDropDown="0" showInputMessage="0" showErrorMessage="1" allowBlank="1" type="list" errorStyle="stop">
      <formula1>'DADOS_MELHORIAS'!$BN$2:$BN$4</formula1>
    </dataValidation>
    <dataValidation sqref="M1149" showDropDown="0" showInputMessage="0" showErrorMessage="1" allowBlank="1" type="list" errorStyle="stop">
      <formula1>'DADOS_MELHORIAS'!$BO$2:$BO$3</formula1>
    </dataValidation>
    <dataValidation sqref="E1172" showDropDown="0" showInputMessage="0" showErrorMessage="1" allowBlank="1" type="list" errorStyle="stop">
      <formula1>'DADOS_MELHORIAS'!$CH$2:$CH$84</formula1>
    </dataValidation>
    <dataValidation sqref="E1173" showDropDown="0" showInputMessage="0" showErrorMessage="1" allowBlank="1" type="list" errorStyle="stop">
      <formula1>'DADOS_MELHORIAS'!$BM$2:$BM$21</formula1>
    </dataValidation>
    <dataValidation sqref="E1174" showDropDown="0" showInputMessage="0" showErrorMessage="1" allowBlank="1" type="list" errorStyle="stop">
      <formula1>'DADOS_MELHORIAS'!$BN$2:$BN$4</formula1>
    </dataValidation>
    <dataValidation sqref="E1175" showDropDown="0" showInputMessage="0" showErrorMessage="1" allowBlank="1" type="list" errorStyle="stop">
      <formula1>'DADOS_MELHORIAS'!$BO$2:$BO$3</formula1>
    </dataValidation>
    <dataValidation sqref="M1172" showDropDown="0" showInputMessage="0" showErrorMessage="1" allowBlank="1" type="list" errorStyle="stop">
      <formula1>'DADOS_MELHORIAS'!$CI$2:$CI$84</formula1>
    </dataValidation>
    <dataValidation sqref="M1173" showDropDown="0" showInputMessage="0" showErrorMessage="1" allowBlank="1" type="list" errorStyle="stop">
      <formula1>'DADOS_MELHORIAS'!$BM$2:$BM$21</formula1>
    </dataValidation>
    <dataValidation sqref="M1174" showDropDown="0" showInputMessage="0" showErrorMessage="1" allowBlank="1" type="list" errorStyle="stop">
      <formula1>'DADOS_MELHORIAS'!$BN$2:$BN$4</formula1>
    </dataValidation>
    <dataValidation sqref="M1175" showDropDown="0" showInputMessage="0" showErrorMessage="1" allowBlank="1" type="list" errorStyle="stop">
      <formula1>'DADOS_MELHORIAS'!$BO$2:$BO$3</formula1>
    </dataValidation>
    <dataValidation sqref="E1198" showDropDown="0" showInputMessage="0" showErrorMessage="1" allowBlank="1" type="list" errorStyle="stop">
      <formula1>'DADOS_MELHORIAS'!$CJ$2:$CJ$84</formula1>
    </dataValidation>
    <dataValidation sqref="E1199" showDropDown="0" showInputMessage="0" showErrorMessage="1" allowBlank="1" type="list" errorStyle="stop">
      <formula1>'DADOS_MELHORIAS'!$BM$2:$BM$21</formula1>
    </dataValidation>
    <dataValidation sqref="E1200" showDropDown="0" showInputMessage="0" showErrorMessage="1" allowBlank="1" type="list" errorStyle="stop">
      <formula1>'DADOS_MELHORIAS'!$BN$2:$BN$4</formula1>
    </dataValidation>
    <dataValidation sqref="E1201" showDropDown="0" showInputMessage="0" showErrorMessage="1" allowBlank="1" type="list" errorStyle="stop">
      <formula1>'DADOS_MELHORIAS'!$BO$2:$BO$3</formula1>
    </dataValidation>
    <dataValidation sqref="M1198" showDropDown="0" showInputMessage="0" showErrorMessage="1" allowBlank="1" type="list" errorStyle="stop">
      <formula1>'DADOS_MELHORIAS'!$CK$2:$CK$84</formula1>
    </dataValidation>
    <dataValidation sqref="M1199" showDropDown="0" showInputMessage="0" showErrorMessage="1" allowBlank="1" type="list" errorStyle="stop">
      <formula1>'DADOS_MELHORIAS'!$BM$2:$BM$21</formula1>
    </dataValidation>
    <dataValidation sqref="M1200" showDropDown="0" showInputMessage="0" showErrorMessage="1" allowBlank="1" type="list" errorStyle="stop">
      <formula1>'DADOS_MELHORIAS'!$BN$2:$BN$4</formula1>
    </dataValidation>
    <dataValidation sqref="M1201" showDropDown="0" showInputMessage="0" showErrorMessage="1" allowBlank="1" type="list" errorStyle="stop">
      <formula1>'DADOS_MELHORIAS'!$BO$2:$BO$3</formula1>
    </dataValidation>
    <dataValidation sqref="E1224" showDropDown="0" showInputMessage="0" showErrorMessage="1" allowBlank="1" type="list" errorStyle="stop">
      <formula1>'DADOS_MELHORIAS'!$CL$2:$CL$84</formula1>
    </dataValidation>
    <dataValidation sqref="E1225" showDropDown="0" showInputMessage="0" showErrorMessage="1" allowBlank="1" type="list" errorStyle="stop">
      <formula1>'DADOS_MELHORIAS'!$BM$2:$BM$21</formula1>
    </dataValidation>
    <dataValidation sqref="E1226" showDropDown="0" showInputMessage="0" showErrorMessage="1" allowBlank="1" type="list" errorStyle="stop">
      <formula1>'DADOS_MELHORIAS'!$BN$2:$BN$4</formula1>
    </dataValidation>
    <dataValidation sqref="E1227" showDropDown="0" showInputMessage="0" showErrorMessage="1" allowBlank="1" type="list" errorStyle="stop">
      <formula1>'DADOS_MELHORIAS'!$BO$2:$BO$3</formula1>
    </dataValidation>
    <dataValidation sqref="M1224" showDropDown="0" showInputMessage="0" showErrorMessage="1" allowBlank="1" type="list" errorStyle="stop">
      <formula1>'DADOS_MELHORIAS'!$CM$2:$CM$84</formula1>
    </dataValidation>
    <dataValidation sqref="M1225" showDropDown="0" showInputMessage="0" showErrorMessage="1" allowBlank="1" type="list" errorStyle="stop">
      <formula1>'DADOS_MELHORIAS'!$BM$2:$BM$21</formula1>
    </dataValidation>
    <dataValidation sqref="M1226" showDropDown="0" showInputMessage="0" showErrorMessage="1" allowBlank="1" type="list" errorStyle="stop">
      <formula1>'DADOS_MELHORIAS'!$BN$2:$BN$4</formula1>
    </dataValidation>
    <dataValidation sqref="M1227" showDropDown="0" showInputMessage="0" showErrorMessage="1" allowBlank="1" type="list" errorStyle="stop">
      <formula1>'DADOS_MELHORIAS'!$BO$2:$BO$3</formula1>
    </dataValidation>
    <dataValidation sqref="E1250" showDropDown="0" showInputMessage="0" showErrorMessage="1" allowBlank="1" type="list" errorStyle="stop">
      <formula1>'DADOS_MELHORIAS'!$CN$2:$CN$84</formula1>
    </dataValidation>
    <dataValidation sqref="E1251" showDropDown="0" showInputMessage="0" showErrorMessage="1" allowBlank="1" type="list" errorStyle="stop">
      <formula1>'DADOS_MELHORIAS'!$BM$2:$BM$21</formula1>
    </dataValidation>
    <dataValidation sqref="E1252" showDropDown="0" showInputMessage="0" showErrorMessage="1" allowBlank="1" type="list" errorStyle="stop">
      <formula1>'DADOS_MELHORIAS'!$BN$2:$BN$4</formula1>
    </dataValidation>
    <dataValidation sqref="E1253" showDropDown="0" showInputMessage="0" showErrorMessage="1" allowBlank="1" type="list" errorStyle="stop">
      <formula1>'DADOS_MELHORIAS'!$BO$2:$BO$3</formula1>
    </dataValidation>
    <dataValidation sqref="M1250" showDropDown="0" showInputMessage="0" showErrorMessage="1" allowBlank="1" type="list" errorStyle="stop">
      <formula1>'DADOS_MELHORIAS'!$CO$2:$CO$84</formula1>
    </dataValidation>
    <dataValidation sqref="M1251" showDropDown="0" showInputMessage="0" showErrorMessage="1" allowBlank="1" type="list" errorStyle="stop">
      <formula1>'DADOS_MELHORIAS'!$BM$2:$BM$21</formula1>
    </dataValidation>
    <dataValidation sqref="M1252" showDropDown="0" showInputMessage="0" showErrorMessage="1" allowBlank="1" type="list" errorStyle="stop">
      <formula1>'DADOS_MELHORIAS'!$BN$2:$BN$4</formula1>
    </dataValidation>
    <dataValidation sqref="M1253" showDropDown="0" showInputMessage="0" showErrorMessage="1" allowBlank="1" type="list" errorStyle="stop">
      <formula1>'DADOS_MELHORIAS'!$BO$2:$BO$3</formula1>
    </dataValidation>
    <dataValidation sqref="E1276" showDropDown="0" showInputMessage="0" showErrorMessage="1" allowBlank="1" type="list" errorStyle="stop">
      <formula1>'DADOS_MELHORIAS'!$CP$2:$CP$84</formula1>
    </dataValidation>
    <dataValidation sqref="E1277" showDropDown="0" showInputMessage="0" showErrorMessage="1" allowBlank="1" type="list" errorStyle="stop">
      <formula1>'DADOS_MELHORIAS'!$BM$2:$BM$21</formula1>
    </dataValidation>
    <dataValidation sqref="E1278" showDropDown="0" showInputMessage="0" showErrorMessage="1" allowBlank="1" type="list" errorStyle="stop">
      <formula1>'DADOS_MELHORIAS'!$BN$2:$BN$4</formula1>
    </dataValidation>
    <dataValidation sqref="E1279" showDropDown="0" showInputMessage="0" showErrorMessage="1" allowBlank="1" type="list" errorStyle="stop">
      <formula1>'DADOS_MELHORIAS'!$BO$2:$BO$3</formula1>
    </dataValidation>
    <dataValidation sqref="M1276" showDropDown="0" showInputMessage="0" showErrorMessage="1" allowBlank="1" type="list" errorStyle="stop">
      <formula1>'DADOS_MELHORIAS'!$CQ$2:$CQ$84</formula1>
    </dataValidation>
    <dataValidation sqref="M1277" showDropDown="0" showInputMessage="0" showErrorMessage="1" allowBlank="1" type="list" errorStyle="stop">
      <formula1>'DADOS_MELHORIAS'!$BM$2:$BM$21</formula1>
    </dataValidation>
    <dataValidation sqref="M1278" showDropDown="0" showInputMessage="0" showErrorMessage="1" allowBlank="1" type="list" errorStyle="stop">
      <formula1>'DADOS_MELHORIAS'!$BN$2:$BN$4</formula1>
    </dataValidation>
    <dataValidation sqref="M1279" showDropDown="0" showInputMessage="0" showErrorMessage="1" allowBlank="1" type="list" errorStyle="stop">
      <formula1>'DADOS_MELHORIAS'!$BO$2:$BO$3</formula1>
    </dataValidation>
    <dataValidation sqref="E1302" showDropDown="0" showInputMessage="0" showErrorMessage="1" allowBlank="1" type="list" errorStyle="stop">
      <formula1>'DADOS_MELHORIAS'!$CR$2:$CR$84</formula1>
    </dataValidation>
    <dataValidation sqref="E1303" showDropDown="0" showInputMessage="0" showErrorMessage="1" allowBlank="1" type="list" errorStyle="stop">
      <formula1>'DADOS_MELHORIAS'!$BM$2:$BM$21</formula1>
    </dataValidation>
    <dataValidation sqref="E1304" showDropDown="0" showInputMessage="0" showErrorMessage="1" allowBlank="1" type="list" errorStyle="stop">
      <formula1>'DADOS_MELHORIAS'!$BN$2:$BN$4</formula1>
    </dataValidation>
    <dataValidation sqref="E1305" showDropDown="0" showInputMessage="0" showErrorMessage="1" allowBlank="1" type="list" errorStyle="stop">
      <formula1>'DADOS_MELHORIAS'!$BO$2:$BO$3</formula1>
    </dataValidation>
    <dataValidation sqref="M1302" showDropDown="0" showInputMessage="0" showErrorMessage="1" allowBlank="1" type="list" errorStyle="stop">
      <formula1>'DADOS_MELHORIAS'!$CS$2:$CS$84</formula1>
    </dataValidation>
    <dataValidation sqref="M1303" showDropDown="0" showInputMessage="0" showErrorMessage="1" allowBlank="1" type="list" errorStyle="stop">
      <formula1>'DADOS_MELHORIAS'!$BM$2:$BM$21</formula1>
    </dataValidation>
    <dataValidation sqref="M1304" showDropDown="0" showInputMessage="0" showErrorMessage="1" allowBlank="1" type="list" errorStyle="stop">
      <formula1>'DADOS_MELHORIAS'!$BN$2:$BN$4</formula1>
    </dataValidation>
    <dataValidation sqref="M1305" showDropDown="0" showInputMessage="0" showErrorMessage="1" allowBlank="1" type="list" errorStyle="stop">
      <formula1>'DADOS_MELHORIAS'!$BO$2:$BO$3</formula1>
    </dataValidation>
    <dataValidation sqref="E1328" showDropDown="0" showInputMessage="0" showErrorMessage="1" allowBlank="1" type="list" errorStyle="stop">
      <formula1>'DADOS_MELHORIAS'!$CT$2:$CT$84</formula1>
    </dataValidation>
    <dataValidation sqref="E1329" showDropDown="0" showInputMessage="0" showErrorMessage="1" allowBlank="1" type="list" errorStyle="stop">
      <formula1>'DADOS_MELHORIAS'!$BM$2:$BM$21</formula1>
    </dataValidation>
    <dataValidation sqref="E1330" showDropDown="0" showInputMessage="0" showErrorMessage="1" allowBlank="1" type="list" errorStyle="stop">
      <formula1>'DADOS_MELHORIAS'!$BN$2:$BN$4</formula1>
    </dataValidation>
    <dataValidation sqref="E1331" showDropDown="0" showInputMessage="0" showErrorMessage="1" allowBlank="1" type="list" errorStyle="stop">
      <formula1>'DADOS_MELHORIAS'!$BO$2:$BO$3</formula1>
    </dataValidation>
    <dataValidation sqref="M1328" showDropDown="0" showInputMessage="0" showErrorMessage="1" allowBlank="1" type="list" errorStyle="stop">
      <formula1>'DADOS_MELHORIAS'!$CU$2:$CU$84</formula1>
    </dataValidation>
    <dataValidation sqref="M1329" showDropDown="0" showInputMessage="0" showErrorMessage="1" allowBlank="1" type="list" errorStyle="stop">
      <formula1>'DADOS_MELHORIAS'!$BM$2:$BM$21</formula1>
    </dataValidation>
    <dataValidation sqref="M1330" showDropDown="0" showInputMessage="0" showErrorMessage="1" allowBlank="1" type="list" errorStyle="stop">
      <formula1>'DADOS_MELHORIAS'!$BN$2:$BN$4</formula1>
    </dataValidation>
    <dataValidation sqref="M1331" showDropDown="0" showInputMessage="0" showErrorMessage="1" allowBlank="1" type="list" errorStyle="stop">
      <formula1>'DADOS_MELHORIAS'!$BO$2:$BO$3</formula1>
    </dataValidation>
    <dataValidation sqref="E1354" showDropDown="0" showInputMessage="0" showErrorMessage="1" allowBlank="1" type="list" errorStyle="stop">
      <formula1>'DADOS_MELHORIAS'!$CV$2:$CV$84</formula1>
    </dataValidation>
    <dataValidation sqref="E1355" showDropDown="0" showInputMessage="0" showErrorMessage="1" allowBlank="1" type="list" errorStyle="stop">
      <formula1>'DADOS_MELHORIAS'!$BM$2:$BM$21</formula1>
    </dataValidation>
    <dataValidation sqref="E1356" showDropDown="0" showInputMessage="0" showErrorMessage="1" allowBlank="1" type="list" errorStyle="stop">
      <formula1>'DADOS_MELHORIAS'!$BN$2:$BN$4</formula1>
    </dataValidation>
    <dataValidation sqref="E1357" showDropDown="0" showInputMessage="0" showErrorMessage="1" allowBlank="1" type="list" errorStyle="stop">
      <formula1>'DADOS_MELHORIAS'!$BO$2:$BO$3</formula1>
    </dataValidation>
    <dataValidation sqref="M1354" showDropDown="0" showInputMessage="0" showErrorMessage="1" allowBlank="1" type="list" errorStyle="stop">
      <formula1>'DADOS_MELHORIAS'!$CW$2:$CW$84</formula1>
    </dataValidation>
    <dataValidation sqref="M1355" showDropDown="0" showInputMessage="0" showErrorMessage="1" allowBlank="1" type="list" errorStyle="stop">
      <formula1>'DADOS_MELHORIAS'!$BM$2:$BM$21</formula1>
    </dataValidation>
    <dataValidation sqref="M1356" showDropDown="0" showInputMessage="0" showErrorMessage="1" allowBlank="1" type="list" errorStyle="stop">
      <formula1>'DADOS_MELHORIAS'!$BN$2:$BN$4</formula1>
    </dataValidation>
    <dataValidation sqref="M1357" showDropDown="0" showInputMessage="0" showErrorMessage="1" allowBlank="1" type="list" errorStyle="stop">
      <formula1>'DADOS_MELHORIAS'!$BO$2:$BO$3</formula1>
    </dataValidation>
    <dataValidation sqref="E1380" showDropDown="0" showInputMessage="0" showErrorMessage="1" allowBlank="1" type="list" errorStyle="stop">
      <formula1>'DADOS_MELHORIAS'!$CX$2:$CX$84</formula1>
    </dataValidation>
    <dataValidation sqref="E1381" showDropDown="0" showInputMessage="0" showErrorMessage="1" allowBlank="1" type="list" errorStyle="stop">
      <formula1>'DADOS_MELHORIAS'!$BM$2:$BM$21</formula1>
    </dataValidation>
    <dataValidation sqref="E1382" showDropDown="0" showInputMessage="0" showErrorMessage="1" allowBlank="1" type="list" errorStyle="stop">
      <formula1>'DADOS_MELHORIAS'!$BN$2:$BN$4</formula1>
    </dataValidation>
    <dataValidation sqref="E1383" showDropDown="0" showInputMessage="0" showErrorMessage="1" allowBlank="1" type="list" errorStyle="stop">
      <formula1>'DADOS_MELHORIAS'!$BO$2:$BO$3</formula1>
    </dataValidation>
    <dataValidation sqref="M1380" showDropDown="0" showInputMessage="0" showErrorMessage="1" allowBlank="1" type="list" errorStyle="stop">
      <formula1>'DADOS_MELHORIAS'!$CY$2:$CY$84</formula1>
    </dataValidation>
    <dataValidation sqref="M1381" showDropDown="0" showInputMessage="0" showErrorMessage="1" allowBlank="1" type="list" errorStyle="stop">
      <formula1>'DADOS_MELHORIAS'!$BM$2:$BM$21</formula1>
    </dataValidation>
    <dataValidation sqref="M1382" showDropDown="0" showInputMessage="0" showErrorMessage="1" allowBlank="1" type="list" errorStyle="stop">
      <formula1>'DADOS_MELHORIAS'!$BN$2:$BN$4</formula1>
    </dataValidation>
    <dataValidation sqref="M1383" showDropDown="0" showInputMessage="0" showErrorMessage="1" allowBlank="1" type="list" errorStyle="stop">
      <formula1>'DADOS_MELHORIAS'!$BO$2:$BO$3</formula1>
    </dataValidation>
    <dataValidation sqref="E1409" showDropDown="0" showInputMessage="0" showErrorMessage="1" allowBlank="1" type="list" errorStyle="stop">
      <formula1>'DADOS_RESTRICOES'!$V$2:$V$25</formula1>
    </dataValidation>
    <dataValidation sqref="E1410" showDropDown="0" showInputMessage="0" showErrorMessage="1" allowBlank="1" type="list" errorStyle="stop">
      <formula1>'DADOS_RESTRICOES'!$T$2:$T$3</formula1>
    </dataValidation>
    <dataValidation sqref="E1411" showDropDown="0" showInputMessage="0" showErrorMessage="1" allowBlank="1" type="list" errorStyle="stop">
      <formula1>'DADOS_RESTRICOES'!$U$2:$U$3</formula1>
    </dataValidation>
    <dataValidation sqref="M1409" showDropDown="0" showInputMessage="0" showErrorMessage="1" allowBlank="1" type="list" errorStyle="stop">
      <formula1>'DADOS_RESTRICOES'!$V$2:$V$25</formula1>
    </dataValidation>
    <dataValidation sqref="M1410" showDropDown="0" showInputMessage="0" showErrorMessage="1" allowBlank="1" type="list" errorStyle="stop">
      <formula1>'DADOS_RESTRICOES'!$T$2:$T$3</formula1>
    </dataValidation>
    <dataValidation sqref="M1411" showDropDown="0" showInputMessage="0" showErrorMessage="1" allowBlank="1" type="list" errorStyle="stop">
      <formula1>'DADOS_RESTRICOES'!$U$2:$U$3</formula1>
    </dataValidation>
    <dataValidation sqref="E1431" showDropDown="0" showInputMessage="0" showErrorMessage="1" allowBlank="1" type="list" errorStyle="stop">
      <formula1>'DADOS_RESTRICOES'!$V$2:$V$25</formula1>
    </dataValidation>
    <dataValidation sqref="E1432" showDropDown="0" showInputMessage="0" showErrorMessage="1" allowBlank="1" type="list" errorStyle="stop">
      <formula1>'DADOS_RESTRICOES'!$T$2:$T$3</formula1>
    </dataValidation>
    <dataValidation sqref="E1433" showDropDown="0" showInputMessage="0" showErrorMessage="1" allowBlank="1" type="list" errorStyle="stop">
      <formula1>'DADOS_RESTRICOES'!$U$2:$U$3</formula1>
    </dataValidation>
    <dataValidation sqref="M1431" showDropDown="0" showInputMessage="0" showErrorMessage="1" allowBlank="1" type="list" errorStyle="stop">
      <formula1>'DADOS_RESTRICOES'!$V$2:$V$25</formula1>
    </dataValidation>
    <dataValidation sqref="M1432" showDropDown="0" showInputMessage="0" showErrorMessage="1" allowBlank="1" type="list" errorStyle="stop">
      <formula1>'DADOS_RESTRICOES'!$T$2:$T$3</formula1>
    </dataValidation>
    <dataValidation sqref="M1433" showDropDown="0" showInputMessage="0" showErrorMessage="1" allowBlank="1" type="list" errorStyle="stop">
      <formula1>'DADOS_RESTRICOES'!$U$2:$U$3</formula1>
    </dataValidation>
    <dataValidation sqref="E1453" showDropDown="0" showInputMessage="0" showErrorMessage="1" allowBlank="1" type="list" errorStyle="stop">
      <formula1>'DADOS_RESTRICOES'!$V$2:$V$25</formula1>
    </dataValidation>
    <dataValidation sqref="E1454" showDropDown="0" showInputMessage="0" showErrorMessage="1" allowBlank="1" type="list" errorStyle="stop">
      <formula1>'DADOS_RESTRICOES'!$T$2:$T$3</formula1>
    </dataValidation>
    <dataValidation sqref="E1455" showDropDown="0" showInputMessage="0" showErrorMessage="1" allowBlank="1" type="list" errorStyle="stop">
      <formula1>'DADOS_RESTRICOES'!$U$2:$U$3</formula1>
    </dataValidation>
    <dataValidation sqref="M1453" showDropDown="0" showInputMessage="0" showErrorMessage="1" allowBlank="1" type="list" errorStyle="stop">
      <formula1>'DADOS_RESTRICOES'!$V$2:$V$25</formula1>
    </dataValidation>
    <dataValidation sqref="M1454" showDropDown="0" showInputMessage="0" showErrorMessage="1" allowBlank="1" type="list" errorStyle="stop">
      <formula1>'DADOS_RESTRICOES'!$T$2:$T$3</formula1>
    </dataValidation>
    <dataValidation sqref="M1455" showDropDown="0" showInputMessage="0" showErrorMessage="1" allowBlank="1" type="list" errorStyle="stop">
      <formula1>'DADOS_RESTRICOES'!$U$2:$U$3</formula1>
    </dataValidation>
    <dataValidation sqref="E1475" showDropDown="0" showInputMessage="0" showErrorMessage="1" allowBlank="1" type="list" errorStyle="stop">
      <formula1>'DADOS_RESTRICOES'!$V$2:$V$25</formula1>
    </dataValidation>
    <dataValidation sqref="E1476" showDropDown="0" showInputMessage="0" showErrorMessage="1" allowBlank="1" type="list" errorStyle="stop">
      <formula1>'DADOS_RESTRICOES'!$T$2:$T$3</formula1>
    </dataValidation>
    <dataValidation sqref="E1477" showDropDown="0" showInputMessage="0" showErrorMessage="1" allowBlank="1" type="list" errorStyle="stop">
      <formula1>'DADOS_RESTRICOES'!$U$2:$U$3</formula1>
    </dataValidation>
    <dataValidation sqref="M1475" showDropDown="0" showInputMessage="0" showErrorMessage="1" allowBlank="1" type="list" errorStyle="stop">
      <formula1>'DADOS_RESTRICOES'!$V$2:$V$25</formula1>
    </dataValidation>
    <dataValidation sqref="M1476" showDropDown="0" showInputMessage="0" showErrorMessage="1" allowBlank="1" type="list" errorStyle="stop">
      <formula1>'DADOS_RESTRICOES'!$T$2:$T$3</formula1>
    </dataValidation>
    <dataValidation sqref="M1477" showDropDown="0" showInputMessage="0" showErrorMessage="1" allowBlank="1" type="list" errorStyle="stop">
      <formula1>'DADOS_RESTRICOES'!$U$2:$U$3</formula1>
    </dataValidation>
    <dataValidation sqref="E1497" showDropDown="0" showInputMessage="0" showErrorMessage="1" allowBlank="1" type="list" errorStyle="stop">
      <formula1>'DADOS_RESTRICOES'!$V$2:$V$25</formula1>
    </dataValidation>
    <dataValidation sqref="E1498" showDropDown="0" showInputMessage="0" showErrorMessage="1" allowBlank="1" type="list" errorStyle="stop">
      <formula1>'DADOS_RESTRICOES'!$T$2:$T$3</formula1>
    </dataValidation>
    <dataValidation sqref="E1499" showDropDown="0" showInputMessage="0" showErrorMessage="1" allowBlank="1" type="list" errorStyle="stop">
      <formula1>'DADOS_RESTRICOES'!$U$2:$U$3</formula1>
    </dataValidation>
    <dataValidation sqref="M1497" showDropDown="0" showInputMessage="0" showErrorMessage="1" allowBlank="1" type="list" errorStyle="stop">
      <formula1>'DADOS_RESTRICOES'!$V$2:$V$25</formula1>
    </dataValidation>
    <dataValidation sqref="M1498" showDropDown="0" showInputMessage="0" showErrorMessage="1" allowBlank="1" type="list" errorStyle="stop">
      <formula1>'DADOS_RESTRICOES'!$T$2:$T$3</formula1>
    </dataValidation>
    <dataValidation sqref="M1499" showDropDown="0" showInputMessage="0" showErrorMessage="1" allowBlank="1" type="list" errorStyle="stop">
      <formula1>'DADOS_RESTRICOES'!$U$2:$U$3</formula1>
    </dataValidation>
    <dataValidation sqref="E1519" showDropDown="0" showInputMessage="0" showErrorMessage="1" allowBlank="1" type="list" errorStyle="stop">
      <formula1>'DADOS_RESTRICOES'!$V$2:$V$25</formula1>
    </dataValidation>
    <dataValidation sqref="E1520" showDropDown="0" showInputMessage="0" showErrorMessage="1" allowBlank="1" type="list" errorStyle="stop">
      <formula1>'DADOS_RESTRICOES'!$T$2:$T$3</formula1>
    </dataValidation>
    <dataValidation sqref="E1521" showDropDown="0" showInputMessage="0" showErrorMessage="1" allowBlank="1" type="list" errorStyle="stop">
      <formula1>'DADOS_RESTRICOES'!$U$2:$U$3</formula1>
    </dataValidation>
    <dataValidation sqref="M1519" showDropDown="0" showInputMessage="0" showErrorMessage="1" allowBlank="1" type="list" errorStyle="stop">
      <formula1>'DADOS_RESTRICOES'!$V$2:$V$25</formula1>
    </dataValidation>
    <dataValidation sqref="M1520" showDropDown="0" showInputMessage="0" showErrorMessage="1" allowBlank="1" type="list" errorStyle="stop">
      <formula1>'DADOS_RESTRICOES'!$T$2:$T$3</formula1>
    </dataValidation>
    <dataValidation sqref="M1521" showDropDown="0" showInputMessage="0" showErrorMessage="1" allowBlank="1" type="list" errorStyle="stop">
      <formula1>'DADOS_RESTRICOES'!$U$2:$U$3</formula1>
    </dataValidation>
    <dataValidation sqref="E1541" showDropDown="0" showInputMessage="0" showErrorMessage="1" allowBlank="1" type="list" errorStyle="stop">
      <formula1>'DADOS_RESTRICOES'!$V$2:$V$25</formula1>
    </dataValidation>
    <dataValidation sqref="E1542" showDropDown="0" showInputMessage="0" showErrorMessage="1" allowBlank="1" type="list" errorStyle="stop">
      <formula1>'DADOS_RESTRICOES'!$T$2:$T$3</formula1>
    </dataValidation>
    <dataValidation sqref="E1543" showDropDown="0" showInputMessage="0" showErrorMessage="1" allowBlank="1" type="list" errorStyle="stop">
      <formula1>'DADOS_RESTRICOES'!$U$2:$U$3</formula1>
    </dataValidation>
    <dataValidation sqref="M1541" showDropDown="0" showInputMessage="0" showErrorMessage="1" allowBlank="1" type="list" errorStyle="stop">
      <formula1>'DADOS_RESTRICOES'!$V$2:$V$25</formula1>
    </dataValidation>
    <dataValidation sqref="M1542" showDropDown="0" showInputMessage="0" showErrorMessage="1" allowBlank="1" type="list" errorStyle="stop">
      <formula1>'DADOS_RESTRICOES'!$T$2:$T$3</formula1>
    </dataValidation>
    <dataValidation sqref="M1543" showDropDown="0" showInputMessage="0" showErrorMessage="1" allowBlank="1" type="list" errorStyle="stop">
      <formula1>'DADOS_RESTRICOES'!$U$2:$U$3</formula1>
    </dataValidation>
    <dataValidation sqref="E1563" showDropDown="0" showInputMessage="0" showErrorMessage="1" allowBlank="1" type="list" errorStyle="stop">
      <formula1>'DADOS_RESTRICOES'!$V$2:$V$25</formula1>
    </dataValidation>
    <dataValidation sqref="E1564" showDropDown="0" showInputMessage="0" showErrorMessage="1" allowBlank="1" type="list" errorStyle="stop">
      <formula1>'DADOS_RESTRICOES'!$T$2:$T$3</formula1>
    </dataValidation>
    <dataValidation sqref="E1565" showDropDown="0" showInputMessage="0" showErrorMessage="1" allowBlank="1" type="list" errorStyle="stop">
      <formula1>'DADOS_RESTRICOES'!$U$2:$U$3</formula1>
    </dataValidation>
    <dataValidation sqref="M1563" showDropDown="0" showInputMessage="0" showErrorMessage="1" allowBlank="1" type="list" errorStyle="stop">
      <formula1>'DADOS_RESTRICOES'!$V$2:$V$25</formula1>
    </dataValidation>
    <dataValidation sqref="M1564" showDropDown="0" showInputMessage="0" showErrorMessage="1" allowBlank="1" type="list" errorStyle="stop">
      <formula1>'DADOS_RESTRICOES'!$T$2:$T$3</formula1>
    </dataValidation>
    <dataValidation sqref="M1565" showDropDown="0" showInputMessage="0" showErrorMessage="1" allowBlank="1" type="list" errorStyle="stop">
      <formula1>'DADOS_RESTRICOES'!$U$2:$U$3</formula1>
    </dataValidation>
    <dataValidation sqref="E1585" showDropDown="0" showInputMessage="0" showErrorMessage="1" allowBlank="1" type="list" errorStyle="stop">
      <formula1>'DADOS_RESTRICOES'!$V$2:$V$25</formula1>
    </dataValidation>
    <dataValidation sqref="E1586" showDropDown="0" showInputMessage="0" showErrorMessage="1" allowBlank="1" type="list" errorStyle="stop">
      <formula1>'DADOS_RESTRICOES'!$T$2:$T$3</formula1>
    </dataValidation>
    <dataValidation sqref="E1587" showDropDown="0" showInputMessage="0" showErrorMessage="1" allowBlank="1" type="list" errorStyle="stop">
      <formula1>'DADOS_RESTRICOES'!$U$2:$U$3</formula1>
    </dataValidation>
    <dataValidation sqref="M1585" showDropDown="0" showInputMessage="0" showErrorMessage="1" allowBlank="1" type="list" errorStyle="stop">
      <formula1>'DADOS_RESTRICOES'!$V$2:$V$25</formula1>
    </dataValidation>
    <dataValidation sqref="M1586" showDropDown="0" showInputMessage="0" showErrorMessage="1" allowBlank="1" type="list" errorStyle="stop">
      <formula1>'DADOS_RESTRICOES'!$T$2:$T$3</formula1>
    </dataValidation>
    <dataValidation sqref="M1587" showDropDown="0" showInputMessage="0" showErrorMessage="1" allowBlank="1" type="list" errorStyle="stop">
      <formula1>'DADOS_RESTRICOES'!$U$2:$U$3</formula1>
    </dataValidation>
    <dataValidation sqref="E1607" showDropDown="0" showInputMessage="0" showErrorMessage="1" allowBlank="1" type="list" errorStyle="stop">
      <formula1>'DADOS_RESTRICOES'!$V$2:$V$25</formula1>
    </dataValidation>
    <dataValidation sqref="E1608" showDropDown="0" showInputMessage="0" showErrorMessage="1" allowBlank="1" type="list" errorStyle="stop">
      <formula1>'DADOS_RESTRICOES'!$T$2:$T$3</formula1>
    </dataValidation>
    <dataValidation sqref="E1609" showDropDown="0" showInputMessage="0" showErrorMessage="1" allowBlank="1" type="list" errorStyle="stop">
      <formula1>'DADOS_RESTRICOES'!$U$2:$U$3</formula1>
    </dataValidation>
    <dataValidation sqref="M1607" showDropDown="0" showInputMessage="0" showErrorMessage="1" allowBlank="1" type="list" errorStyle="stop">
      <formula1>'DADOS_RESTRICOES'!$V$2:$V$25</formula1>
    </dataValidation>
    <dataValidation sqref="M1608" showDropDown="0" showInputMessage="0" showErrorMessage="1" allowBlank="1" type="list" errorStyle="stop">
      <formula1>'DADOS_RESTRICOES'!$T$2:$T$3</formula1>
    </dataValidation>
    <dataValidation sqref="M1609" showDropDown="0" showInputMessage="0" showErrorMessage="1" allowBlank="1" type="list" errorStyle="stop">
      <formula1>'DADOS_RESTRICOES'!$U$2:$U$3</formula1>
    </dataValidation>
    <dataValidation sqref="E1629" showDropDown="0" showInputMessage="0" showErrorMessage="1" allowBlank="1" type="list" errorStyle="stop">
      <formula1>'DADOS_RESTRICOES'!$V$2:$V$25</formula1>
    </dataValidation>
    <dataValidation sqref="E1630" showDropDown="0" showInputMessage="0" showErrorMessage="1" allowBlank="1" type="list" errorStyle="stop">
      <formula1>'DADOS_RESTRICOES'!$T$2:$T$3</formula1>
    </dataValidation>
    <dataValidation sqref="E1631" showDropDown="0" showInputMessage="0" showErrorMessage="1" allowBlank="1" type="list" errorStyle="stop">
      <formula1>'DADOS_RESTRICOES'!$U$2:$U$3</formula1>
    </dataValidation>
    <dataValidation sqref="M1629" showDropDown="0" showInputMessage="0" showErrorMessage="1" allowBlank="1" type="list" errorStyle="stop">
      <formula1>'DADOS_RESTRICOES'!$V$2:$V$25</formula1>
    </dataValidation>
    <dataValidation sqref="M1630" showDropDown="0" showInputMessage="0" showErrorMessage="1" allowBlank="1" type="list" errorStyle="stop">
      <formula1>'DADOS_RESTRICOES'!$T$2:$T$3</formula1>
    </dataValidation>
    <dataValidation sqref="M1631" showDropDown="0" showInputMessage="0" showErrorMessage="1" allowBlank="1" type="list" errorStyle="stop">
      <formula1>'DADOS_RESTRICOES'!$U$2:$U$3</formula1>
    </dataValidation>
    <dataValidation sqref="E1651" showDropDown="0" showInputMessage="0" showErrorMessage="1" allowBlank="1" type="list" errorStyle="stop">
      <formula1>'DADOS_RESTRICOES'!$V$2:$V$25</formula1>
    </dataValidation>
    <dataValidation sqref="E1652" showDropDown="0" showInputMessage="0" showErrorMessage="1" allowBlank="1" type="list" errorStyle="stop">
      <formula1>'DADOS_RESTRICOES'!$T$2:$T$3</formula1>
    </dataValidation>
    <dataValidation sqref="E1653" showDropDown="0" showInputMessage="0" showErrorMessage="1" allowBlank="1" type="list" errorStyle="stop">
      <formula1>'DADOS_RESTRICOES'!$U$2:$U$3</formula1>
    </dataValidation>
    <dataValidation sqref="M1651" showDropDown="0" showInputMessage="0" showErrorMessage="1" allowBlank="1" type="list" errorStyle="stop">
      <formula1>'DADOS_RESTRICOES'!$V$2:$V$25</formula1>
    </dataValidation>
    <dataValidation sqref="M1652" showDropDown="0" showInputMessage="0" showErrorMessage="1" allowBlank="1" type="list" errorStyle="stop">
      <formula1>'DADOS_RESTRICOES'!$T$2:$T$3</formula1>
    </dataValidation>
    <dataValidation sqref="M1653" showDropDown="0" showInputMessage="0" showErrorMessage="1" allowBlank="1" type="list" errorStyle="stop">
      <formula1>'DADOS_RESTRICOES'!$U$2:$U$3</formula1>
    </dataValidation>
    <dataValidation sqref="E1673" showDropDown="0" showInputMessage="0" showErrorMessage="1" allowBlank="1" type="list" errorStyle="stop">
      <formula1>'DADOS_RESTRICOES'!$V$2:$V$25</formula1>
    </dataValidation>
    <dataValidation sqref="E1674" showDropDown="0" showInputMessage="0" showErrorMessage="1" allowBlank="1" type="list" errorStyle="stop">
      <formula1>'DADOS_RESTRICOES'!$T$2:$T$3</formula1>
    </dataValidation>
    <dataValidation sqref="E1675" showDropDown="0" showInputMessage="0" showErrorMessage="1" allowBlank="1" type="list" errorStyle="stop">
      <formula1>'DADOS_RESTRICOES'!$U$2:$U$3</formula1>
    </dataValidation>
    <dataValidation sqref="M1673" showDropDown="0" showInputMessage="0" showErrorMessage="1" allowBlank="1" type="list" errorStyle="stop">
      <formula1>'DADOS_RESTRICOES'!$V$2:$V$25</formula1>
    </dataValidation>
    <dataValidation sqref="M1674" showDropDown="0" showInputMessage="0" showErrorMessage="1" allowBlank="1" type="list" errorStyle="stop">
      <formula1>'DADOS_RESTRICOES'!$T$2:$T$3</formula1>
    </dataValidation>
    <dataValidation sqref="M1675" showDropDown="0" showInputMessage="0" showErrorMessage="1" allowBlank="1" type="list" errorStyle="stop">
      <formula1>'DADOS_RESTRICOES'!$U$2:$U$3</formula1>
    </dataValidation>
    <dataValidation sqref="E1695" showDropDown="0" showInputMessage="0" showErrorMessage="1" allowBlank="1" type="list" errorStyle="stop">
      <formula1>'DADOS_RESTRICOES'!$V$2:$V$25</formula1>
    </dataValidation>
    <dataValidation sqref="E1696" showDropDown="0" showInputMessage="0" showErrorMessage="1" allowBlank="1" type="list" errorStyle="stop">
      <formula1>'DADOS_RESTRICOES'!$T$2:$T$3</formula1>
    </dataValidation>
    <dataValidation sqref="E1697" showDropDown="0" showInputMessage="0" showErrorMessage="1" allowBlank="1" type="list" errorStyle="stop">
      <formula1>'DADOS_RESTRICOES'!$U$2:$U$3</formula1>
    </dataValidation>
    <dataValidation sqref="M1695" showDropDown="0" showInputMessage="0" showErrorMessage="1" allowBlank="1" type="list" errorStyle="stop">
      <formula1>'DADOS_RESTRICOES'!$V$2:$V$25</formula1>
    </dataValidation>
    <dataValidation sqref="M1696" showDropDown="0" showInputMessage="0" showErrorMessage="1" allowBlank="1" type="list" errorStyle="stop">
      <formula1>'DADOS_RESTRICOES'!$T$2:$T$3</formula1>
    </dataValidation>
    <dataValidation sqref="M1697" showDropDown="0" showInputMessage="0" showErrorMessage="1" allowBlank="1" type="list" errorStyle="stop">
      <formula1>'DADOS_RESTRICOES'!$U$2:$U$3</formula1>
    </dataValidation>
    <dataValidation sqref="E1717" showDropDown="0" showInputMessage="0" showErrorMessage="1" allowBlank="1" type="list" errorStyle="stop">
      <formula1>'DADOS_RESTRICOES'!$V$2:$V$25</formula1>
    </dataValidation>
    <dataValidation sqref="E1718" showDropDown="0" showInputMessage="0" showErrorMessage="1" allowBlank="1" type="list" errorStyle="stop">
      <formula1>'DADOS_RESTRICOES'!$T$2:$T$3</formula1>
    </dataValidation>
    <dataValidation sqref="E1719" showDropDown="0" showInputMessage="0" showErrorMessage="1" allowBlank="1" type="list" errorStyle="stop">
      <formula1>'DADOS_RESTRICOES'!$U$2:$U$3</formula1>
    </dataValidation>
    <dataValidation sqref="M1717" showDropDown="0" showInputMessage="0" showErrorMessage="1" allowBlank="1" type="list" errorStyle="stop">
      <formula1>'DADOS_RESTRICOES'!$V$2:$V$25</formula1>
    </dataValidation>
    <dataValidation sqref="M1718" showDropDown="0" showInputMessage="0" showErrorMessage="1" allowBlank="1" type="list" errorStyle="stop">
      <formula1>'DADOS_RESTRICOES'!$T$2:$T$3</formula1>
    </dataValidation>
    <dataValidation sqref="M1719" showDropDown="0" showInputMessage="0" showErrorMessage="1" allowBlank="1" type="list" errorStyle="stop">
      <formula1>'DADOS_RESTRICOES'!$U$2:$U$3</formula1>
    </dataValidation>
    <dataValidation sqref="B1013" showDropDown="0" showInputMessage="0" showErrorMessage="1" allowBlank="1" type="list" errorStyle="stop">
      <formula1>'DADOS_MELHORIAS'!$BT$2:$BT$3</formula1>
    </dataValidation>
    <dataValidation sqref="J1013" showDropDown="0" showInputMessage="0" showErrorMessage="1" allowBlank="1" type="list" errorStyle="stop">
      <formula1>'DADOS_MELHORIAS'!$BT$2:$BT$3</formula1>
    </dataValidation>
    <dataValidation sqref="B1039" showDropDown="0" showInputMessage="0" showErrorMessage="1" allowBlank="1" type="list" errorStyle="stop">
      <formula1>'DADOS_MELHORIAS'!$BT$2:$BT$3</formula1>
    </dataValidation>
    <dataValidation sqref="J1039" showDropDown="0" showInputMessage="0" showErrorMessage="1" allowBlank="1" type="list" errorStyle="stop">
      <formula1>'DADOS_MELHORIAS'!$BT$2:$BT$3</formula1>
    </dataValidation>
    <dataValidation sqref="B1065" showDropDown="0" showInputMessage="0" showErrorMessage="1" allowBlank="1" type="list" errorStyle="stop">
      <formula1>'DADOS_MELHORIAS'!$BT$2:$BT$3</formula1>
    </dataValidation>
    <dataValidation sqref="J1065" showDropDown="0" showInputMessage="0" showErrorMessage="1" allowBlank="1" type="list" errorStyle="stop">
      <formula1>'DADOS_MELHORIAS'!$BT$2:$BT$3</formula1>
    </dataValidation>
    <dataValidation sqref="B1091" showDropDown="0" showInputMessage="0" showErrorMessage="1" allowBlank="1" type="list" errorStyle="stop">
      <formula1>'DADOS_MELHORIAS'!$BT$2:$BT$3</formula1>
    </dataValidation>
    <dataValidation sqref="J1091" showDropDown="0" showInputMessage="0" showErrorMessage="1" allowBlank="1" type="list" errorStyle="stop">
      <formula1>'DADOS_MELHORIAS'!$BT$2:$BT$3</formula1>
    </dataValidation>
    <dataValidation sqref="B1117" showDropDown="0" showInputMessage="0" showErrorMessage="1" allowBlank="1" type="list" errorStyle="stop">
      <formula1>'DADOS_MELHORIAS'!$BT$2:$BT$3</formula1>
    </dataValidation>
    <dataValidation sqref="J1117" showDropDown="0" showInputMessage="0" showErrorMessage="1" allowBlank="1" type="list" errorStyle="stop">
      <formula1>'DADOS_MELHORIAS'!$BT$2:$BT$3</formula1>
    </dataValidation>
    <dataValidation sqref="B1143" showDropDown="0" showInputMessage="0" showErrorMessage="1" allowBlank="1" type="list" errorStyle="stop">
      <formula1>'DADOS_MELHORIAS'!$BT$2:$BT$3</formula1>
    </dataValidation>
    <dataValidation sqref="J1143" showDropDown="0" showInputMessage="0" showErrorMessage="1" allowBlank="1" type="list" errorStyle="stop">
      <formula1>'DADOS_MELHORIAS'!$BT$2:$BT$3</formula1>
    </dataValidation>
    <dataValidation sqref="B1169" showDropDown="0" showInputMessage="0" showErrorMessage="1" allowBlank="1" type="list" errorStyle="stop">
      <formula1>'DADOS_MELHORIAS'!$BT$2:$BT$3</formula1>
    </dataValidation>
    <dataValidation sqref="J1169" showDropDown="0" showInputMessage="0" showErrorMessage="1" allowBlank="1" type="list" errorStyle="stop">
      <formula1>'DADOS_MELHORIAS'!$BT$2:$BT$3</formula1>
    </dataValidation>
    <dataValidation sqref="B1195" showDropDown="0" showInputMessage="0" showErrorMessage="1" allowBlank="1" type="list" errorStyle="stop">
      <formula1>'DADOS_MELHORIAS'!$BT$2:$BT$3</formula1>
    </dataValidation>
    <dataValidation sqref="J1195" showDropDown="0" showInputMessage="0" showErrorMessage="1" allowBlank="1" type="list" errorStyle="stop">
      <formula1>'DADOS_MELHORIAS'!$BT$2:$BT$3</formula1>
    </dataValidation>
    <dataValidation sqref="B1221" showDropDown="0" showInputMessage="0" showErrorMessage="1" allowBlank="1" type="list" errorStyle="stop">
      <formula1>'DADOS_MELHORIAS'!$BT$2:$BT$3</formula1>
    </dataValidation>
    <dataValidation sqref="J1221" showDropDown="0" showInputMessage="0" showErrorMessage="1" allowBlank="1" type="list" errorStyle="stop">
      <formula1>'DADOS_MELHORIAS'!$BT$2:$BT$3</formula1>
    </dataValidation>
    <dataValidation sqref="B1247" showDropDown="0" showInputMessage="0" showErrorMessage="1" allowBlank="1" type="list" errorStyle="stop">
      <formula1>'DADOS_MELHORIAS'!$BT$2:$BT$3</formula1>
    </dataValidation>
    <dataValidation sqref="J1247" showDropDown="0" showInputMessage="0" showErrorMessage="1" allowBlank="1" type="list" errorStyle="stop">
      <formula1>'DADOS_MELHORIAS'!$BT$2:$BT$3</formula1>
    </dataValidation>
    <dataValidation sqref="B1273" showDropDown="0" showInputMessage="0" showErrorMessage="1" allowBlank="1" type="list" errorStyle="stop">
      <formula1>'DADOS_MELHORIAS'!$BT$2:$BT$3</formula1>
    </dataValidation>
    <dataValidation sqref="J1273" showDropDown="0" showInputMessage="0" showErrorMessage="1" allowBlank="1" type="list" errorStyle="stop">
      <formula1>'DADOS_MELHORIAS'!$BT$2:$BT$3</formula1>
    </dataValidation>
    <dataValidation sqref="B1299" showDropDown="0" showInputMessage="0" showErrorMessage="1" allowBlank="1" type="list" errorStyle="stop">
      <formula1>'DADOS_MELHORIAS'!$BT$2:$BT$3</formula1>
    </dataValidation>
    <dataValidation sqref="J1299" showDropDown="0" showInputMessage="0" showErrorMessage="1" allowBlank="1" type="list" errorStyle="stop">
      <formula1>'DADOS_MELHORIAS'!$BT$2:$BT$3</formula1>
    </dataValidation>
    <dataValidation sqref="B1325" showDropDown="0" showInputMessage="0" showErrorMessage="1" allowBlank="1" type="list" errorStyle="stop">
      <formula1>'DADOS_MELHORIAS'!$BT$2:$BT$3</formula1>
    </dataValidation>
    <dataValidation sqref="J1325" showDropDown="0" showInputMessage="0" showErrorMessage="1" allowBlank="1" type="list" errorStyle="stop">
      <formula1>'DADOS_MELHORIAS'!$BT$2:$BT$3</formula1>
    </dataValidation>
    <dataValidation sqref="B1351" showDropDown="0" showInputMessage="0" showErrorMessage="1" allowBlank="1" type="list" errorStyle="stop">
      <formula1>'DADOS_MELHORIAS'!$BT$2:$BT$3</formula1>
    </dataValidation>
    <dataValidation sqref="J1351" showDropDown="0" showInputMessage="0" showErrorMessage="1" allowBlank="1" type="list" errorStyle="stop">
      <formula1>'DADOS_MELHORIAS'!$BT$2:$BT$3</formula1>
    </dataValidation>
    <dataValidation sqref="B1377" showDropDown="0" showInputMessage="0" showErrorMessage="1" allowBlank="1" type="list" errorStyle="stop">
      <formula1>'DADOS_MELHORIAS'!$BT$2:$BT$3</formula1>
    </dataValidation>
    <dataValidation sqref="J1377" showDropDown="0" showInputMessage="0" showErrorMessage="1" allowBlank="1" type="list" errorStyle="stop">
      <formula1>'DADOS_MELHORIAS'!$BT$2:$BT$3</formula1>
    </dataValidation>
    <dataValidation sqref="B1882" showDropDown="0" showInputMessage="0" showErrorMessage="1" allowBlank="1" type="list" errorStyle="stop">
      <formula1>'DADOS_FORMAS'!$JQ$2:$JQ$2</formula1>
    </dataValidation>
    <dataValidation sqref="E1885" showDropDown="0" showInputMessage="0" showErrorMessage="1" allowBlank="1" type="list" errorStyle="stop">
      <formula1>'DADOS_FORMAS'!$JR$2:$JR$12</formula1>
    </dataValidation>
    <dataValidation sqref="E1887" showDropDown="0" showInputMessage="0" showErrorMessage="1" allowBlank="1" type="list" errorStyle="stop">
      <formula1>'DADOS_FORMAS'!$JS$2:$JS$5</formula1>
    </dataValidation>
    <dataValidation sqref="E1888" showDropDown="0" showInputMessage="0" showErrorMessage="1" allowBlank="1" type="list" errorStyle="stop">
      <formula1>'DADOS_FORMAS'!$JT$2:$JT$4</formula1>
    </dataValidation>
    <dataValidation sqref="E1889" showDropDown="0" showInputMessage="0" showErrorMessage="1" allowBlank="1" type="list" errorStyle="stop">
      <formula1>'DADOS_FORMAS'!$JU$2:$JU$5</formula1>
    </dataValidation>
    <dataValidation sqref="E1890" showDropDown="0" showInputMessage="0" showErrorMessage="1" allowBlank="1" type="list" errorStyle="stop">
      <formula1>'DADOS_FORMAS'!$JV$2:$JV$3</formula1>
    </dataValidation>
    <dataValidation sqref="E1891" showDropDown="0" showInputMessage="0" showErrorMessage="1" allowBlank="1" type="list" errorStyle="stop">
      <formula1>'DADOS_FORMAS'!$JW$2:$JW$3</formula1>
    </dataValidation>
    <dataValidation sqref="E1893" showDropDown="0" showInputMessage="0" showErrorMessage="1" allowBlank="1" type="list" errorStyle="stop">
      <formula1>'DADOS_FORMAS'!$JX$2:$JX$3</formula1>
    </dataValidation>
    <dataValidation sqref="E1894" showDropDown="0" showInputMessage="0" showErrorMessage="1" allowBlank="1" type="list" errorStyle="stop">
      <formula1>'DADOS_FORMAS'!$JY$2:$JY$4</formula1>
    </dataValidation>
    <dataValidation sqref="J1882" showDropDown="0" showInputMessage="0" showErrorMessage="1" allowBlank="1" type="list" errorStyle="stop">
      <formula1>'DADOS_FORMAS'!$JQ$2:$JQ$2</formula1>
    </dataValidation>
    <dataValidation sqref="M1885" showDropDown="0" showInputMessage="0" showErrorMessage="1" allowBlank="1" type="list" errorStyle="stop">
      <formula1>'DADOS_FORMAS'!$JR$2:$JR$12</formula1>
    </dataValidation>
    <dataValidation sqref="M1887" showDropDown="0" showInputMessage="0" showErrorMessage="1" allowBlank="1" type="list" errorStyle="stop">
      <formula1>'DADOS_FORMAS'!$JS$2:$JS$5</formula1>
    </dataValidation>
    <dataValidation sqref="M1888" showDropDown="0" showInputMessage="0" showErrorMessage="1" allowBlank="1" type="list" errorStyle="stop">
      <formula1>'DADOS_FORMAS'!$JT$2:$JT$4</formula1>
    </dataValidation>
    <dataValidation sqref="M1889" showDropDown="0" showInputMessage="0" showErrorMessage="1" allowBlank="1" type="list" errorStyle="stop">
      <formula1>'DADOS_FORMAS'!$JU$2:$JU$5</formula1>
    </dataValidation>
    <dataValidation sqref="M1890" showDropDown="0" showInputMessage="0" showErrorMessage="1" allowBlank="1" type="list" errorStyle="stop">
      <formula1>'DADOS_FORMAS'!$JV$2:$JV$3</formula1>
    </dataValidation>
    <dataValidation sqref="M1891" showDropDown="0" showInputMessage="0" showErrorMessage="1" allowBlank="1" type="list" errorStyle="stop">
      <formula1>'DADOS_FORMAS'!$JW$2:$JW$3</formula1>
    </dataValidation>
    <dataValidation sqref="M1893" showDropDown="0" showInputMessage="0" showErrorMessage="1" allowBlank="1" type="list" errorStyle="stop">
      <formula1>'DADOS_FORMAS'!$JX$2:$JX$3</formula1>
    </dataValidation>
    <dataValidation sqref="M1894" showDropDown="0" showInputMessage="0" showErrorMessage="1" allowBlank="1" type="list" errorStyle="stop">
      <formula1>'DADOS_FORMAS'!$JY$2:$JY$4</formula1>
    </dataValidation>
    <dataValidation sqref="B1928" showDropDown="0" showInputMessage="0" showErrorMessage="1" allowBlank="1" type="list" errorStyle="stop">
      <formula1>'DADOS_FORMAS'!$JQ$2:$JQ$2</formula1>
    </dataValidation>
    <dataValidation sqref="E1931" showDropDown="0" showInputMessage="0" showErrorMessage="1" allowBlank="1" type="list" errorStyle="stop">
      <formula1>'DADOS_FORMAS'!$JR$2:$JR$12</formula1>
    </dataValidation>
    <dataValidation sqref="E1933" showDropDown="0" showInputMessage="0" showErrorMessage="1" allowBlank="1" type="list" errorStyle="stop">
      <formula1>'DADOS_FORMAS'!$JS$2:$JS$5</formula1>
    </dataValidation>
    <dataValidation sqref="E1934" showDropDown="0" showInputMessage="0" showErrorMessage="1" allowBlank="1" type="list" errorStyle="stop">
      <formula1>'DADOS_FORMAS'!$JT$2:$JT$4</formula1>
    </dataValidation>
    <dataValidation sqref="E1935" showDropDown="0" showInputMessage="0" showErrorMessage="1" allowBlank="1" type="list" errorStyle="stop">
      <formula1>'DADOS_FORMAS'!$JU$2:$JU$5</formula1>
    </dataValidation>
    <dataValidation sqref="E1936" showDropDown="0" showInputMessage="0" showErrorMessage="1" allowBlank="1" type="list" errorStyle="stop">
      <formula1>'DADOS_FORMAS'!$JV$2:$JV$3</formula1>
    </dataValidation>
    <dataValidation sqref="E1937" showDropDown="0" showInputMessage="0" showErrorMessage="1" allowBlank="1" type="list" errorStyle="stop">
      <formula1>'DADOS_FORMAS'!$JW$2:$JW$3</formula1>
    </dataValidation>
    <dataValidation sqref="E1939" showDropDown="0" showInputMessage="0" showErrorMessage="1" allowBlank="1" type="list" errorStyle="stop">
      <formula1>'DADOS_FORMAS'!$JX$2:$JX$3</formula1>
    </dataValidation>
    <dataValidation sqref="E1940" showDropDown="0" showInputMessage="0" showErrorMessage="1" allowBlank="1" type="list" errorStyle="stop">
      <formula1>'DADOS_FORMAS'!$JY$2:$JY$4</formula1>
    </dataValidation>
    <dataValidation sqref="J1928" showDropDown="0" showInputMessage="0" showErrorMessage="1" allowBlank="1" type="list" errorStyle="stop">
      <formula1>'DADOS_FORMAS'!$JQ$2:$JQ$2</formula1>
    </dataValidation>
    <dataValidation sqref="M1931" showDropDown="0" showInputMessage="0" showErrorMessage="1" allowBlank="1" type="list" errorStyle="stop">
      <formula1>'DADOS_FORMAS'!$JR$2:$JR$12</formula1>
    </dataValidation>
    <dataValidation sqref="M1933" showDropDown="0" showInputMessage="0" showErrorMessage="1" allowBlank="1" type="list" errorStyle="stop">
      <formula1>'DADOS_FORMAS'!$JS$2:$JS$5</formula1>
    </dataValidation>
    <dataValidation sqref="M1934" showDropDown="0" showInputMessage="0" showErrorMessage="1" allowBlank="1" type="list" errorStyle="stop">
      <formula1>'DADOS_FORMAS'!$JT$2:$JT$4</formula1>
    </dataValidation>
    <dataValidation sqref="M1935" showDropDown="0" showInputMessage="0" showErrorMessage="1" allowBlank="1" type="list" errorStyle="stop">
      <formula1>'DADOS_FORMAS'!$JU$2:$JU$5</formula1>
    </dataValidation>
    <dataValidation sqref="M1936" showDropDown="0" showInputMessage="0" showErrorMessage="1" allowBlank="1" type="list" errorStyle="stop">
      <formula1>'DADOS_FORMAS'!$JV$2:$JV$3</formula1>
    </dataValidation>
    <dataValidation sqref="M1937" showDropDown="0" showInputMessage="0" showErrorMessage="1" allowBlank="1" type="list" errorStyle="stop">
      <formula1>'DADOS_FORMAS'!$JW$2:$JW$3</formula1>
    </dataValidation>
    <dataValidation sqref="M1939" showDropDown="0" showInputMessage="0" showErrorMessage="1" allowBlank="1" type="list" errorStyle="stop">
      <formula1>'DADOS_FORMAS'!$JX$2:$JX$3</formula1>
    </dataValidation>
    <dataValidation sqref="M1940" showDropDown="0" showInputMessage="0" showErrorMessage="1" allowBlank="1" type="list" errorStyle="stop">
      <formula1>'DADOS_FORMAS'!$JY$2:$JY$4</formula1>
    </dataValidation>
    <dataValidation sqref="B1974" showDropDown="0" showInputMessage="0" showErrorMessage="1" allowBlank="1" type="list" errorStyle="stop">
      <formula1>'DADOS_FORMAS'!$JQ$2:$JQ$2</formula1>
    </dataValidation>
    <dataValidation sqref="E1977" showDropDown="0" showInputMessage="0" showErrorMessage="1" allowBlank="1" type="list" errorStyle="stop">
      <formula1>'DADOS_FORMAS'!$JR$2:$JR$12</formula1>
    </dataValidation>
    <dataValidation sqref="E1979" showDropDown="0" showInputMessage="0" showErrorMessage="1" allowBlank="1" type="list" errorStyle="stop">
      <formula1>'DADOS_FORMAS'!$JS$2:$JS$5</formula1>
    </dataValidation>
    <dataValidation sqref="E1980" showDropDown="0" showInputMessage="0" showErrorMessage="1" allowBlank="1" type="list" errorStyle="stop">
      <formula1>'DADOS_FORMAS'!$JT$2:$JT$4</formula1>
    </dataValidation>
    <dataValidation sqref="E1981" showDropDown="0" showInputMessage="0" showErrorMessage="1" allowBlank="1" type="list" errorStyle="stop">
      <formula1>'DADOS_FORMAS'!$JU$2:$JU$5</formula1>
    </dataValidation>
    <dataValidation sqref="E1982" showDropDown="0" showInputMessage="0" showErrorMessage="1" allowBlank="1" type="list" errorStyle="stop">
      <formula1>'DADOS_FORMAS'!$JV$2:$JV$3</formula1>
    </dataValidation>
    <dataValidation sqref="E1983" showDropDown="0" showInputMessage="0" showErrorMessage="1" allowBlank="1" type="list" errorStyle="stop">
      <formula1>'DADOS_FORMAS'!$JW$2:$JW$3</formula1>
    </dataValidation>
    <dataValidation sqref="E1985" showDropDown="0" showInputMessage="0" showErrorMessage="1" allowBlank="1" type="list" errorStyle="stop">
      <formula1>'DADOS_FORMAS'!$JX$2:$JX$3</formula1>
    </dataValidation>
    <dataValidation sqref="E1986" showDropDown="0" showInputMessage="0" showErrorMessage="1" allowBlank="1" type="list" errorStyle="stop">
      <formula1>'DADOS_FORMAS'!$JY$2:$JY$4</formula1>
    </dataValidation>
    <dataValidation sqref="J1974" showDropDown="0" showInputMessage="0" showErrorMessage="1" allowBlank="1" type="list" errorStyle="stop">
      <formula1>'DADOS_FORMAS'!$JQ$2:$JQ$2</formula1>
    </dataValidation>
    <dataValidation sqref="M1977" showDropDown="0" showInputMessage="0" showErrorMessage="1" allowBlank="1" type="list" errorStyle="stop">
      <formula1>'DADOS_FORMAS'!$JR$2:$JR$12</formula1>
    </dataValidation>
    <dataValidation sqref="M1979" showDropDown="0" showInputMessage="0" showErrorMessage="1" allowBlank="1" type="list" errorStyle="stop">
      <formula1>'DADOS_FORMAS'!$JS$2:$JS$5</formula1>
    </dataValidation>
    <dataValidation sqref="M1980" showDropDown="0" showInputMessage="0" showErrorMessage="1" allowBlank="1" type="list" errorStyle="stop">
      <formula1>'DADOS_FORMAS'!$JT$2:$JT$4</formula1>
    </dataValidation>
    <dataValidation sqref="M1981" showDropDown="0" showInputMessage="0" showErrorMessage="1" allowBlank="1" type="list" errorStyle="stop">
      <formula1>'DADOS_FORMAS'!$JU$2:$JU$5</formula1>
    </dataValidation>
    <dataValidation sqref="M1982" showDropDown="0" showInputMessage="0" showErrorMessage="1" allowBlank="1" type="list" errorStyle="stop">
      <formula1>'DADOS_FORMAS'!$JV$2:$JV$3</formula1>
    </dataValidation>
    <dataValidation sqref="M1983" showDropDown="0" showInputMessage="0" showErrorMessage="1" allowBlank="1" type="list" errorStyle="stop">
      <formula1>'DADOS_FORMAS'!$JW$2:$JW$3</formula1>
    </dataValidation>
    <dataValidation sqref="M1985" showDropDown="0" showInputMessage="0" showErrorMessage="1" allowBlank="1" type="list" errorStyle="stop">
      <formula1>'DADOS_FORMAS'!$JX$2:$JX$3</formula1>
    </dataValidation>
    <dataValidation sqref="M1986" showDropDown="0" showInputMessage="0" showErrorMessage="1" allowBlank="1" type="list" errorStyle="stop">
      <formula1>'DADOS_FORMAS'!$JY$2:$JY$4</formula1>
    </dataValidation>
    <dataValidation sqref="B2020" showDropDown="0" showInputMessage="0" showErrorMessage="1" allowBlank="1" type="list" errorStyle="stop">
      <formula1>'DADOS_FORMAS'!$JQ$2:$JQ$2</formula1>
    </dataValidation>
    <dataValidation sqref="E2023" showDropDown="0" showInputMessage="0" showErrorMessage="1" allowBlank="1" type="list" errorStyle="stop">
      <formula1>'DADOS_FORMAS'!$JR$2:$JR$12</formula1>
    </dataValidation>
    <dataValidation sqref="E2025" showDropDown="0" showInputMessage="0" showErrorMessage="1" allowBlank="1" type="list" errorStyle="stop">
      <formula1>'DADOS_FORMAS'!$JS$2:$JS$5</formula1>
    </dataValidation>
    <dataValidation sqref="E2026" showDropDown="0" showInputMessage="0" showErrorMessage="1" allowBlank="1" type="list" errorStyle="stop">
      <formula1>'DADOS_FORMAS'!$JT$2:$JT$4</formula1>
    </dataValidation>
    <dataValidation sqref="E2027" showDropDown="0" showInputMessage="0" showErrorMessage="1" allowBlank="1" type="list" errorStyle="stop">
      <formula1>'DADOS_FORMAS'!$JU$2:$JU$5</formula1>
    </dataValidation>
    <dataValidation sqref="E2028" showDropDown="0" showInputMessage="0" showErrorMessage="1" allowBlank="1" type="list" errorStyle="stop">
      <formula1>'DADOS_FORMAS'!$JV$2:$JV$3</formula1>
    </dataValidation>
    <dataValidation sqref="E2029" showDropDown="0" showInputMessage="0" showErrorMessage="1" allowBlank="1" type="list" errorStyle="stop">
      <formula1>'DADOS_FORMAS'!$JW$2:$JW$3</formula1>
    </dataValidation>
    <dataValidation sqref="E2031" showDropDown="0" showInputMessage="0" showErrorMessage="1" allowBlank="1" type="list" errorStyle="stop">
      <formula1>'DADOS_FORMAS'!$JX$2:$JX$3</formula1>
    </dataValidation>
    <dataValidation sqref="E2032" showDropDown="0" showInputMessage="0" showErrorMessage="1" allowBlank="1" type="list" errorStyle="stop">
      <formula1>'DADOS_FORMAS'!$JY$2:$JY$4</formula1>
    </dataValidation>
    <dataValidation sqref="J2020" showDropDown="0" showInputMessage="0" showErrorMessage="1" allowBlank="1" type="list" errorStyle="stop">
      <formula1>'DADOS_FORMAS'!$JQ$2:$JQ$2</formula1>
    </dataValidation>
    <dataValidation sqref="M2023" showDropDown="0" showInputMessage="0" showErrorMessage="1" allowBlank="1" type="list" errorStyle="stop">
      <formula1>'DADOS_FORMAS'!$JR$2:$JR$12</formula1>
    </dataValidation>
    <dataValidation sqref="M2025" showDropDown="0" showInputMessage="0" showErrorMessage="1" allowBlank="1" type="list" errorStyle="stop">
      <formula1>'DADOS_FORMAS'!$JS$2:$JS$5</formula1>
    </dataValidation>
    <dataValidation sqref="M2026" showDropDown="0" showInputMessage="0" showErrorMessage="1" allowBlank="1" type="list" errorStyle="stop">
      <formula1>'DADOS_FORMAS'!$JT$2:$JT$4</formula1>
    </dataValidation>
    <dataValidation sqref="M2027" showDropDown="0" showInputMessage="0" showErrorMessage="1" allowBlank="1" type="list" errorStyle="stop">
      <formula1>'DADOS_FORMAS'!$JU$2:$JU$5</formula1>
    </dataValidation>
    <dataValidation sqref="M2028" showDropDown="0" showInputMessage="0" showErrorMessage="1" allowBlank="1" type="list" errorStyle="stop">
      <formula1>'DADOS_FORMAS'!$JV$2:$JV$3</formula1>
    </dataValidation>
    <dataValidation sqref="M2029" showDropDown="0" showInputMessage="0" showErrorMessage="1" allowBlank="1" type="list" errorStyle="stop">
      <formula1>'DADOS_FORMAS'!$JW$2:$JW$3</formula1>
    </dataValidation>
    <dataValidation sqref="M2031" showDropDown="0" showInputMessage="0" showErrorMessage="1" allowBlank="1" type="list" errorStyle="stop">
      <formula1>'DADOS_FORMAS'!$JX$2:$JX$3</formula1>
    </dataValidation>
    <dataValidation sqref="M2032" showDropDown="0" showInputMessage="0" showErrorMessage="1" allowBlank="1" type="list" errorStyle="stop">
      <formula1>'DADOS_FORMAS'!$JY$2:$JY$4</formula1>
    </dataValidation>
    <dataValidation sqref="B2066" showDropDown="0" showInputMessage="0" showErrorMessage="1" allowBlank="1" type="list" errorStyle="stop">
      <formula1>'DADOS_FORMAS'!$JQ$2:$JQ$2</formula1>
    </dataValidation>
    <dataValidation sqref="E2069" showDropDown="0" showInputMessage="0" showErrorMessage="1" allowBlank="1" type="list" errorStyle="stop">
      <formula1>'DADOS_FORMAS'!$JR$2:$JR$12</formula1>
    </dataValidation>
    <dataValidation sqref="E2071" showDropDown="0" showInputMessage="0" showErrorMessage="1" allowBlank="1" type="list" errorStyle="stop">
      <formula1>'DADOS_FORMAS'!$JS$2:$JS$5</formula1>
    </dataValidation>
    <dataValidation sqref="E2072" showDropDown="0" showInputMessage="0" showErrorMessage="1" allowBlank="1" type="list" errorStyle="stop">
      <formula1>'DADOS_FORMAS'!$JT$2:$JT$4</formula1>
    </dataValidation>
    <dataValidation sqref="E2073" showDropDown="0" showInputMessage="0" showErrorMessage="1" allowBlank="1" type="list" errorStyle="stop">
      <formula1>'DADOS_FORMAS'!$JU$2:$JU$5</formula1>
    </dataValidation>
    <dataValidation sqref="E2074" showDropDown="0" showInputMessage="0" showErrorMessage="1" allowBlank="1" type="list" errorStyle="stop">
      <formula1>'DADOS_FORMAS'!$JV$2:$JV$3</formula1>
    </dataValidation>
    <dataValidation sqref="E2075" showDropDown="0" showInputMessage="0" showErrorMessage="1" allowBlank="1" type="list" errorStyle="stop">
      <formula1>'DADOS_FORMAS'!$JW$2:$JW$3</formula1>
    </dataValidation>
    <dataValidation sqref="E2077" showDropDown="0" showInputMessage="0" showErrorMessage="1" allowBlank="1" type="list" errorStyle="stop">
      <formula1>'DADOS_FORMAS'!$JX$2:$JX$3</formula1>
    </dataValidation>
    <dataValidation sqref="E2078" showDropDown="0" showInputMessage="0" showErrorMessage="1" allowBlank="1" type="list" errorStyle="stop">
      <formula1>'DADOS_FORMAS'!$JY$2:$JY$4</formula1>
    </dataValidation>
    <dataValidation sqref="J2066" showDropDown="0" showInputMessage="0" showErrorMessage="1" allowBlank="1" type="list" errorStyle="stop">
      <formula1>'DADOS_FORMAS'!$JQ$2:$JQ$2</formula1>
    </dataValidation>
    <dataValidation sqref="M2069" showDropDown="0" showInputMessage="0" showErrorMessage="1" allowBlank="1" type="list" errorStyle="stop">
      <formula1>'DADOS_FORMAS'!$JR$2:$JR$12</formula1>
    </dataValidation>
    <dataValidation sqref="M2071" showDropDown="0" showInputMessage="0" showErrorMessage="1" allowBlank="1" type="list" errorStyle="stop">
      <formula1>'DADOS_FORMAS'!$JS$2:$JS$5</formula1>
    </dataValidation>
    <dataValidation sqref="M2072" showDropDown="0" showInputMessage="0" showErrorMessage="1" allowBlank="1" type="list" errorStyle="stop">
      <formula1>'DADOS_FORMAS'!$JT$2:$JT$4</formula1>
    </dataValidation>
    <dataValidation sqref="M2073" showDropDown="0" showInputMessage="0" showErrorMessage="1" allowBlank="1" type="list" errorStyle="stop">
      <formula1>'DADOS_FORMAS'!$JU$2:$JU$5</formula1>
    </dataValidation>
    <dataValidation sqref="M2074" showDropDown="0" showInputMessage="0" showErrorMessage="1" allowBlank="1" type="list" errorStyle="stop">
      <formula1>'DADOS_FORMAS'!$JV$2:$JV$3</formula1>
    </dataValidation>
    <dataValidation sqref="M2075" showDropDown="0" showInputMessage="0" showErrorMessage="1" allowBlank="1" type="list" errorStyle="stop">
      <formula1>'DADOS_FORMAS'!$JW$2:$JW$3</formula1>
    </dataValidation>
    <dataValidation sqref="M2077" showDropDown="0" showInputMessage="0" showErrorMessage="1" allowBlank="1" type="list" errorStyle="stop">
      <formula1>'DADOS_FORMAS'!$JX$2:$JX$3</formula1>
    </dataValidation>
    <dataValidation sqref="M2078" showDropDown="0" showInputMessage="0" showErrorMessage="1" allowBlank="1" type="list" errorStyle="stop">
      <formula1>'DADOS_FORMAS'!$JY$2:$JY$4</formula1>
    </dataValidation>
    <dataValidation sqref="B2118" showDropDown="0" showInputMessage="0" showErrorMessage="1" allowBlank="1" type="list" errorStyle="stop">
      <formula1>'DADOS_APTIDOES'!$BP$2:$BP$3</formula1>
    </dataValidation>
    <dataValidation sqref="E2121" showDropDown="0" showInputMessage="0" showErrorMessage="1" allowBlank="1" type="list" errorStyle="stop">
      <formula1>'DADOS_APTIDOES'!$BQ$2:$BQ$36</formula1>
    </dataValidation>
    <dataValidation sqref="E2122" showDropDown="0" showInputMessage="0" showErrorMessage="1" allowBlank="1" type="list" errorStyle="stop">
      <formula1>'DADOS_APTIDOES'!$BR$2:$BR$5</formula1>
    </dataValidation>
    <dataValidation sqref="E2123" showDropDown="0" showInputMessage="0" showErrorMessage="1" allowBlank="1" type="list" errorStyle="stop">
      <formula1>'DADOS_APTIDOES'!$BS$2:$BS$31</formula1>
    </dataValidation>
    <dataValidation sqref="E2124" showDropDown="0" showInputMessage="0" showErrorMessage="1" allowBlank="1" type="list" errorStyle="stop">
      <formula1>'DADOS_APTIDOES'!$BT$2:$BT$11</formula1>
    </dataValidation>
    <dataValidation sqref="E2125" showDropDown="0" showInputMessage="0" showErrorMessage="1" allowBlank="1" type="list" errorStyle="stop">
      <formula1>'DADOS_APTIDOES'!$BU$2:$BU$3</formula1>
    </dataValidation>
    <dataValidation sqref="J2118" showDropDown="0" showInputMessage="0" showErrorMessage="1" allowBlank="1" type="list" errorStyle="stop">
      <formula1>'DADOS_APTIDOES'!$BP$2:$BP$3</formula1>
    </dataValidation>
    <dataValidation sqref="M2121" showDropDown="0" showInputMessage="0" showErrorMessage="1" allowBlank="1" type="list" errorStyle="stop">
      <formula1>'DADOS_APTIDOES'!$BQ$2:$BQ$36</formula1>
    </dataValidation>
    <dataValidation sqref="M2122" showDropDown="0" showInputMessage="0" showErrorMessage="1" allowBlank="1" type="list" errorStyle="stop">
      <formula1>'DADOS_APTIDOES'!$BR$2:$BR$5</formula1>
    </dataValidation>
    <dataValidation sqref="M2123" showDropDown="0" showInputMessage="0" showErrorMessage="1" allowBlank="1" type="list" errorStyle="stop">
      <formula1>'DADOS_APTIDOES'!$BS$2:$BS$31</formula1>
    </dataValidation>
    <dataValidation sqref="M2124" showDropDown="0" showInputMessage="0" showErrorMessage="1" allowBlank="1" type="list" errorStyle="stop">
      <formula1>'DADOS_APTIDOES'!$BT$2:$BT$11</formula1>
    </dataValidation>
    <dataValidation sqref="M2125" showDropDown="0" showInputMessage="0" showErrorMessage="1" allowBlank="1" type="list" errorStyle="stop">
      <formula1>'DADOS_APTIDOES'!$BU$2:$BU$3</formula1>
    </dataValidation>
    <dataValidation sqref="B2145" showDropDown="0" showInputMessage="0" showErrorMessage="1" allowBlank="1" type="list" errorStyle="stop">
      <formula1>'DADOS_APTIDOES'!$BP$2:$BP$3</formula1>
    </dataValidation>
    <dataValidation sqref="E2148" showDropDown="0" showInputMessage="0" showErrorMessage="1" allowBlank="1" type="list" errorStyle="stop">
      <formula1>'DADOS_APTIDOES'!$BQ$2:$BQ$36</formula1>
    </dataValidation>
    <dataValidation sqref="E2149" showDropDown="0" showInputMessage="0" showErrorMessage="1" allowBlank="1" type="list" errorStyle="stop">
      <formula1>'DADOS_APTIDOES'!$BR$2:$BR$5</formula1>
    </dataValidation>
    <dataValidation sqref="E2150" showDropDown="0" showInputMessage="0" showErrorMessage="1" allowBlank="1" type="list" errorStyle="stop">
      <formula1>'DADOS_APTIDOES'!$BS$2:$BS$31</formula1>
    </dataValidation>
    <dataValidation sqref="E2151" showDropDown="0" showInputMessage="0" showErrorMessage="1" allowBlank="1" type="list" errorStyle="stop">
      <formula1>'DADOS_APTIDOES'!$BT$2:$BT$11</formula1>
    </dataValidation>
    <dataValidation sqref="E2152" showDropDown="0" showInputMessage="0" showErrorMessage="1" allowBlank="1" type="list" errorStyle="stop">
      <formula1>'DADOS_APTIDOES'!$BU$2:$BU$3</formula1>
    </dataValidation>
    <dataValidation sqref="J2145" showDropDown="0" showInputMessage="0" showErrorMessage="1" allowBlank="1" type="list" errorStyle="stop">
      <formula1>'DADOS_APTIDOES'!$BP$2:$BP$3</formula1>
    </dataValidation>
    <dataValidation sqref="M2148" showDropDown="0" showInputMessage="0" showErrorMessage="1" allowBlank="1" type="list" errorStyle="stop">
      <formula1>'DADOS_APTIDOES'!$BQ$2:$BQ$36</formula1>
    </dataValidation>
    <dataValidation sqref="M2149" showDropDown="0" showInputMessage="0" showErrorMessage="1" allowBlank="1" type="list" errorStyle="stop">
      <formula1>'DADOS_APTIDOES'!$BR$2:$BR$5</formula1>
    </dataValidation>
    <dataValidation sqref="M2150" showDropDown="0" showInputMessage="0" showErrorMessage="1" allowBlank="1" type="list" errorStyle="stop">
      <formula1>'DADOS_APTIDOES'!$BS$2:$BS$31</formula1>
    </dataValidation>
    <dataValidation sqref="M2151" showDropDown="0" showInputMessage="0" showErrorMessage="1" allowBlank="1" type="list" errorStyle="stop">
      <formula1>'DADOS_APTIDOES'!$BT$2:$BT$11</formula1>
    </dataValidation>
    <dataValidation sqref="M2152" showDropDown="0" showInputMessage="0" showErrorMessage="1" allowBlank="1" type="list" errorStyle="stop">
      <formula1>'DADOS_APTIDOES'!$BU$2:$BU$3</formula1>
    </dataValidation>
    <dataValidation sqref="B2172" showDropDown="0" showInputMessage="0" showErrorMessage="1" allowBlank="1" type="list" errorStyle="stop">
      <formula1>'DADOS_APTIDOES'!$BP$2:$BP$3</formula1>
    </dataValidation>
    <dataValidation sqref="E2175" showDropDown="0" showInputMessage="0" showErrorMessage="1" allowBlank="1" type="list" errorStyle="stop">
      <formula1>'DADOS_APTIDOES'!$BQ$2:$BQ$36</formula1>
    </dataValidation>
    <dataValidation sqref="E2176" showDropDown="0" showInputMessage="0" showErrorMessage="1" allowBlank="1" type="list" errorStyle="stop">
      <formula1>'DADOS_APTIDOES'!$BR$2:$BR$5</formula1>
    </dataValidation>
    <dataValidation sqref="E2177" showDropDown="0" showInputMessage="0" showErrorMessage="1" allowBlank="1" type="list" errorStyle="stop">
      <formula1>'DADOS_APTIDOES'!$BS$2:$BS$31</formula1>
    </dataValidation>
    <dataValidation sqref="E2178" showDropDown="0" showInputMessage="0" showErrorMessage="1" allowBlank="1" type="list" errorStyle="stop">
      <formula1>'DADOS_APTIDOES'!$BT$2:$BT$11</formula1>
    </dataValidation>
    <dataValidation sqref="E2179" showDropDown="0" showInputMessage="0" showErrorMessage="1" allowBlank="1" type="list" errorStyle="stop">
      <formula1>'DADOS_APTIDOES'!$BU$2:$BU$3</formula1>
    </dataValidation>
    <dataValidation sqref="J2172" showDropDown="0" showInputMessage="0" showErrorMessage="1" allowBlank="1" type="list" errorStyle="stop">
      <formula1>'DADOS_APTIDOES'!$BP$2:$BP$3</formula1>
    </dataValidation>
    <dataValidation sqref="M2175" showDropDown="0" showInputMessage="0" showErrorMessage="1" allowBlank="1" type="list" errorStyle="stop">
      <formula1>'DADOS_APTIDOES'!$BQ$2:$BQ$36</formula1>
    </dataValidation>
    <dataValidation sqref="M2176" showDropDown="0" showInputMessage="0" showErrorMessage="1" allowBlank="1" type="list" errorStyle="stop">
      <formula1>'DADOS_APTIDOES'!$BR$2:$BR$5</formula1>
    </dataValidation>
    <dataValidation sqref="M2177" showDropDown="0" showInputMessage="0" showErrorMessage="1" allowBlank="1" type="list" errorStyle="stop">
      <formula1>'DADOS_APTIDOES'!$BS$2:$BS$31</formula1>
    </dataValidation>
    <dataValidation sqref="M2178" showDropDown="0" showInputMessage="0" showErrorMessage="1" allowBlank="1" type="list" errorStyle="stop">
      <formula1>'DADOS_APTIDOES'!$BT$2:$BT$11</formula1>
    </dataValidation>
    <dataValidation sqref="M2179" showDropDown="0" showInputMessage="0" showErrorMessage="1" allowBlank="1" type="list" errorStyle="stop">
      <formula1>'DADOS_APTIDOES'!$BU$2:$BU$3</formula1>
    </dataValidation>
    <dataValidation sqref="B2199" showDropDown="0" showInputMessage="0" showErrorMessage="1" allowBlank="1" type="list" errorStyle="stop">
      <formula1>'DADOS_APTIDOES'!$BP$2:$BP$3</formula1>
    </dataValidation>
    <dataValidation sqref="E2202" showDropDown="0" showInputMessage="0" showErrorMessage="1" allowBlank="1" type="list" errorStyle="stop">
      <formula1>'DADOS_APTIDOES'!$BQ$2:$BQ$36</formula1>
    </dataValidation>
    <dataValidation sqref="E2203" showDropDown="0" showInputMessage="0" showErrorMessage="1" allowBlank="1" type="list" errorStyle="stop">
      <formula1>'DADOS_APTIDOES'!$BR$2:$BR$5</formula1>
    </dataValidation>
    <dataValidation sqref="E2204" showDropDown="0" showInputMessage="0" showErrorMessage="1" allowBlank="1" type="list" errorStyle="stop">
      <formula1>'DADOS_APTIDOES'!$BS$2:$BS$31</formula1>
    </dataValidation>
    <dataValidation sqref="E2205" showDropDown="0" showInputMessage="0" showErrorMessage="1" allowBlank="1" type="list" errorStyle="stop">
      <formula1>'DADOS_APTIDOES'!$BT$2:$BT$11</formula1>
    </dataValidation>
    <dataValidation sqref="E2206" showDropDown="0" showInputMessage="0" showErrorMessage="1" allowBlank="1" type="list" errorStyle="stop">
      <formula1>'DADOS_APTIDOES'!$BU$2:$BU$3</formula1>
    </dataValidation>
    <dataValidation sqref="J2199" showDropDown="0" showInputMessage="0" showErrorMessage="1" allowBlank="1" type="list" errorStyle="stop">
      <formula1>'DADOS_APTIDOES'!$BP$2:$BP$3</formula1>
    </dataValidation>
    <dataValidation sqref="M2202" showDropDown="0" showInputMessage="0" showErrorMessage="1" allowBlank="1" type="list" errorStyle="stop">
      <formula1>'DADOS_APTIDOES'!$BQ$2:$BQ$36</formula1>
    </dataValidation>
    <dataValidation sqref="M2203" showDropDown="0" showInputMessage="0" showErrorMessage="1" allowBlank="1" type="list" errorStyle="stop">
      <formula1>'DADOS_APTIDOES'!$BR$2:$BR$5</formula1>
    </dataValidation>
    <dataValidation sqref="M2204" showDropDown="0" showInputMessage="0" showErrorMessage="1" allowBlank="1" type="list" errorStyle="stop">
      <formula1>'DADOS_APTIDOES'!$BS$2:$BS$31</formula1>
    </dataValidation>
    <dataValidation sqref="M2205" showDropDown="0" showInputMessage="0" showErrorMessage="1" allowBlank="1" type="list" errorStyle="stop">
      <formula1>'DADOS_APTIDOES'!$BT$2:$BT$11</formula1>
    </dataValidation>
    <dataValidation sqref="M2206" showDropDown="0" showInputMessage="0" showErrorMessage="1" allowBlank="1" type="list" errorStyle="stop">
      <formula1>'DADOS_APTIDOES'!$BU$2:$BU$3</formula1>
    </dataValidation>
    <dataValidation sqref="B2226" showDropDown="0" showInputMessage="0" showErrorMessage="1" allowBlank="1" type="list" errorStyle="stop">
      <formula1>'DADOS_APTIDOES'!$BP$2:$BP$3</formula1>
    </dataValidation>
    <dataValidation sqref="E2229" showDropDown="0" showInputMessage="0" showErrorMessage="1" allowBlank="1" type="list" errorStyle="stop">
      <formula1>'DADOS_APTIDOES'!$BQ$2:$BQ$36</formula1>
    </dataValidation>
    <dataValidation sqref="E2230" showDropDown="0" showInputMessage="0" showErrorMessage="1" allowBlank="1" type="list" errorStyle="stop">
      <formula1>'DADOS_APTIDOES'!$BR$2:$BR$5</formula1>
    </dataValidation>
    <dataValidation sqref="E2231" showDropDown="0" showInputMessage="0" showErrorMessage="1" allowBlank="1" type="list" errorStyle="stop">
      <formula1>'DADOS_APTIDOES'!$BS$2:$BS$31</formula1>
    </dataValidation>
    <dataValidation sqref="E2232" showDropDown="0" showInputMessage="0" showErrorMessage="1" allowBlank="1" type="list" errorStyle="stop">
      <formula1>'DADOS_APTIDOES'!$BT$2:$BT$11</formula1>
    </dataValidation>
    <dataValidation sqref="E2233" showDropDown="0" showInputMessage="0" showErrorMessage="1" allowBlank="1" type="list" errorStyle="stop">
      <formula1>'DADOS_APTIDOES'!$BU$2:$BU$3</formula1>
    </dataValidation>
    <dataValidation sqref="J2226" showDropDown="0" showInputMessage="0" showErrorMessage="1" allowBlank="1" type="list" errorStyle="stop">
      <formula1>'DADOS_APTIDOES'!$BP$2:$BP$3</formula1>
    </dataValidation>
    <dataValidation sqref="M2229" showDropDown="0" showInputMessage="0" showErrorMessage="1" allowBlank="1" type="list" errorStyle="stop">
      <formula1>'DADOS_APTIDOES'!$BQ$2:$BQ$36</formula1>
    </dataValidation>
    <dataValidation sqref="M2230" showDropDown="0" showInputMessage="0" showErrorMessage="1" allowBlank="1" type="list" errorStyle="stop">
      <formula1>'DADOS_APTIDOES'!$BR$2:$BR$5</formula1>
    </dataValidation>
    <dataValidation sqref="M2231" showDropDown="0" showInputMessage="0" showErrorMessage="1" allowBlank="1" type="list" errorStyle="stop">
      <formula1>'DADOS_APTIDOES'!$BS$2:$BS$31</formula1>
    </dataValidation>
    <dataValidation sqref="M2232" showDropDown="0" showInputMessage="0" showErrorMessage="1" allowBlank="1" type="list" errorStyle="stop">
      <formula1>'DADOS_APTIDOES'!$BT$2:$BT$11</formula1>
    </dataValidation>
    <dataValidation sqref="M2233" showDropDown="0" showInputMessage="0" showErrorMessage="1" allowBlank="1" type="list" errorStyle="stop">
      <formula1>'DADOS_APTIDOES'!$BU$2:$BU$3</formula1>
    </dataValidation>
    <dataValidation sqref="B2259" showDropDown="0" showInputMessage="0" showErrorMessage="1" allowBlank="1" type="list" errorStyle="stop">
      <formula1>'DADOS_TALENTOS'!$AX$2:$AX$2</formula1>
    </dataValidation>
    <dataValidation sqref="E2262" showDropDown="0" showInputMessage="0" showErrorMessage="1" allowBlank="1" type="list" errorStyle="stop">
      <formula1>'DADOS_TALENTOS'!$AY$2:$AY$25</formula1>
    </dataValidation>
    <dataValidation sqref="E2263" showDropDown="0" showInputMessage="0" showErrorMessage="1" allowBlank="1" type="list" errorStyle="stop">
      <formula1>'DADOS_TALENTOS'!$AZ$2:$AZ$4</formula1>
    </dataValidation>
    <dataValidation sqref="E2264" showDropDown="0" showInputMessage="0" showErrorMessage="1" allowBlank="1" type="list" errorStyle="stop">
      <formula1>'DADOS_TALENTOS'!$BA$2:$BA$4</formula1>
    </dataValidation>
    <dataValidation sqref="J2259" showDropDown="0" showInputMessage="0" showErrorMessage="1" allowBlank="1" type="list" errorStyle="stop">
      <formula1>'DADOS_TALENTOS'!$AX$2:$AX$2</formula1>
    </dataValidation>
    <dataValidation sqref="M2262" showDropDown="0" showInputMessage="0" showErrorMessage="1" allowBlank="1" type="list" errorStyle="stop">
      <formula1>'DADOS_TALENTOS'!$AY$2:$AY$25</formula1>
    </dataValidation>
    <dataValidation sqref="M2263" showDropDown="0" showInputMessage="0" showErrorMessage="1" allowBlank="1" type="list" errorStyle="stop">
      <formula1>'DADOS_TALENTOS'!$AZ$2:$AZ$4</formula1>
    </dataValidation>
    <dataValidation sqref="M2264" showDropDown="0" showInputMessage="0" showErrorMessage="1" allowBlank="1" type="list" errorStyle="stop">
      <formula1>'DADOS_TALENTOS'!$BA$2:$BA$4</formula1>
    </dataValidation>
    <dataValidation sqref="B2284" showDropDown="0" showInputMessage="0" showErrorMessage="1" allowBlank="1" type="list" errorStyle="stop">
      <formula1>'DADOS_TALENTOS'!$AX$2:$AX$2</formula1>
    </dataValidation>
    <dataValidation sqref="E2287" showDropDown="0" showInputMessage="0" showErrorMessage="1" allowBlank="1" type="list" errorStyle="stop">
      <formula1>'DADOS_TALENTOS'!$AY$2:$AY$25</formula1>
    </dataValidation>
    <dataValidation sqref="E2288" showDropDown="0" showInputMessage="0" showErrorMessage="1" allowBlank="1" type="list" errorStyle="stop">
      <formula1>'DADOS_TALENTOS'!$AZ$2:$AZ$4</formula1>
    </dataValidation>
    <dataValidation sqref="E2289" showDropDown="0" showInputMessage="0" showErrorMessage="1" allowBlank="1" type="list" errorStyle="stop">
      <formula1>'DADOS_TALENTOS'!$BA$2:$BA$4</formula1>
    </dataValidation>
    <dataValidation sqref="J2284" showDropDown="0" showInputMessage="0" showErrorMessage="1" allowBlank="1" type="list" errorStyle="stop">
      <formula1>'DADOS_TALENTOS'!$AX$2:$AX$2</formula1>
    </dataValidation>
    <dataValidation sqref="M2287" showDropDown="0" showInputMessage="0" showErrorMessage="1" allowBlank="1" type="list" errorStyle="stop">
      <formula1>'DADOS_TALENTOS'!$AY$2:$AY$25</formula1>
    </dataValidation>
    <dataValidation sqref="M2288" showDropDown="0" showInputMessage="0" showErrorMessage="1" allowBlank="1" type="list" errorStyle="stop">
      <formula1>'DADOS_TALENTOS'!$AZ$2:$AZ$4</formula1>
    </dataValidation>
    <dataValidation sqref="M2289" showDropDown="0" showInputMessage="0" showErrorMessage="1" allowBlank="1" type="list" errorStyle="stop">
      <formula1>'DADOS_TALENTOS'!$BA$2:$BA$4</formula1>
    </dataValidation>
    <dataValidation sqref="B2309" showDropDown="0" showInputMessage="0" showErrorMessage="1" allowBlank="1" type="list" errorStyle="stop">
      <formula1>'DADOS_TALENTOS'!$AX$2:$AX$2</formula1>
    </dataValidation>
    <dataValidation sqref="E2312" showDropDown="0" showInputMessage="0" showErrorMessage="1" allowBlank="1" type="list" errorStyle="stop">
      <formula1>'DADOS_TALENTOS'!$AY$2:$AY$25</formula1>
    </dataValidation>
    <dataValidation sqref="E2313" showDropDown="0" showInputMessage="0" showErrorMessage="1" allowBlank="1" type="list" errorStyle="stop">
      <formula1>'DADOS_TALENTOS'!$AZ$2:$AZ$4</formula1>
    </dataValidation>
    <dataValidation sqref="E2314" showDropDown="0" showInputMessage="0" showErrorMessage="1" allowBlank="1" type="list" errorStyle="stop">
      <formula1>'DADOS_TALENTOS'!$BA$2:$BA$4</formula1>
    </dataValidation>
    <dataValidation sqref="J2309" showDropDown="0" showInputMessage="0" showErrorMessage="1" allowBlank="1" type="list" errorStyle="stop">
      <formula1>'DADOS_TALENTOS'!$AX$2:$AX$2</formula1>
    </dataValidation>
    <dataValidation sqref="M2312" showDropDown="0" showInputMessage="0" showErrorMessage="1" allowBlank="1" type="list" errorStyle="stop">
      <formula1>'DADOS_TALENTOS'!$AY$2:$AY$25</formula1>
    </dataValidation>
    <dataValidation sqref="M2313" showDropDown="0" showInputMessage="0" showErrorMessage="1" allowBlank="1" type="list" errorStyle="stop">
      <formula1>'DADOS_TALENTOS'!$AZ$2:$AZ$4</formula1>
    </dataValidation>
    <dataValidation sqref="M2314" showDropDown="0" showInputMessage="0" showErrorMessage="1" allowBlank="1" type="list" errorStyle="stop">
      <formula1>'DADOS_TALENTOS'!$BA$2:$BA$4</formula1>
    </dataValidation>
    <dataValidation sqref="B2334" showDropDown="0" showInputMessage="0" showErrorMessage="1" allowBlank="1" type="list" errorStyle="stop">
      <formula1>'DADOS_TALENTOS'!$AX$2:$AX$2</formula1>
    </dataValidation>
    <dataValidation sqref="E2337" showDropDown="0" showInputMessage="0" showErrorMessage="1" allowBlank="1" type="list" errorStyle="stop">
      <formula1>'DADOS_TALENTOS'!$AY$2:$AY$25</formula1>
    </dataValidation>
    <dataValidation sqref="E2338" showDropDown="0" showInputMessage="0" showErrorMessage="1" allowBlank="1" type="list" errorStyle="stop">
      <formula1>'DADOS_TALENTOS'!$AZ$2:$AZ$4</formula1>
    </dataValidation>
    <dataValidation sqref="E2339" showDropDown="0" showInputMessage="0" showErrorMessage="1" allowBlank="1" type="list" errorStyle="stop">
      <formula1>'DADOS_TALENTOS'!$BA$2:$BA$4</formula1>
    </dataValidation>
    <dataValidation sqref="J2334" showDropDown="0" showInputMessage="0" showErrorMessage="1" allowBlank="1" type="list" errorStyle="stop">
      <formula1>'DADOS_TALENTOS'!$AX$2:$AX$2</formula1>
    </dataValidation>
    <dataValidation sqref="M2337" showDropDown="0" showInputMessage="0" showErrorMessage="1" allowBlank="1" type="list" errorStyle="stop">
      <formula1>'DADOS_TALENTOS'!$AY$2:$AY$25</formula1>
    </dataValidation>
    <dataValidation sqref="M2338" showDropDown="0" showInputMessage="0" showErrorMessage="1" allowBlank="1" type="list" errorStyle="stop">
      <formula1>'DADOS_TALENTOS'!$AZ$2:$AZ$4</formula1>
    </dataValidation>
    <dataValidation sqref="M2339" showDropDown="0" showInputMessage="0" showErrorMessage="1" allowBlank="1" type="list" errorStyle="stop">
      <formula1>'DADOS_TALENTOS'!$BA$2:$BA$4</formula1>
    </dataValidation>
    <dataValidation sqref="B2359" showDropDown="0" showInputMessage="0" showErrorMessage="1" allowBlank="1" type="list" errorStyle="stop">
      <formula1>'DADOS_TALENTOS'!$AX$2:$AX$2</formula1>
    </dataValidation>
    <dataValidation sqref="E2362" showDropDown="0" showInputMessage="0" showErrorMessage="1" allowBlank="1" type="list" errorStyle="stop">
      <formula1>'DADOS_TALENTOS'!$AY$2:$AY$25</formula1>
    </dataValidation>
    <dataValidation sqref="E2363" showDropDown="0" showInputMessage="0" showErrorMessage="1" allowBlank="1" type="list" errorStyle="stop">
      <formula1>'DADOS_TALENTOS'!$AZ$2:$AZ$4</formula1>
    </dataValidation>
    <dataValidation sqref="E2364" showDropDown="0" showInputMessage="0" showErrorMessage="1" allowBlank="1" type="list" errorStyle="stop">
      <formula1>'DADOS_TALENTOS'!$BA$2:$BA$4</formula1>
    </dataValidation>
    <dataValidation sqref="J2359" showDropDown="0" showInputMessage="0" showErrorMessage="1" allowBlank="1" type="list" errorStyle="stop">
      <formula1>'DADOS_TALENTOS'!$AX$2:$AX$2</formula1>
    </dataValidation>
    <dataValidation sqref="M2362" showDropDown="0" showInputMessage="0" showErrorMessage="1" allowBlank="1" type="list" errorStyle="stop">
      <formula1>'DADOS_TALENTOS'!$AY$2:$AY$25</formula1>
    </dataValidation>
    <dataValidation sqref="M2363" showDropDown="0" showInputMessage="0" showErrorMessage="1" allowBlank="1" type="list" errorStyle="stop">
      <formula1>'DADOS_TALENTOS'!$AZ$2:$AZ$4</formula1>
    </dataValidation>
    <dataValidation sqref="M2364" showDropDown="0" showInputMessage="0" showErrorMessage="1" allowBlank="1" type="list" errorStyle="stop">
      <formula1>'DADOS_TALENTOS'!$BA$2:$BA$4</formula1>
    </dataValidation>
    <dataValidation sqref="E1886" showDropDown="0" showInputMessage="0" showErrorMessage="1" allowBlank="1" type="list" errorStyle="stop">
      <formula1>'DADOS_FORMAS'!$JZ$2:$JZ$21</formula1>
    </dataValidation>
    <dataValidation sqref="E1892" showDropDown="0" showInputMessage="0" showErrorMessage="1" allowBlank="1" type="list" errorStyle="stop">
      <formula1>'DADOS_FORMAS'!$KA$2:$KA$55</formula1>
    </dataValidation>
    <dataValidation sqref="M1886" showDropDown="0" showInputMessage="0" showErrorMessage="1" allowBlank="1" type="list" errorStyle="stop">
      <formula1>'DADOS_FORMAS'!$JZ$2:$JZ$21</formula1>
    </dataValidation>
    <dataValidation sqref="M1892" showDropDown="0" showInputMessage="0" showErrorMessage="1" allowBlank="1" type="list" errorStyle="stop">
      <formula1>'DADOS_FORMAS'!$KA$2:$KA$55</formula1>
    </dataValidation>
    <dataValidation sqref="E1932" showDropDown="0" showInputMessage="0" showErrorMessage="1" allowBlank="1" type="list" errorStyle="stop">
      <formula1>'DADOS_FORMAS'!$JZ$2:$JZ$21</formula1>
    </dataValidation>
    <dataValidation sqref="E1938" showDropDown="0" showInputMessage="0" showErrorMessage="1" allowBlank="1" type="list" errorStyle="stop">
      <formula1>'DADOS_FORMAS'!$KA$2:$KA$55</formula1>
    </dataValidation>
    <dataValidation sqref="M1932" showDropDown="0" showInputMessage="0" showErrorMessage="1" allowBlank="1" type="list" errorStyle="stop">
      <formula1>'DADOS_FORMAS'!$JZ$2:$JZ$21</formula1>
    </dataValidation>
    <dataValidation sqref="M1938" showDropDown="0" showInputMessage="0" showErrorMessage="1" allowBlank="1" type="list" errorStyle="stop">
      <formula1>'DADOS_FORMAS'!$KA$2:$KA$55</formula1>
    </dataValidation>
    <dataValidation sqref="E1978" showDropDown="0" showInputMessage="0" showErrorMessage="1" allowBlank="1" type="list" errorStyle="stop">
      <formula1>'DADOS_FORMAS'!$JZ$2:$JZ$21</formula1>
    </dataValidation>
    <dataValidation sqref="E1984" showDropDown="0" showInputMessage="0" showErrorMessage="1" allowBlank="1" type="list" errorStyle="stop">
      <formula1>'DADOS_FORMAS'!$KA$2:$KA$55</formula1>
    </dataValidation>
    <dataValidation sqref="M1978" showDropDown="0" showInputMessage="0" showErrorMessage="1" allowBlank="1" type="list" errorStyle="stop">
      <formula1>'DADOS_FORMAS'!$JZ$2:$JZ$21</formula1>
    </dataValidation>
    <dataValidation sqref="M1984" showDropDown="0" showInputMessage="0" showErrorMessage="1" allowBlank="1" type="list" errorStyle="stop">
      <formula1>'DADOS_FORMAS'!$KA$2:$KA$55</formula1>
    </dataValidation>
    <dataValidation sqref="E2024" showDropDown="0" showInputMessage="0" showErrorMessage="1" allowBlank="1" type="list" errorStyle="stop">
      <formula1>'DADOS_FORMAS'!$JZ$2:$JZ$21</formula1>
    </dataValidation>
    <dataValidation sqref="E2030" showDropDown="0" showInputMessage="0" showErrorMessage="1" allowBlank="1" type="list" errorStyle="stop">
      <formula1>'DADOS_FORMAS'!$KA$2:$KA$55</formula1>
    </dataValidation>
    <dataValidation sqref="M2024" showDropDown="0" showInputMessage="0" showErrorMessage="1" allowBlank="1" type="list" errorStyle="stop">
      <formula1>'DADOS_FORMAS'!$JZ$2:$JZ$21</formula1>
    </dataValidation>
    <dataValidation sqref="M2030" showDropDown="0" showInputMessage="0" showErrorMessage="1" allowBlank="1" type="list" errorStyle="stop">
      <formula1>'DADOS_FORMAS'!$KA$2:$KA$55</formula1>
    </dataValidation>
    <dataValidation sqref="E2070" showDropDown="0" showInputMessage="0" showErrorMessage="1" allowBlank="1" type="list" errorStyle="stop">
      <formula1>'DADOS_FORMAS'!$JZ$2:$JZ$21</formula1>
    </dataValidation>
    <dataValidation sqref="E2076" showDropDown="0" showInputMessage="0" showErrorMessage="1" allowBlank="1" type="list" errorStyle="stop">
      <formula1>'DADOS_FORMAS'!$KA$2:$KA$55</formula1>
    </dataValidation>
    <dataValidation sqref="M2070" showDropDown="0" showInputMessage="0" showErrorMessage="1" allowBlank="1" type="list" errorStyle="stop">
      <formula1>'DADOS_FORMAS'!$JZ$2:$JZ$21</formula1>
    </dataValidation>
    <dataValidation sqref="M2076" showDropDown="0" showInputMessage="0" showErrorMessage="1" allowBlank="1" type="list" errorStyle="stop">
      <formula1>'DADOS_FORMAS'!$KA$2:$KA$55</formula1>
    </dataValidation>
    <dataValidation sqref="E2392" showDropDown="0" showInputMessage="0" showErrorMessage="1" allowBlank="1" type="list" errorStyle="stop">
      <formula1>'DADOS_ENTIDADES'!$U$2:$U$7</formula1>
    </dataValidation>
    <dataValidation sqref="E2393" showDropDown="0" showInputMessage="0" showErrorMessage="1" allowBlank="1" type="list" errorStyle="stop">
      <formula1>'DADOS_ENTIDADES'!$R$2:$R$3</formula1>
    </dataValidation>
    <dataValidation sqref="E2394" showDropDown="0" showInputMessage="0" showErrorMessage="1" allowBlank="1" type="list" errorStyle="stop">
      <formula1>'DADOS_ENTIDADES'!$S$2:$S$3</formula1>
    </dataValidation>
    <dataValidation sqref="E2396" showDropDown="0" showInputMessage="0" showErrorMessage="1" allowBlank="1" type="list" errorStyle="stop">
      <formula1>'DADOS_ENTIDADES'!$T$2:$T$3</formula1>
    </dataValidation>
    <dataValidation sqref="M2392" showDropDown="0" showInputMessage="0" showErrorMessage="1" allowBlank="1" type="list" errorStyle="stop">
      <formula1>'DADOS_ENTIDADES'!$U$2:$U$7</formula1>
    </dataValidation>
    <dataValidation sqref="M2393" showDropDown="0" showInputMessage="0" showErrorMessage="1" allowBlank="1" type="list" errorStyle="stop">
      <formula1>'DADOS_ENTIDADES'!$R$2:$R$3</formula1>
    </dataValidation>
    <dataValidation sqref="M2394" showDropDown="0" showInputMessage="0" showErrorMessage="1" allowBlank="1" type="list" errorStyle="stop">
      <formula1>'DADOS_ENTIDADES'!$S$2:$S$3</formula1>
    </dataValidation>
    <dataValidation sqref="M2396" showDropDown="0" showInputMessage="0" showErrorMessage="1" allowBlank="1" type="list" errorStyle="stop">
      <formula1>'DADOS_ENTIDADES'!$T$2:$T$3</formula1>
    </dataValidation>
    <dataValidation sqref="E2420" showDropDown="0" showInputMessage="0" showErrorMessage="1" allowBlank="1" type="list" errorStyle="stop">
      <formula1>'DADOS_ENTIDADES'!$U$2:$U$7</formula1>
    </dataValidation>
    <dataValidation sqref="E2421" showDropDown="0" showInputMessage="0" showErrorMessage="1" allowBlank="1" type="list" errorStyle="stop">
      <formula1>'DADOS_ENTIDADES'!$R$2:$R$3</formula1>
    </dataValidation>
    <dataValidation sqref="E2422" showDropDown="0" showInputMessage="0" showErrorMessage="1" allowBlank="1" type="list" errorStyle="stop">
      <formula1>'DADOS_ENTIDADES'!$S$2:$S$3</formula1>
    </dataValidation>
    <dataValidation sqref="E2424" showDropDown="0" showInputMessage="0" showErrorMessage="1" allowBlank="1" type="list" errorStyle="stop">
      <formula1>'DADOS_ENTIDADES'!$T$2:$T$3</formula1>
    </dataValidation>
    <dataValidation sqref="M2420" showDropDown="0" showInputMessage="0" showErrorMessage="1" allowBlank="1" type="list" errorStyle="stop">
      <formula1>'DADOS_ENTIDADES'!$U$2:$U$7</formula1>
    </dataValidation>
    <dataValidation sqref="M2421" showDropDown="0" showInputMessage="0" showErrorMessage="1" allowBlank="1" type="list" errorStyle="stop">
      <formula1>'DADOS_ENTIDADES'!$R$2:$R$3</formula1>
    </dataValidation>
    <dataValidation sqref="M2422" showDropDown="0" showInputMessage="0" showErrorMessage="1" allowBlank="1" type="list" errorStyle="stop">
      <formula1>'DADOS_ENTIDADES'!$S$2:$S$3</formula1>
    </dataValidation>
    <dataValidation sqref="M2424" showDropDown="0" showInputMessage="0" showErrorMessage="1" allowBlank="1" type="list" errorStyle="stop">
      <formula1>'DADOS_ENTIDADES'!$T$2:$T$3</formula1>
    </dataValidation>
    <dataValidation sqref="E2448" showDropDown="0" showInputMessage="0" showErrorMessage="1" allowBlank="1" type="list" errorStyle="stop">
      <formula1>'DADOS_ENTIDADES'!$U$2:$U$7</formula1>
    </dataValidation>
    <dataValidation sqref="E2449" showDropDown="0" showInputMessage="0" showErrorMessage="1" allowBlank="1" type="list" errorStyle="stop">
      <formula1>'DADOS_ENTIDADES'!$R$2:$R$3</formula1>
    </dataValidation>
    <dataValidation sqref="E2450" showDropDown="0" showInputMessage="0" showErrorMessage="1" allowBlank="1" type="list" errorStyle="stop">
      <formula1>'DADOS_ENTIDADES'!$S$2:$S$3</formula1>
    </dataValidation>
    <dataValidation sqref="E2452" showDropDown="0" showInputMessage="0" showErrorMessage="1" allowBlank="1" type="list" errorStyle="stop">
      <formula1>'DADOS_ENTIDADES'!$T$2:$T$3</formula1>
    </dataValidation>
    <dataValidation sqref="M2448" showDropDown="0" showInputMessage="0" showErrorMessage="1" allowBlank="1" type="list" errorStyle="stop">
      <formula1>'DADOS_ENTIDADES'!$U$2:$U$7</formula1>
    </dataValidation>
    <dataValidation sqref="M2449" showDropDown="0" showInputMessage="0" showErrorMessage="1" allowBlank="1" type="list" errorStyle="stop">
      <formula1>'DADOS_ENTIDADES'!$R$2:$R$3</formula1>
    </dataValidation>
    <dataValidation sqref="M2450" showDropDown="0" showInputMessage="0" showErrorMessage="1" allowBlank="1" type="list" errorStyle="stop">
      <formula1>'DADOS_ENTIDADES'!$S$2:$S$3</formula1>
    </dataValidation>
    <dataValidation sqref="M2452" showDropDown="0" showInputMessage="0" showErrorMessage="1" allowBlank="1" type="list" errorStyle="stop">
      <formula1>'DADOS_ENTIDADES'!$T$2:$T$3</formula1>
    </dataValidation>
    <dataValidation sqref="E2476" showDropDown="0" showInputMessage="0" showErrorMessage="1" allowBlank="1" type="list" errorStyle="stop">
      <formula1>'DADOS_ENTIDADES'!$U$2:$U$7</formula1>
    </dataValidation>
    <dataValidation sqref="E2477" showDropDown="0" showInputMessage="0" showErrorMessage="1" allowBlank="1" type="list" errorStyle="stop">
      <formula1>'DADOS_ENTIDADES'!$R$2:$R$3</formula1>
    </dataValidation>
    <dataValidation sqref="E2478" showDropDown="0" showInputMessage="0" showErrorMessage="1" allowBlank="1" type="list" errorStyle="stop">
      <formula1>'DADOS_ENTIDADES'!$S$2:$S$3</formula1>
    </dataValidation>
    <dataValidation sqref="E2480" showDropDown="0" showInputMessage="0" showErrorMessage="1" allowBlank="1" type="list" errorStyle="stop">
      <formula1>'DADOS_ENTIDADES'!$T$2:$T$3</formula1>
    </dataValidation>
    <dataValidation sqref="M2476" showDropDown="0" showInputMessage="0" showErrorMessage="1" allowBlank="1" type="list" errorStyle="stop">
      <formula1>'DADOS_ENTIDADES'!$U$2:$U$7</formula1>
    </dataValidation>
    <dataValidation sqref="M2477" showDropDown="0" showInputMessage="0" showErrorMessage="1" allowBlank="1" type="list" errorStyle="stop">
      <formula1>'DADOS_ENTIDADES'!$R$2:$R$3</formula1>
    </dataValidation>
    <dataValidation sqref="M2478" showDropDown="0" showInputMessage="0" showErrorMessage="1" allowBlank="1" type="list" errorStyle="stop">
      <formula1>'DADOS_ENTIDADES'!$S$2:$S$3</formula1>
    </dataValidation>
    <dataValidation sqref="M2480" showDropDown="0" showInputMessage="0" showErrorMessage="1" allowBlank="1" type="list" errorStyle="stop">
      <formula1>'DADOS_ENTIDADES'!$T$2:$T$3</formula1>
    </dataValidation>
    <dataValidation sqref="E2504" showDropDown="0" showInputMessage="0" showErrorMessage="1" allowBlank="1" type="list" errorStyle="stop">
      <formula1>'DADOS_ENTIDADES'!$U$2:$U$7</formula1>
    </dataValidation>
    <dataValidation sqref="E2505" showDropDown="0" showInputMessage="0" showErrorMessage="1" allowBlank="1" type="list" errorStyle="stop">
      <formula1>'DADOS_ENTIDADES'!$R$2:$R$3</formula1>
    </dataValidation>
    <dataValidation sqref="E2506" showDropDown="0" showInputMessage="0" showErrorMessage="1" allowBlank="1" type="list" errorStyle="stop">
      <formula1>'DADOS_ENTIDADES'!$S$2:$S$3</formula1>
    </dataValidation>
    <dataValidation sqref="E2508" showDropDown="0" showInputMessage="0" showErrorMessage="1" allowBlank="1" type="list" errorStyle="stop">
      <formula1>'DADOS_ENTIDADES'!$T$2:$T$3</formula1>
    </dataValidation>
    <dataValidation sqref="M2504" showDropDown="0" showInputMessage="0" showErrorMessage="1" allowBlank="1" type="list" errorStyle="stop">
      <formula1>'DADOS_ENTIDADES'!$U$2:$U$7</formula1>
    </dataValidation>
    <dataValidation sqref="M2505" showDropDown="0" showInputMessage="0" showErrorMessage="1" allowBlank="1" type="list" errorStyle="stop">
      <formula1>'DADOS_ENTIDADES'!$R$2:$R$3</formula1>
    </dataValidation>
    <dataValidation sqref="M2506" showDropDown="0" showInputMessage="0" showErrorMessage="1" allowBlank="1" type="list" errorStyle="stop">
      <formula1>'DADOS_ENTIDADES'!$S$2:$S$3</formula1>
    </dataValidation>
    <dataValidation sqref="M2508" showDropDown="0" showInputMessage="0" showErrorMessage="1" allowBlank="1" type="list" errorStyle="stop">
      <formula1>'DADOS_ENTIDADES'!$T$2:$T$3</formula1>
    </dataValidation>
    <dataValidation sqref="E2534" showDropDown="0" showInputMessage="0" showErrorMessage="1" allowBlank="1" type="list" errorStyle="stop">
      <formula1>'DADOS_ENTIDADES'!$W$2:$W$16</formula1>
    </dataValidation>
    <dataValidation sqref="E2535" showDropDown="0" showInputMessage="0" showErrorMessage="1" allowBlank="1" type="list" errorStyle="stop">
      <formula1>'DADOS_ENTIDADES'!$V$2:$V$4</formula1>
    </dataValidation>
    <dataValidation sqref="M2534" showDropDown="0" showInputMessage="0" showErrorMessage="1" allowBlank="1" type="list" errorStyle="stop">
      <formula1>'DADOS_ENTIDADES'!$W$2:$W$16</formula1>
    </dataValidation>
    <dataValidation sqref="M2535" showDropDown="0" showInputMessage="0" showErrorMessage="1" allowBlank="1" type="list" errorStyle="stop">
      <formula1>'DADOS_ENTIDADES'!$V$2:$V$4</formula1>
    </dataValidation>
    <dataValidation sqref="E2562" showDropDown="0" showInputMessage="0" showErrorMessage="1" allowBlank="1" type="list" errorStyle="stop">
      <formula1>'DADOS_ENTIDADES'!$W$2:$W$16</formula1>
    </dataValidation>
    <dataValidation sqref="E2563" showDropDown="0" showInputMessage="0" showErrorMessage="1" allowBlank="1" type="list" errorStyle="stop">
      <formula1>'DADOS_ENTIDADES'!$V$2:$V$4</formula1>
    </dataValidation>
    <dataValidation sqref="M2562" showDropDown="0" showInputMessage="0" showErrorMessage="1" allowBlank="1" type="list" errorStyle="stop">
      <formula1>'DADOS_ENTIDADES'!$W$2:$W$16</formula1>
    </dataValidation>
    <dataValidation sqref="M2563" showDropDown="0" showInputMessage="0" showErrorMessage="1" allowBlank="1" type="list" errorStyle="stop">
      <formula1>'DADOS_ENTIDADES'!$V$2:$V$4</formula1>
    </dataValidation>
    <dataValidation sqref="E2590" showDropDown="0" showInputMessage="0" showErrorMessage="1" allowBlank="1" type="list" errorStyle="stop">
      <formula1>'DADOS_ENTIDADES'!$W$2:$W$16</formula1>
    </dataValidation>
    <dataValidation sqref="E2591" showDropDown="0" showInputMessage="0" showErrorMessage="1" allowBlank="1" type="list" errorStyle="stop">
      <formula1>'DADOS_ENTIDADES'!$V$2:$V$4</formula1>
    </dataValidation>
    <dataValidation sqref="M2590" showDropDown="0" showInputMessage="0" showErrorMessage="1" allowBlank="1" type="list" errorStyle="stop">
      <formula1>'DADOS_ENTIDADES'!$W$2:$W$16</formula1>
    </dataValidation>
    <dataValidation sqref="M2591" showDropDown="0" showInputMessage="0" showErrorMessage="1" allowBlank="1" type="list" errorStyle="stop">
      <formula1>'DADOS_ENTIDADES'!$V$2:$V$4</formula1>
    </dataValidation>
    <dataValidation sqref="E2618" showDropDown="0" showInputMessage="0" showErrorMessage="1" allowBlank="1" type="list" errorStyle="stop">
      <formula1>'DADOS_ENTIDADES'!$W$2:$W$16</formula1>
    </dataValidation>
    <dataValidation sqref="E2619" showDropDown="0" showInputMessage="0" showErrorMessage="1" allowBlank="1" type="list" errorStyle="stop">
      <formula1>'DADOS_ENTIDADES'!$V$2:$V$4</formula1>
    </dataValidation>
    <dataValidation sqref="M2618" showDropDown="0" showInputMessage="0" showErrorMessage="1" allowBlank="1" type="list" errorStyle="stop">
      <formula1>'DADOS_ENTIDADES'!$W$2:$W$16</formula1>
    </dataValidation>
    <dataValidation sqref="M2619" showDropDown="0" showInputMessage="0" showErrorMessage="1" allowBlank="1" type="list" errorStyle="stop">
      <formula1>'DADOS_ENTIDADES'!$V$2:$V$4</formula1>
    </dataValidation>
    <dataValidation sqref="E2646" showDropDown="0" showInputMessage="0" showErrorMessage="1" allowBlank="1" type="list" errorStyle="stop">
      <formula1>'DADOS_ENTIDADES'!$W$2:$W$16</formula1>
    </dataValidation>
    <dataValidation sqref="E2647" showDropDown="0" showInputMessage="0" showErrorMessage="1" allowBlank="1" type="list" errorStyle="stop">
      <formula1>'DADOS_ENTIDADES'!$V$2:$V$4</formula1>
    </dataValidation>
    <dataValidation sqref="M2646" showDropDown="0" showInputMessage="0" showErrorMessage="1" allowBlank="1" type="list" errorStyle="stop">
      <formula1>'DADOS_ENTIDADES'!$W$2:$W$16</formula1>
    </dataValidation>
    <dataValidation sqref="M2647" showDropDown="0" showInputMessage="0" showErrorMessage="1" allowBlank="1" type="list" errorStyle="stop">
      <formula1>'DADOS_ENTIDADES'!$V$2:$V$4</formula1>
    </dataValidation>
    <dataValidation sqref="E2674" showDropDown="0" showInputMessage="0" showErrorMessage="1" allowBlank="1" type="list" errorStyle="stop">
      <formula1>'DADOS_ENTIDADES'!$W$2:$W$16</formula1>
    </dataValidation>
    <dataValidation sqref="E2675" showDropDown="0" showInputMessage="0" showErrorMessage="1" allowBlank="1" type="list" errorStyle="stop">
      <formula1>'DADOS_ENTIDADES'!$V$2:$V$4</formula1>
    </dataValidation>
    <dataValidation sqref="M2674" showDropDown="0" showInputMessage="0" showErrorMessage="1" allowBlank="1" type="list" errorStyle="stop">
      <formula1>'DADOS_ENTIDADES'!$W$2:$W$16</formula1>
    </dataValidation>
    <dataValidation sqref="M2675" showDropDown="0" showInputMessage="0" showErrorMessage="1" allowBlank="1" type="list" errorStyle="stop">
      <formula1>'DADOS_ENTIDADES'!$V$2:$V$4</formula1>
    </dataValidation>
    <dataValidation sqref="E2702" showDropDown="0" showInputMessage="0" showErrorMessage="1" allowBlank="1" type="list" errorStyle="stop">
      <formula1>'DADOS_ENTIDADES'!$W$2:$W$16</formula1>
    </dataValidation>
    <dataValidation sqref="E2703" showDropDown="0" showInputMessage="0" showErrorMessage="1" allowBlank="1" type="list" errorStyle="stop">
      <formula1>'DADOS_ENTIDADES'!$V$2:$V$4</formula1>
    </dataValidation>
    <dataValidation sqref="M2702" showDropDown="0" showInputMessage="0" showErrorMessage="1" allowBlank="1" type="list" errorStyle="stop">
      <formula1>'DADOS_ENTIDADES'!$W$2:$W$16</formula1>
    </dataValidation>
    <dataValidation sqref="M2703" showDropDown="0" showInputMessage="0" showErrorMessage="1" allowBlank="1" type="list" errorStyle="stop">
      <formula1>'DADOS_ENTIDADES'!$V$2:$V$4</formula1>
    </dataValidation>
    <dataValidation sqref="E2730" showDropDown="0" showInputMessage="0" showErrorMessage="1" allowBlank="1" type="list" errorStyle="stop">
      <formula1>'DADOS_ENTIDADES'!$W$2:$W$16</formula1>
    </dataValidation>
    <dataValidation sqref="E2731" showDropDown="0" showInputMessage="0" showErrorMessage="1" allowBlank="1" type="list" errorStyle="stop">
      <formula1>'DADOS_ENTIDADES'!$V$2:$V$4</formula1>
    </dataValidation>
    <dataValidation sqref="M2730" showDropDown="0" showInputMessage="0" showErrorMessage="1" allowBlank="1" type="list" errorStyle="stop">
      <formula1>'DADOS_ENTIDADES'!$W$2:$W$16</formula1>
    </dataValidation>
    <dataValidation sqref="M2731" showDropDown="0" showInputMessage="0" showErrorMessage="1" allowBlank="1" type="list" errorStyle="stop">
      <formula1>'DADOS_ENTIDADES'!$V$2:$V$4</formula1>
    </dataValidation>
    <dataValidation sqref="E2758" showDropDown="0" showInputMessage="0" showErrorMessage="1" allowBlank="1" type="list" errorStyle="stop">
      <formula1>'DADOS_ENTIDADES'!$W$2:$W$16</formula1>
    </dataValidation>
    <dataValidation sqref="E2759" showDropDown="0" showInputMessage="0" showErrorMessage="1" allowBlank="1" type="list" errorStyle="stop">
      <formula1>'DADOS_ENTIDADES'!$V$2:$V$4</formula1>
    </dataValidation>
    <dataValidation sqref="M2758" showDropDown="0" showInputMessage="0" showErrorMessage="1" allowBlank="1" type="list" errorStyle="stop">
      <formula1>'DADOS_ENTIDADES'!$W$2:$W$16</formula1>
    </dataValidation>
    <dataValidation sqref="M2759" showDropDown="0" showInputMessage="0" showErrorMessage="1" allowBlank="1" type="list" errorStyle="stop">
      <formula1>'DADOS_ENTIDADES'!$V$2:$V$4</formula1>
    </dataValidation>
    <dataValidation sqref="E2786" showDropDown="0" showInputMessage="0" showErrorMessage="1" allowBlank="1" type="list" errorStyle="stop">
      <formula1>'DADOS_ENTIDADES'!$W$2:$W$16</formula1>
    </dataValidation>
    <dataValidation sqref="E2787" showDropDown="0" showInputMessage="0" showErrorMessage="1" allowBlank="1" type="list" errorStyle="stop">
      <formula1>'DADOS_ENTIDADES'!$V$2:$V$4</formula1>
    </dataValidation>
    <dataValidation sqref="M2786" showDropDown="0" showInputMessage="0" showErrorMessage="1" allowBlank="1" type="list" errorStyle="stop">
      <formula1>'DADOS_ENTIDADES'!$W$2:$W$16</formula1>
    </dataValidation>
    <dataValidation sqref="M2787" showDropDown="0" showInputMessage="0" showErrorMessage="1" allowBlank="1" type="list" errorStyle="stop">
      <formula1>'DADOS_ENTIDADES'!$V$2:$V$4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IF(ISBLANK('CONFIGURAÇÃO'!$B$799),"",'CONFIGURAÇÃO'!$B$799)</f>
        <v/>
      </c>
      <c r="C2">
        <f>IF(ISBLANK('CONFIGURAÇÃO'!$B$801),"",'CONFIGURAÇÃO'!$B$801)</f>
        <v/>
      </c>
      <c r="D2">
        <f>IF(ISBLANK('CONFIGURAÇÃO'!$E$802),"",'CONFIGURAÇÃO'!$E$802)</f>
        <v/>
      </c>
      <c r="E2">
        <f>IF(ISBLANK('CONFIGURAÇÃO'!$F$799),"",'CONFIGURAÇÃO'!$F$799)</f>
        <v/>
      </c>
      <c r="F2">
        <f>IF(ISBLANK('CONFIGURAÇÃO'!$B$804),"",'CONFIGURAÇÃO'!$B$804)</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ARMA",""),IF(COUNTIF('DADOS_PROGRESSAO'!$AG$2:$AG$34,'CONFIGURAÇÃO'!$E$748)=0,"Escolha PERÍCIA FIXA 1",""),IF(COUNTIF('DADOS_PROGRESSAO'!$AG$2:$AG$34,'CONFIGURAÇÃO'!$E$749)=0,"Escolha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IF(ISBLANK('CONFIGURAÇÃO'!$J$799),"",'CONFIGURAÇÃO'!$J$799)</f>
        <v/>
      </c>
      <c r="C3">
        <f>IF(ISBLANK('CONFIGURAÇÃO'!$J$801),"",'CONFIGURAÇÃO'!$J$801)</f>
        <v/>
      </c>
      <c r="D3">
        <f>IF(ISBLANK('CONFIGURAÇÃO'!$M$802),"",'CONFIGURAÇÃO'!$M$802)</f>
        <v/>
      </c>
      <c r="E3">
        <f>IF(ISBLANK('CONFIGURAÇÃO'!$N$799),"",'CONFIGURAÇÃO'!$N$799)</f>
        <v/>
      </c>
      <c r="F3">
        <f>IF(ISBLANK('CONFIGURAÇÃO'!$J$804),"",'CONFIGURAÇÃO'!$J$804)</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IF(ISBLANK('CONFIGURAÇÃO'!$B$813),"",'CONFIGURAÇÃO'!$B$813)</f>
        <v/>
      </c>
      <c r="C4">
        <f>IF(ISBLANK('CONFIGURAÇÃO'!$B$815),"",'CONFIGURAÇÃO'!$B$815)</f>
        <v/>
      </c>
      <c r="D4">
        <f>IF(ISBLANK('CONFIGURAÇÃO'!$E$816),"",'CONFIGURAÇÃO'!$E$816)</f>
        <v/>
      </c>
      <c r="E4">
        <f>IF(ISBLANK('CONFIGURAÇÃO'!$F$813),"",'CONFIGURAÇÃO'!$F$813)</f>
        <v/>
      </c>
      <c r="F4">
        <f>IF(ISBLANK('CONFIGURAÇÃO'!$B$818),"",'CONFIGURAÇÃO'!$B$818)</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IF(ISBLANK('CONFIGURAÇÃO'!$J$813),"",'CONFIGURAÇÃO'!$J$813)</f>
        <v/>
      </c>
      <c r="C5">
        <f>IF(ISBLANK('CONFIGURAÇÃO'!$J$815),"",'CONFIGURAÇÃO'!$J$815)</f>
        <v/>
      </c>
      <c r="D5">
        <f>IF(ISBLANK('CONFIGURAÇÃO'!$M$816),"",'CONFIGURAÇÃO'!$M$816)</f>
        <v/>
      </c>
      <c r="E5">
        <f>IF(ISBLANK('CONFIGURAÇÃO'!$N$813),"",'CONFIGURAÇÃO'!$N$813)</f>
        <v/>
      </c>
      <c r="F5">
        <f>IF(ISBLANK('CONFIGURAÇÃO'!$J$818),"",'CONFIGURAÇÃO'!$J$818)</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IF(ISBLANK('CONFIGURAÇÃO'!$B$827),"",'CONFIGURAÇÃO'!$B$827)</f>
        <v/>
      </c>
      <c r="C6">
        <f>IF(ISBLANK('CONFIGURAÇÃO'!$B$829),"",'CONFIGURAÇÃO'!$B$829)</f>
        <v/>
      </c>
      <c r="D6">
        <f>IF(ISBLANK('CONFIGURAÇÃO'!$E$830),"",'CONFIGURAÇÃO'!$E$830)</f>
        <v/>
      </c>
      <c r="E6">
        <f>IF(ISBLANK('CONFIGURAÇÃO'!$F$827),"",'CONFIGURAÇÃO'!$F$827)</f>
        <v/>
      </c>
      <c r="F6">
        <f>IF(ISBLANK('CONFIGURAÇÃO'!$B$832),"",'CONFIGURAÇÃO'!$B$832)</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IF(ISBLANK('CONFIGURAÇÃO'!$J$827),"",'CONFIGURAÇÃO'!$J$827)</f>
        <v/>
      </c>
      <c r="C7">
        <f>IF(ISBLANK('CONFIGURAÇÃO'!$J$829),"",'CONFIGURAÇÃO'!$J$829)</f>
        <v/>
      </c>
      <c r="D7">
        <f>IF(ISBLANK('CONFIGURAÇÃO'!$M$830),"",'CONFIGURAÇÃO'!$M$830)</f>
        <v/>
      </c>
      <c r="E7">
        <f>IF(ISBLANK('CONFIGURAÇÃO'!$N$827),"",'CONFIGURAÇÃO'!$N$827)</f>
        <v/>
      </c>
      <c r="F7">
        <f>IF(ISBLANK('CONFIGURAÇÃO'!$J$832),"",'CONFIGURAÇÃO'!$J$832)</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IF(ISBLANK('CONFIGURAÇÃO'!$B$841),"",'CONFIGURAÇÃO'!$B$841)</f>
        <v/>
      </c>
      <c r="C8">
        <f>IF(ISBLANK('CONFIGURAÇÃO'!$B$843),"",'CONFIGURAÇÃO'!$B$843)</f>
        <v/>
      </c>
      <c r="D8">
        <f>IF(ISBLANK('CONFIGURAÇÃO'!$E$844),"",'CONFIGURAÇÃO'!$E$844)</f>
        <v/>
      </c>
      <c r="E8">
        <f>IF(ISBLANK('CONFIGURAÇÃO'!$F$841),"",'CONFIGURAÇÃO'!$F$841)</f>
        <v/>
      </c>
      <c r="F8">
        <f>IF(ISBLANK('CONFIGURAÇÃO'!$B$846),"",'CONFIGURAÇÃO'!$B$846)</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IF(ISBLANK('CONFIGURAÇÃO'!$J$841),"",'CONFIGURAÇÃO'!$J$841)</f>
        <v/>
      </c>
      <c r="C9">
        <f>IF(ISBLANK('CONFIGURAÇÃO'!$J$843),"",'CONFIGURAÇÃO'!$J$843)</f>
        <v/>
      </c>
      <c r="D9">
        <f>IF(ISBLANK('CONFIGURAÇÃO'!$M$844),"",'CONFIGURAÇÃO'!$M$844)</f>
        <v/>
      </c>
      <c r="E9">
        <f>IF(ISBLANK('CONFIGURAÇÃO'!$N$841),"",'CONFIGURAÇÃO'!$N$841)</f>
        <v/>
      </c>
      <c r="F9">
        <f>IF(ISBLANK('CONFIGURAÇÃO'!$J$846),"",'CONFIGURAÇÃO'!$J$846)</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IF(ISBLANK('CONFIGURAÇÃO'!$B$855),"",'CONFIGURAÇÃO'!$B$855)</f>
        <v/>
      </c>
      <c r="C10">
        <f>IF(ISBLANK('CONFIGURAÇÃO'!$B$857),"",'CONFIGURAÇÃO'!$B$857)</f>
        <v/>
      </c>
      <c r="D10">
        <f>IF(ISBLANK('CONFIGURAÇÃO'!$E$858),"",'CONFIGURAÇÃO'!$E$858)</f>
        <v/>
      </c>
      <c r="E10">
        <f>IF(ISBLANK('CONFIGURAÇÃO'!$F$855),"",'CONFIGURAÇÃO'!$F$855)</f>
        <v/>
      </c>
      <c r="F10">
        <f>IF(ISBLANK('CONFIGURAÇÃO'!$B$860),"",'CONFIGURAÇÃO'!$B$860)</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IF(ISBLANK('CONFIGURAÇÃO'!$J$855),"",'CONFIGURAÇÃO'!$J$855)</f>
        <v/>
      </c>
      <c r="C11">
        <f>IF(ISBLANK('CONFIGURAÇÃO'!$J$857),"",'CONFIGURAÇÃO'!$J$857)</f>
        <v/>
      </c>
      <c r="D11">
        <f>IF(ISBLANK('CONFIGURAÇÃO'!$M$858),"",'CONFIGURAÇÃO'!$M$858)</f>
        <v/>
      </c>
      <c r="E11">
        <f>IF(ISBLANK('CONFIGURAÇÃO'!$N$855),"",'CONFIGURAÇÃO'!$N$855)</f>
        <v/>
      </c>
      <c r="F11">
        <f>IF(ISBLANK('CONFIGURAÇÃO'!$J$860),"",'CONFIGURAÇÃO'!$J$860)</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IF(ISBLANK('CONFIGURAÇÃO'!$B$869),"",'CONFIGURAÇÃO'!$B$869)</f>
        <v/>
      </c>
      <c r="C12">
        <f>IF(ISBLANK('CONFIGURAÇÃO'!$B$871),"",'CONFIGURAÇÃO'!$B$871)</f>
        <v/>
      </c>
      <c r="D12">
        <f>IF(ISBLANK('CONFIGURAÇÃO'!$E$872),"",'CONFIGURAÇÃO'!$E$872)</f>
        <v/>
      </c>
      <c r="E12">
        <f>IF(ISBLANK('CONFIGURAÇÃO'!$F$869),"",'CONFIGURAÇÃO'!$F$869)</f>
        <v/>
      </c>
      <c r="F12">
        <f>IF(ISBLANK('CONFIGURAÇÃO'!$B$874),"",'CONFIGURAÇÃO'!$B$874)</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IF(ISBLANK('CONFIGURAÇÃO'!$J$869),"",'CONFIGURAÇÃO'!$J$869)</f>
        <v/>
      </c>
      <c r="C13">
        <f>IF(ISBLANK('CONFIGURAÇÃO'!$J$871),"",'CONFIGURAÇÃO'!$J$871)</f>
        <v/>
      </c>
      <c r="D13">
        <f>IF(ISBLANK('CONFIGURAÇÃO'!$M$872),"",'CONFIGURAÇÃO'!$M$872)</f>
        <v/>
      </c>
      <c r="E13">
        <f>IF(ISBLANK('CONFIGURAÇÃO'!$N$869),"",'CONFIGURAÇÃO'!$N$869)</f>
        <v/>
      </c>
      <c r="F13">
        <f>IF(ISBLANK('CONFIGURAÇÃO'!$J$874),"",'CONFIGURAÇÃO'!$J$874)</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IF(ISBLANK('CONFIGURAÇÃO'!$B$883),"",'CONFIGURAÇÃO'!$B$883)</f>
        <v/>
      </c>
      <c r="C14">
        <f>IF(ISBLANK('CONFIGURAÇÃO'!$B$885),"",'CONFIGURAÇÃO'!$B$885)</f>
        <v/>
      </c>
      <c r="D14">
        <f>IF(ISBLANK('CONFIGURAÇÃO'!$E$886),"",'CONFIGURAÇÃO'!$E$886)</f>
        <v/>
      </c>
      <c r="E14">
        <f>IF(ISBLANK('CONFIGURAÇÃO'!$F$883),"",'CONFIGURAÇÃO'!$F$883)</f>
        <v/>
      </c>
      <c r="F14">
        <f>IF(ISBLANK('CONFIGURAÇÃO'!$B$888),"",'CONFIGURAÇÃO'!$B$888)</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IF(ISBLANK('CONFIGURAÇÃO'!$J$883),"",'CONFIGURAÇÃO'!$J$883)</f>
        <v/>
      </c>
      <c r="C15">
        <f>IF(ISBLANK('CONFIGURAÇÃO'!$J$885),"",'CONFIGURAÇÃO'!$J$885)</f>
        <v/>
      </c>
      <c r="D15">
        <f>IF(ISBLANK('CONFIGURAÇÃO'!$M$886),"",'CONFIGURAÇÃO'!$M$886)</f>
        <v/>
      </c>
      <c r="E15">
        <f>IF(ISBLANK('CONFIGURAÇÃO'!$N$883),"",'CONFIGURAÇÃO'!$N$883)</f>
        <v/>
      </c>
      <c r="F15">
        <f>IF(ISBLANK('CONFIGURAÇÃO'!$J$888),"",'CONFIGURAÇÃO'!$J$888)</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IF(ISBLANK('CONFIGURAÇÃO'!$B$897),"",'CONFIGURAÇÃO'!$B$897)</f>
        <v/>
      </c>
      <c r="C16">
        <f>IF(ISBLANK('CONFIGURAÇÃO'!$B$899),"",'CONFIGURAÇÃO'!$B$899)</f>
        <v/>
      </c>
      <c r="D16">
        <f>IF(ISBLANK('CONFIGURAÇÃO'!$E$900),"",'CONFIGURAÇÃO'!$E$900)</f>
        <v/>
      </c>
      <c r="E16">
        <f>IF(ISBLANK('CONFIGURAÇÃO'!$F$897),"",'CONFIGURAÇÃO'!$F$897)</f>
        <v/>
      </c>
      <c r="F16">
        <f>IF(ISBLANK('CONFIGURAÇÃO'!$B$902),"",'CONFIGURAÇÃO'!$B$902)</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IF(ISBLANK('CONFIGURAÇÃO'!$J$897),"",'CONFIGURAÇÃO'!$J$897)</f>
        <v/>
      </c>
      <c r="C17">
        <f>IF(ISBLANK('CONFIGURAÇÃO'!$J$899),"",'CONFIGURAÇÃO'!$J$899)</f>
        <v/>
      </c>
      <c r="D17">
        <f>IF(ISBLANK('CONFIGURAÇÃO'!$M$900),"",'CONFIGURAÇÃO'!$M$900)</f>
        <v/>
      </c>
      <c r="E17">
        <f>IF(ISBLANK('CONFIGURAÇÃO'!$N$897),"",'CONFIGURAÇÃO'!$N$897)</f>
        <v/>
      </c>
      <c r="F17">
        <f>IF(ISBLANK('CONFIGURAÇÃO'!$J$902),"",'CONFIGURAÇÃO'!$J$902)</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IF(ISBLANK('CONFIGURAÇÃO'!$B$911),"",'CONFIGURAÇÃO'!$B$911)</f>
        <v/>
      </c>
      <c r="C18">
        <f>IF(ISBLANK('CONFIGURAÇÃO'!$B$913),"",'CONFIGURAÇÃO'!$B$913)</f>
        <v/>
      </c>
      <c r="D18">
        <f>IF(ISBLANK('CONFIGURAÇÃO'!$E$914),"",'CONFIGURAÇÃO'!$E$914)</f>
        <v/>
      </c>
      <c r="E18">
        <f>IF(ISBLANK('CONFIGURAÇÃO'!$F$911),"",'CONFIGURAÇÃO'!$F$911)</f>
        <v/>
      </c>
      <c r="F18">
        <f>IF(ISBLANK('CONFIGURAÇÃO'!$B$916),"",'CONFIGURAÇÃO'!$B$916)</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IF(ISBLANK('CONFIGURAÇÃO'!$J$911),"",'CONFIGURAÇÃO'!$J$911)</f>
        <v/>
      </c>
      <c r="C19">
        <f>IF(ISBLANK('CONFIGURAÇÃO'!$J$913),"",'CONFIGURAÇÃO'!$J$913)</f>
        <v/>
      </c>
      <c r="D19">
        <f>IF(ISBLANK('CONFIGURAÇÃO'!$M$914),"",'CONFIGURAÇÃO'!$M$914)</f>
        <v/>
      </c>
      <c r="E19">
        <f>IF(ISBLANK('CONFIGURAÇÃO'!$N$911),"",'CONFIGURAÇÃO'!$N$911)</f>
        <v/>
      </c>
      <c r="F19">
        <f>IF(ISBLANK('CONFIGURAÇÃO'!$J$916),"",'CONFIGURAÇÃO'!$J$916)</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IF(ISBLANK('CONFIGURAÇÃO'!$B$925),"",'CONFIGURAÇÃO'!$B$925)</f>
        <v/>
      </c>
      <c r="C20">
        <f>IF(ISBLANK('CONFIGURAÇÃO'!$B$927),"",'CONFIGURAÇÃO'!$B$927)</f>
        <v/>
      </c>
      <c r="D20">
        <f>IF(ISBLANK('CONFIGURAÇÃO'!$E$928),"",'CONFIGURAÇÃO'!$E$928)</f>
        <v/>
      </c>
      <c r="E20">
        <f>IF(ISBLANK('CONFIGURAÇÃO'!$F$925),"",'CONFIGURAÇÃO'!$F$925)</f>
        <v/>
      </c>
      <c r="F20">
        <f>IF(ISBLANK('CONFIGURAÇÃO'!$B$930),"",'CONFIGURAÇÃO'!$B$930)</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IF(ISBLANK('CONFIGURAÇÃO'!$J$925),"",'CONFIGURAÇÃO'!$J$925)</f>
        <v/>
      </c>
      <c r="C21">
        <f>IF(ISBLANK('CONFIGURAÇÃO'!$J$927),"",'CONFIGURAÇÃO'!$J$927)</f>
        <v/>
      </c>
      <c r="D21">
        <f>IF(ISBLANK('CONFIGURAÇÃO'!$M$928),"",'CONFIGURAÇÃO'!$M$928)</f>
        <v/>
      </c>
      <c r="E21">
        <f>IF(ISBLANK('CONFIGURAÇÃO'!$N$925),"",'CONFIGURAÇÃO'!$N$925)</f>
        <v/>
      </c>
      <c r="F21">
        <f>IF(ISBLANK('CONFIGURAÇÃO'!$J$930),"",'CONFIGURAÇÃO'!$J$930)</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IF(AND($K$7=1,'CONFIGURAÇÃO'!$C$790&lt;&gt;""),'CONFIGURAÇÃO'!$C$790,"")</f>
        <v/>
      </c>
      <c r="BH31">
        <f>IF(OR(BG31="",'CONFIGURAÇÃO'!$B$791=""),"",'CONFIGURAÇÃO'!$B$791)</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IF(AND($K$8=1,'CONFIGURAÇÃO'!$K$778&lt;&gt;""),'CONFIGURAÇÃO'!$K$778,"")</f>
        <v/>
      </c>
      <c r="BH33">
        <f>IF(OR(BG33="",'CONFIGURAÇÃO'!$J$779=""),"",'CONFIGURAÇÃO'!$J$779)</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IF(AND($K$8=1,'CONFIGURAÇÃO'!$K$781&lt;&gt;""),'CONFIGURAÇÃO'!$K$781,"")</f>
        <v/>
      </c>
      <c r="BH42">
        <f>IF(OR(BG42="",'CONFIGURAÇÃO'!$J$782=""),"",'CONFIGURAÇÃO'!$J$782)</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IF(AND($K$8=1,'CONFIGURAÇÃO'!$K$784&lt;&gt;""),'CONFIGURAÇÃO'!$K$784,"")</f>
        <v/>
      </c>
      <c r="BH50">
        <f>IF(OR(BG50="",'CONFIGURAÇÃO'!$J$785=""),"",'CONFIGURAÇÃO'!$J$785)</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IF(AND($K$8=1,'CONFIGURAÇÃO'!$K$787&lt;&gt;""),'CONFIGURAÇÃO'!$K$787,"")</f>
        <v/>
      </c>
      <c r="BH58">
        <f>IF(OR(BG58="",'CONFIGURAÇÃO'!$J$788=""),"",'CONFIGURAÇÃO'!$J$788)</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IF(ISBLANK('CONFIGURAÇÃO'!$B$943),"",'CONFIGURAÇÃO'!$B$943)</f>
        <v/>
      </c>
      <c r="C2">
        <f>IF(ISBLANK('CONFIGURAÇÃO'!$E$944),"",'CONFIGURAÇÃO'!$E$944)</f>
        <v/>
      </c>
      <c r="D2">
        <f>IF(ISBLANK('CONFIGURAÇÃO'!$F$941),"",'CONFIGURAÇÃO'!$F$941)</f>
        <v/>
      </c>
      <c r="E2">
        <f>IF(ISBLANK('CONFIGURAÇÃO'!$B$946),"",'CONFIGURAÇÃO'!$B$946)</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IF(ISBLANK('CONFIGURAÇÃO'!$J$943),"",'CONFIGURAÇÃO'!$J$943)</f>
        <v/>
      </c>
      <c r="C3">
        <f>IF(ISBLANK('CONFIGURAÇÃO'!$M$944),"",'CONFIGURAÇÃO'!$M$944)</f>
        <v/>
      </c>
      <c r="D3">
        <f>IF(ISBLANK('CONFIGURAÇÃO'!$N$941),"",'CONFIGURAÇÃO'!$N$941)</f>
        <v/>
      </c>
      <c r="E3">
        <f>IF(ISBLANK('CONFIGURAÇÃO'!$J$946),"",'CONFIGURAÇÃO'!$J$946)</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IF(ISBLANK('CONFIGURAÇÃO'!$B$957),"",'CONFIGURAÇÃO'!$B$957)</f>
        <v/>
      </c>
      <c r="C4">
        <f>IF(ISBLANK('CONFIGURAÇÃO'!$E$958),"",'CONFIGURAÇÃO'!$E$958)</f>
        <v/>
      </c>
      <c r="D4">
        <f>IF(ISBLANK('CONFIGURAÇÃO'!$F$955),"",'CONFIGURAÇÃO'!$F$955)</f>
        <v/>
      </c>
      <c r="E4">
        <f>IF(ISBLANK('CONFIGURAÇÃO'!$B$960),"",'CONFIGURAÇÃO'!$B$960)</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IF(ISBLANK('CONFIGURAÇÃO'!$J$957),"",'CONFIGURAÇÃO'!$J$957)</f>
        <v/>
      </c>
      <c r="C5">
        <f>IF(ISBLANK('CONFIGURAÇÃO'!$M$958),"",'CONFIGURAÇÃO'!$M$958)</f>
        <v/>
      </c>
      <c r="D5">
        <f>IF(ISBLANK('CONFIGURAÇÃO'!$N$955),"",'CONFIGURAÇÃO'!$N$955)</f>
        <v/>
      </c>
      <c r="E5">
        <f>IF(ISBLANK('CONFIGURAÇÃO'!$J$960),"",'CONFIGURAÇÃO'!$J$960)</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IF(ISBLANK('CONFIGURAÇÃO'!$B$971),"",'CONFIGURAÇÃO'!$B$971)</f>
        <v/>
      </c>
      <c r="C6">
        <f>IF(ISBLANK('CONFIGURAÇÃO'!$E$972),"",'CONFIGURAÇÃO'!$E$972)</f>
        <v/>
      </c>
      <c r="D6">
        <f>IF(ISBLANK('CONFIGURAÇÃO'!$F$969),"",'CONFIGURAÇÃO'!$F$969)</f>
        <v/>
      </c>
      <c r="E6">
        <f>IF(ISBLANK('CONFIGURAÇÃO'!$B$974),"",'CONFIGURAÇÃO'!$B$974)</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IF(ISBLANK('CONFIGURAÇÃO'!$J$971),"",'CONFIGURAÇÃO'!$J$971)</f>
        <v/>
      </c>
      <c r="C7">
        <f>IF(ISBLANK('CONFIGURAÇÃO'!$M$972),"",'CONFIGURAÇÃO'!$M$972)</f>
        <v/>
      </c>
      <c r="D7">
        <f>IF(ISBLANK('CONFIGURAÇÃO'!$N$969),"",'CONFIGURAÇÃO'!$N$969)</f>
        <v/>
      </c>
      <c r="E7">
        <f>IF(ISBLANK('CONFIGURAÇÃO'!$J$974),"",'CONFIGURAÇÃO'!$J$974)</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IF(ISBLANK('CONFIGURAÇÃO'!$B$985),"",'CONFIGURAÇÃO'!$B$985)</f>
        <v/>
      </c>
      <c r="C8">
        <f>IF(ISBLANK('CONFIGURAÇÃO'!$E$986),"",'CONFIGURAÇÃO'!$E$986)</f>
        <v/>
      </c>
      <c r="D8">
        <f>IF(ISBLANK('CONFIGURAÇÃO'!$F$983),"",'CONFIGURAÇÃO'!$F$983)</f>
        <v/>
      </c>
      <c r="E8">
        <f>IF(ISBLANK('CONFIGURAÇÃO'!$B$988),"",'CONFIGURAÇÃO'!$B$988)</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IF(ISBLANK('CONFIGURAÇÃO'!$J$985),"",'CONFIGURAÇÃO'!$J$985)</f>
        <v/>
      </c>
      <c r="C9">
        <f>IF(ISBLANK('CONFIGURAÇÃO'!$M$986),"",'CONFIGURAÇÃO'!$M$986)</f>
        <v/>
      </c>
      <c r="D9">
        <f>IF(ISBLANK('CONFIGURAÇÃO'!$N$983),"",'CONFIGURAÇÃO'!$N$983)</f>
        <v/>
      </c>
      <c r="E9">
        <f>IF(ISBLANK('CONFIGURAÇÃO'!$J$988),"",'CONFIGURAÇÃO'!$J$988)</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IF(ISBLANK('CONFIGURAÇÃO'!$B$999),"",'CONFIGURAÇÃO'!$B$999)</f>
        <v/>
      </c>
      <c r="C10">
        <f>IF(ISBLANK('CONFIGURAÇÃO'!$E$1000),"",'CONFIGURAÇÃO'!$E$1000)</f>
        <v/>
      </c>
      <c r="D10">
        <f>IF(ISBLANK('CONFIGURAÇÃO'!$F$997),"",'CONFIGURAÇÃO'!$F$997)</f>
        <v/>
      </c>
      <c r="E10">
        <f>IF(ISBLANK('CONFIGURAÇÃO'!$B$1002),"",'CONFIGURAÇÃO'!$B$1002)</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IF(ISBLANK('CONFIGURAÇÃO'!$J$999),"",'CONFIGURAÇÃO'!$J$999)</f>
        <v/>
      </c>
      <c r="C11">
        <f>IF(ISBLANK('CONFIGURAÇÃO'!$M$1000),"",'CONFIGURAÇÃO'!$M$1000)</f>
        <v/>
      </c>
      <c r="D11">
        <f>IF(ISBLANK('CONFIGURAÇÃO'!$N$997),"",'CONFIGURAÇÃO'!$N$997)</f>
        <v/>
      </c>
      <c r="E11">
        <f>IF(ISBLANK('CONFIGURAÇÃO'!$J$1002),"",'CONFIGURAÇÃO'!$J$1002)</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Y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c r="BR1" t="inlineStr">
        <is>
          <t>modalidade da Melhoria</t>
        </is>
      </c>
      <c r="BT1" t="inlineStr">
        <is>
          <t>modalidades</t>
        </is>
      </c>
      <c r="BU1" t="inlineStr">
        <is>
          <t>bases de Condição</t>
        </is>
      </c>
      <c r="BV1" t="inlineStr">
        <is>
          <t>bases do cadastro 1</t>
        </is>
      </c>
      <c r="BW1" t="inlineStr">
        <is>
          <t>bases do cadastro 2</t>
        </is>
      </c>
      <c r="BX1" t="inlineStr">
        <is>
          <t>bases do cadastro 3</t>
        </is>
      </c>
      <c r="BY1" t="inlineStr">
        <is>
          <t>bases do cadastro 4</t>
        </is>
      </c>
      <c r="BZ1" t="inlineStr">
        <is>
          <t>bases do cadastro 5</t>
        </is>
      </c>
      <c r="CA1" t="inlineStr">
        <is>
          <t>bases do cadastro 6</t>
        </is>
      </c>
      <c r="CB1" t="inlineStr">
        <is>
          <t>bases do cadastro 7</t>
        </is>
      </c>
      <c r="CC1" t="inlineStr">
        <is>
          <t>bases do cadastro 8</t>
        </is>
      </c>
      <c r="CD1" t="inlineStr">
        <is>
          <t>bases do cadastro 9</t>
        </is>
      </c>
      <c r="CE1" t="inlineStr">
        <is>
          <t>bases do cadastro 10</t>
        </is>
      </c>
      <c r="CF1" t="inlineStr">
        <is>
          <t>bases do cadastro 11</t>
        </is>
      </c>
      <c r="CG1" t="inlineStr">
        <is>
          <t>bases do cadastro 12</t>
        </is>
      </c>
      <c r="CH1" t="inlineStr">
        <is>
          <t>bases do cadastro 13</t>
        </is>
      </c>
      <c r="CI1" t="inlineStr">
        <is>
          <t>bases do cadastro 14</t>
        </is>
      </c>
      <c r="CJ1" t="inlineStr">
        <is>
          <t>bases do cadastro 15</t>
        </is>
      </c>
      <c r="CK1" t="inlineStr">
        <is>
          <t>bases do cadastro 16</t>
        </is>
      </c>
      <c r="CL1" t="inlineStr">
        <is>
          <t>bases do cadastro 17</t>
        </is>
      </c>
      <c r="CM1" t="inlineStr">
        <is>
          <t>bases do cadastro 18</t>
        </is>
      </c>
      <c r="CN1" t="inlineStr">
        <is>
          <t>bases do cadastro 19</t>
        </is>
      </c>
      <c r="CO1" t="inlineStr">
        <is>
          <t>bases do cadastro 20</t>
        </is>
      </c>
      <c r="CP1" t="inlineStr">
        <is>
          <t>bases do cadastro 21</t>
        </is>
      </c>
      <c r="CQ1" t="inlineStr">
        <is>
          <t>bases do cadastro 22</t>
        </is>
      </c>
      <c r="CR1" t="inlineStr">
        <is>
          <t>bases do cadastro 23</t>
        </is>
      </c>
      <c r="CS1" t="inlineStr">
        <is>
          <t>bases do cadastro 24</t>
        </is>
      </c>
      <c r="CT1" t="inlineStr">
        <is>
          <t>bases do cadastro 25</t>
        </is>
      </c>
      <c r="CU1" t="inlineStr">
        <is>
          <t>bases do cadastro 26</t>
        </is>
      </c>
      <c r="CV1" t="inlineStr">
        <is>
          <t>bases do cadastro 27</t>
        </is>
      </c>
      <c r="CW1" t="inlineStr">
        <is>
          <t>bases do cadastro 28</t>
        </is>
      </c>
      <c r="CX1" t="inlineStr">
        <is>
          <t>bases do cadastro 29</t>
        </is>
      </c>
      <c r="CY1" t="inlineStr">
        <is>
          <t>bases do cadastro 30</t>
        </is>
      </c>
    </row>
    <row r="2">
      <c r="A2" t="n">
        <v>1011</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IF(ISBLANK(INDEX('CONFIGURAÇÃO'!$B$1:$O$1731,$A2+8,$B2+4)),"",INDEX('CONFIGURAÇÃO'!$B$1:$O$1731,$A2+8,$B2+4))</f>
        <v/>
      </c>
      <c r="I2">
        <f>IF(ISBLANK(INDEX('CONFIGURAÇÃO'!$B$1:$O$1731,$A2+11,$B2+1)),"",INDEX('CONFIGURAÇÃO'!$B$1:$O$1731,$A2+11,$B2+1))</f>
        <v/>
      </c>
      <c r="J2">
        <f>IF(ISBLANK(INDEX('CONFIGURAÇÃO'!$B$1:$O$1731,$A2+17,$B2+1)),"",INDEX('CONFIGURAÇÃO'!$B$1:$O$1731,$A2+17,$B2+1))</f>
        <v/>
      </c>
      <c r="K2">
        <f>IF(ISBLANK(INDEX('CONFIGURAÇÃO'!$B$1:$O$1731,$A2+2,$B2+5)),"",INDEX('CONFIGURAÇÃO'!$B$1:$O$1731,$A2+2,$B2+5))</f>
        <v/>
      </c>
      <c r="L2">
        <f>IF(OR(E2="",E2="Nenhuma"),0,IFERROR(MATCH(SUBSTITUTE(SUBSTITUTE(SUBSTITUTE(E2,"~","~~"),"*","~*"),"?","~?"),'DADOS_MELHORIAS'!$O$2:$O$83,0),-1))</f>
        <v/>
      </c>
      <c r="M2">
        <f>IF(D2="",IF(BR2&lt;&gt;"Melhoria","Preencha NOME",IF(D2="",IF(OR(I2&lt;&gt;"",J2&lt;&gt;"",F2&lt;&gt;"",G2&lt;&gt;"",H2&lt;&gt;"",K2=TRUE,AND(E2&lt;&gt;"",E2&lt;&gt;"Nenhuma")),"Preencha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erro","")))),TEXTJOIN(" · ",TRUE,IF(D2="",IF(OR(I2&lt;&gt;"",J2&lt;&gt;"",F2&lt;&gt;"",G2&lt;&gt;"",H2&lt;&gt;"",K2=TRUE,AND(E2&lt;&gt;"",E2&lt;&gt;"Nenhuma")),"Preencha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erro",""))),IF(AND(BR2&lt;&gt;"Melhoria",BR2&lt;&gt;"Condição"),"Modalidade inválida",""),IF(AND(BR2="Condição",E2&lt;&gt;"",E2&lt;&gt;"Nenhuma",COUNTIF('DADOS_MELHORIAS'!$BU$2:$BU$15,SUBSTITUTE(SUBSTITUTE(SUBSTITUTE(E2,"~","~~"),"*","~*"),"?","~?"))&lt;&gt;1),"Base de Condição inválida",""),IF(AND(BR2="Condição",H2&lt;&gt;"",H2&lt;&gt;"Sim"),"Condição exige TR","")))</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c r="BR2">
        <f>IF(OR(ISBLANK('CONFIGURAÇÃO'!$B$1013),'CONFIGURAÇÃO'!$B$1013=""),"Melhoria",'CONFIGURAÇÃO'!$B$1013)</f>
        <v/>
      </c>
      <c r="BT2" t="inlineStr">
        <is>
          <t>Melhoria</t>
        </is>
      </c>
      <c r="BU2" t="inlineStr">
        <is>
          <t>Nenhuma</t>
        </is>
      </c>
      <c r="BV2">
        <f>FILTER($BP$2:$BP$84,ARRAYFORMULA(IF($BR$2="Condição",COUNTIF('DADOS_MELHORIAS'!$BU$2:$BU$15,$BP$2:$BP$84)&gt;0,ROW($BP$2:$BP$84)&gt;0)))</f>
        <v/>
      </c>
      <c r="BW2">
        <f>FILTER($BP$2:$BP$84,ARRAYFORMULA(IF($BR$3="Condição",COUNTIF('DADOS_MELHORIAS'!$BU$2:$BU$15,$BP$2:$BP$84)&gt;0,ROW($BP$2:$BP$84)&gt;0)))</f>
        <v/>
      </c>
      <c r="BX2">
        <f>FILTER($BP$2:$BP$84,ARRAYFORMULA(IF($BR$4="Condição",COUNTIF('DADOS_MELHORIAS'!$BU$2:$BU$15,$BP$2:$BP$84)&gt;0,ROW($BP$2:$BP$84)&gt;0)))</f>
        <v/>
      </c>
      <c r="BY2">
        <f>FILTER($BP$2:$BP$84,ARRAYFORMULA(IF($BR$5="Condição",COUNTIF('DADOS_MELHORIAS'!$BU$2:$BU$15,$BP$2:$BP$84)&gt;0,ROW($BP$2:$BP$84)&gt;0)))</f>
        <v/>
      </c>
      <c r="BZ2">
        <f>FILTER($BP$2:$BP$84,ARRAYFORMULA(IF($BR$6="Condição",COUNTIF('DADOS_MELHORIAS'!$BU$2:$BU$15,$BP$2:$BP$84)&gt;0,ROW($BP$2:$BP$84)&gt;0)))</f>
        <v/>
      </c>
      <c r="CA2">
        <f>FILTER($BP$2:$BP$84,ARRAYFORMULA(IF($BR$7="Condição",COUNTIF('DADOS_MELHORIAS'!$BU$2:$BU$15,$BP$2:$BP$84)&gt;0,ROW($BP$2:$BP$84)&gt;0)))</f>
        <v/>
      </c>
      <c r="CB2">
        <f>FILTER($BP$2:$BP$84,ARRAYFORMULA(IF($BR$8="Condição",COUNTIF('DADOS_MELHORIAS'!$BU$2:$BU$15,$BP$2:$BP$84)&gt;0,ROW($BP$2:$BP$84)&gt;0)))</f>
        <v/>
      </c>
      <c r="CC2">
        <f>FILTER($BP$2:$BP$84,ARRAYFORMULA(IF($BR$9="Condição",COUNTIF('DADOS_MELHORIAS'!$BU$2:$BU$15,$BP$2:$BP$84)&gt;0,ROW($BP$2:$BP$84)&gt;0)))</f>
        <v/>
      </c>
      <c r="CD2">
        <f>FILTER($BP$2:$BP$84,ARRAYFORMULA(IF($BR$10="Condição",COUNTIF('DADOS_MELHORIAS'!$BU$2:$BU$15,$BP$2:$BP$84)&gt;0,ROW($BP$2:$BP$84)&gt;0)))</f>
        <v/>
      </c>
      <c r="CE2">
        <f>FILTER($BP$2:$BP$84,ARRAYFORMULA(IF($BR$11="Condição",COUNTIF('DADOS_MELHORIAS'!$BU$2:$BU$15,$BP$2:$BP$84)&gt;0,ROW($BP$2:$BP$84)&gt;0)))</f>
        <v/>
      </c>
      <c r="CF2">
        <f>FILTER($BP$2:$BP$84,ARRAYFORMULA(IF($BR$12="Condição",COUNTIF('DADOS_MELHORIAS'!$BU$2:$BU$15,$BP$2:$BP$84)&gt;0,ROW($BP$2:$BP$84)&gt;0)))</f>
        <v/>
      </c>
      <c r="CG2">
        <f>FILTER($BP$2:$BP$84,ARRAYFORMULA(IF($BR$13="Condição",COUNTIF('DADOS_MELHORIAS'!$BU$2:$BU$15,$BP$2:$BP$84)&gt;0,ROW($BP$2:$BP$84)&gt;0)))</f>
        <v/>
      </c>
      <c r="CH2">
        <f>FILTER($BP$2:$BP$84,ARRAYFORMULA(IF($BR$14="Condição",COUNTIF('DADOS_MELHORIAS'!$BU$2:$BU$15,$BP$2:$BP$84)&gt;0,ROW($BP$2:$BP$84)&gt;0)))</f>
        <v/>
      </c>
      <c r="CI2">
        <f>FILTER($BP$2:$BP$84,ARRAYFORMULA(IF($BR$15="Condição",COUNTIF('DADOS_MELHORIAS'!$BU$2:$BU$15,$BP$2:$BP$84)&gt;0,ROW($BP$2:$BP$84)&gt;0)))</f>
        <v/>
      </c>
      <c r="CJ2">
        <f>FILTER($BP$2:$BP$84,ARRAYFORMULA(IF($BR$16="Condição",COUNTIF('DADOS_MELHORIAS'!$BU$2:$BU$15,$BP$2:$BP$84)&gt;0,ROW($BP$2:$BP$84)&gt;0)))</f>
        <v/>
      </c>
      <c r="CK2">
        <f>FILTER($BP$2:$BP$84,ARRAYFORMULA(IF($BR$17="Condição",COUNTIF('DADOS_MELHORIAS'!$BU$2:$BU$15,$BP$2:$BP$84)&gt;0,ROW($BP$2:$BP$84)&gt;0)))</f>
        <v/>
      </c>
      <c r="CL2">
        <f>FILTER($BP$2:$BP$84,ARRAYFORMULA(IF($BR$18="Condição",COUNTIF('DADOS_MELHORIAS'!$BU$2:$BU$15,$BP$2:$BP$84)&gt;0,ROW($BP$2:$BP$84)&gt;0)))</f>
        <v/>
      </c>
      <c r="CM2">
        <f>FILTER($BP$2:$BP$84,ARRAYFORMULA(IF($BR$19="Condição",COUNTIF('DADOS_MELHORIAS'!$BU$2:$BU$15,$BP$2:$BP$84)&gt;0,ROW($BP$2:$BP$84)&gt;0)))</f>
        <v/>
      </c>
      <c r="CN2">
        <f>FILTER($BP$2:$BP$84,ARRAYFORMULA(IF($BR$20="Condição",COUNTIF('DADOS_MELHORIAS'!$BU$2:$BU$15,$BP$2:$BP$84)&gt;0,ROW($BP$2:$BP$84)&gt;0)))</f>
        <v/>
      </c>
      <c r="CO2">
        <f>FILTER($BP$2:$BP$84,ARRAYFORMULA(IF($BR$21="Condição",COUNTIF('DADOS_MELHORIAS'!$BU$2:$BU$15,$BP$2:$BP$84)&gt;0,ROW($BP$2:$BP$84)&gt;0)))</f>
        <v/>
      </c>
      <c r="CP2">
        <f>FILTER($BP$2:$BP$84,ARRAYFORMULA(IF($BR$22="Condição",COUNTIF('DADOS_MELHORIAS'!$BU$2:$BU$15,$BP$2:$BP$84)&gt;0,ROW($BP$2:$BP$84)&gt;0)))</f>
        <v/>
      </c>
      <c r="CQ2">
        <f>FILTER($BP$2:$BP$84,ARRAYFORMULA(IF($BR$23="Condição",COUNTIF('DADOS_MELHORIAS'!$BU$2:$BU$15,$BP$2:$BP$84)&gt;0,ROW($BP$2:$BP$84)&gt;0)))</f>
        <v/>
      </c>
      <c r="CR2">
        <f>FILTER($BP$2:$BP$84,ARRAYFORMULA(IF($BR$24="Condição",COUNTIF('DADOS_MELHORIAS'!$BU$2:$BU$15,$BP$2:$BP$84)&gt;0,ROW($BP$2:$BP$84)&gt;0)))</f>
        <v/>
      </c>
      <c r="CS2">
        <f>FILTER($BP$2:$BP$84,ARRAYFORMULA(IF($BR$25="Condição",COUNTIF('DADOS_MELHORIAS'!$BU$2:$BU$15,$BP$2:$BP$84)&gt;0,ROW($BP$2:$BP$84)&gt;0)))</f>
        <v/>
      </c>
      <c r="CT2">
        <f>FILTER($BP$2:$BP$84,ARRAYFORMULA(IF($BR$26="Condição",COUNTIF('DADOS_MELHORIAS'!$BU$2:$BU$15,$BP$2:$BP$84)&gt;0,ROW($BP$2:$BP$84)&gt;0)))</f>
        <v/>
      </c>
      <c r="CU2">
        <f>FILTER($BP$2:$BP$84,ARRAYFORMULA(IF($BR$27="Condição",COUNTIF('DADOS_MELHORIAS'!$BU$2:$BU$15,$BP$2:$BP$84)&gt;0,ROW($BP$2:$BP$84)&gt;0)))</f>
        <v/>
      </c>
      <c r="CV2">
        <f>FILTER($BP$2:$BP$84,ARRAYFORMULA(IF($BR$28="Condição",COUNTIF('DADOS_MELHORIAS'!$BU$2:$BU$15,$BP$2:$BP$84)&gt;0,ROW($BP$2:$BP$84)&gt;0)))</f>
        <v/>
      </c>
      <c r="CW2">
        <f>FILTER($BP$2:$BP$84,ARRAYFORMULA(IF($BR$29="Condição",COUNTIF('DADOS_MELHORIAS'!$BU$2:$BU$15,$BP$2:$BP$84)&gt;0,ROW($BP$2:$BP$84)&gt;0)))</f>
        <v/>
      </c>
      <c r="CX2">
        <f>FILTER($BP$2:$BP$84,ARRAYFORMULA(IF($BR$30="Condição",COUNTIF('DADOS_MELHORIAS'!$BU$2:$BU$15,$BP$2:$BP$84)&gt;0,ROW($BP$2:$BP$84)&gt;0)))</f>
        <v/>
      </c>
      <c r="CY2">
        <f>FILTER($BP$2:$BP$84,ARRAYFORMULA(IF($BR$31="Condição",COUNTIF('DADOS_MELHORIAS'!$BU$2:$BU$15,$BP$2:$BP$84)&gt;0,ROW($BP$2:$BP$84)&gt;0)))</f>
        <v/>
      </c>
    </row>
    <row r="3">
      <c r="A3" t="n">
        <v>1011</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IF(ISBLANK(INDEX('CONFIGURAÇÃO'!$B$1:$O$1731,$A3+8,$B3+4)),"",INDEX('CONFIGURAÇÃO'!$B$1:$O$1731,$A3+8,$B3+4))</f>
        <v/>
      </c>
      <c r="I3">
        <f>IF(ISBLANK(INDEX('CONFIGURAÇÃO'!$B$1:$O$1731,$A3+11,$B3+1)),"",INDEX('CONFIGURAÇÃO'!$B$1:$O$1731,$A3+11,$B3+1))</f>
        <v/>
      </c>
      <c r="J3">
        <f>IF(ISBLANK(INDEX('CONFIGURAÇÃO'!$B$1:$O$1731,$A3+17,$B3+1)),"",INDEX('CONFIGURAÇÃO'!$B$1:$O$1731,$A3+17,$B3+1))</f>
        <v/>
      </c>
      <c r="K3">
        <f>IF(ISBLANK(INDEX('CONFIGURAÇÃO'!$B$1:$O$1731,$A3+2,$B3+5)),"",INDEX('CONFIGURAÇÃO'!$B$1:$O$1731,$A3+2,$B3+5))</f>
        <v/>
      </c>
      <c r="L3">
        <f>IF(OR(E3="",E3="Nenhuma"),0,IFERROR(MATCH(SUBSTITUTE(SUBSTITUTE(SUBSTITUTE(E3,"~","~~"),"*","~*"),"?","~?"),'DADOS_MELHORIAS'!$O$2:$O$83,0),-1))</f>
        <v/>
      </c>
      <c r="M3">
        <f>IF(D3="",IF(BR3&lt;&gt;"Melhoria","Preencha NOME",IF(D3="",IF(OR(I3&lt;&gt;"",J3&lt;&gt;"",F3&lt;&gt;"",G3&lt;&gt;"",H3&lt;&gt;"",K3=TRUE,AND(E3&lt;&gt;"",E3&lt;&gt;"Nenhuma")),"Preencha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erro","")))),TEXTJOIN(" · ",TRUE,IF(D3="",IF(OR(I3&lt;&gt;"",J3&lt;&gt;"",F3&lt;&gt;"",G3&lt;&gt;"",H3&lt;&gt;"",K3=TRUE,AND(E3&lt;&gt;"",E3&lt;&gt;"Nenhuma")),"Preencha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erro",""))),IF(AND(BR3&lt;&gt;"Melhoria",BR3&lt;&gt;"Condição"),"Modalidade inválida",""),IF(AND(BR3="Condição",E3&lt;&gt;"",E3&lt;&gt;"Nenhuma",COUNTIF('DADOS_MELHORIAS'!$BU$2:$BU$15,SUBSTITUTE(SUBSTITUTE(SUBSTITUTE(E3,"~","~~"),"*","~*"),"?","~?"))&lt;&gt;1),"Base de Condição inválida",""),IF(AND(BR3="Condição",H3&lt;&gt;"",H3&lt;&gt;"Sim"),"Condição exige TR","")))</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c r="BR3">
        <f>IF(OR(ISBLANK('CONFIGURAÇÃO'!$J$1013),'CONFIGURAÇÃO'!$J$1013=""),"Melhoria",'CONFIGURAÇÃO'!$J$1013)</f>
        <v/>
      </c>
      <c r="BT3" t="inlineStr">
        <is>
          <t>Condição</t>
        </is>
      </c>
      <c r="BU3" t="inlineStr">
        <is>
          <t>Lento</t>
        </is>
      </c>
    </row>
    <row r="4">
      <c r="A4" t="n">
        <v>1037</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IF(ISBLANK(INDEX('CONFIGURAÇÃO'!$B$1:$O$1731,$A4+8,$B4+4)),"",INDEX('CONFIGURAÇÃO'!$B$1:$O$1731,$A4+8,$B4+4))</f>
        <v/>
      </c>
      <c r="I4">
        <f>IF(ISBLANK(INDEX('CONFIGURAÇÃO'!$B$1:$O$1731,$A4+11,$B4+1)),"",INDEX('CONFIGURAÇÃO'!$B$1:$O$1731,$A4+11,$B4+1))</f>
        <v/>
      </c>
      <c r="J4">
        <f>IF(ISBLANK(INDEX('CONFIGURAÇÃO'!$B$1:$O$1731,$A4+17,$B4+1)),"",INDEX('CONFIGURAÇÃO'!$B$1:$O$1731,$A4+17,$B4+1))</f>
        <v/>
      </c>
      <c r="K4">
        <f>IF(ISBLANK(INDEX('CONFIGURAÇÃO'!$B$1:$O$1731,$A4+2,$B4+5)),"",INDEX('CONFIGURAÇÃO'!$B$1:$O$1731,$A4+2,$B4+5))</f>
        <v/>
      </c>
      <c r="L4">
        <f>IF(OR(E4="",E4="Nenhuma"),0,IFERROR(MATCH(SUBSTITUTE(SUBSTITUTE(SUBSTITUTE(E4,"~","~~"),"*","~*"),"?","~?"),'DADOS_MELHORIAS'!$O$2:$O$83,0),-1))</f>
        <v/>
      </c>
      <c r="M4">
        <f>IF(D4="",IF(BR4&lt;&gt;"Melhoria","Preencha NOME",IF(D4="",IF(OR(I4&lt;&gt;"",J4&lt;&gt;"",F4&lt;&gt;"",G4&lt;&gt;"",H4&lt;&gt;"",K4=TRUE,AND(E4&lt;&gt;"",E4&lt;&gt;"Nenhuma")),"Preencha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erro","")))),TEXTJOIN(" · ",TRUE,IF(D4="",IF(OR(I4&lt;&gt;"",J4&lt;&gt;"",F4&lt;&gt;"",G4&lt;&gt;"",H4&lt;&gt;"",K4=TRUE,AND(E4&lt;&gt;"",E4&lt;&gt;"Nenhuma")),"Preencha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erro",""))),IF(AND(BR4&lt;&gt;"Melhoria",BR4&lt;&gt;"Condição"),"Modalidade inválida",""),IF(AND(BR4="Condição",E4&lt;&gt;"",E4&lt;&gt;"Nenhuma",COUNTIF('DADOS_MELHORIAS'!$BU$2:$BU$15,SUBSTITUTE(SUBSTITUTE(SUBSTITUTE(E4,"~","~~"),"*","~*"),"?","~?"))&lt;&gt;1),"Base de Condição inválida",""),IF(AND(BR4="Condição",H4&lt;&gt;"",H4&lt;&gt;"Sim"),"Condição exige TR","")))</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c r="BR4">
        <f>IF(OR(ISBLANK('CONFIGURAÇÃO'!$B$1039),'CONFIGURAÇÃO'!$B$1039=""),"Melhoria",'CONFIGURAÇÃO'!$B$1039)</f>
        <v/>
      </c>
      <c r="BU4" t="inlineStr">
        <is>
          <t>Guarda Aberta</t>
        </is>
      </c>
    </row>
    <row r="5">
      <c r="A5" t="n">
        <v>1037</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IF(ISBLANK(INDEX('CONFIGURAÇÃO'!$B$1:$O$1731,$A5+8,$B5+4)),"",INDEX('CONFIGURAÇÃO'!$B$1:$O$1731,$A5+8,$B5+4))</f>
        <v/>
      </c>
      <c r="I5">
        <f>IF(ISBLANK(INDEX('CONFIGURAÇÃO'!$B$1:$O$1731,$A5+11,$B5+1)),"",INDEX('CONFIGURAÇÃO'!$B$1:$O$1731,$A5+11,$B5+1))</f>
        <v/>
      </c>
      <c r="J5">
        <f>IF(ISBLANK(INDEX('CONFIGURAÇÃO'!$B$1:$O$1731,$A5+17,$B5+1)),"",INDEX('CONFIGURAÇÃO'!$B$1:$O$1731,$A5+17,$B5+1))</f>
        <v/>
      </c>
      <c r="K5">
        <f>IF(ISBLANK(INDEX('CONFIGURAÇÃO'!$B$1:$O$1731,$A5+2,$B5+5)),"",INDEX('CONFIGURAÇÃO'!$B$1:$O$1731,$A5+2,$B5+5))</f>
        <v/>
      </c>
      <c r="L5">
        <f>IF(OR(E5="",E5="Nenhuma"),0,IFERROR(MATCH(SUBSTITUTE(SUBSTITUTE(SUBSTITUTE(E5,"~","~~"),"*","~*"),"?","~?"),'DADOS_MELHORIAS'!$O$2:$O$83,0),-1))</f>
        <v/>
      </c>
      <c r="M5">
        <f>IF(D5="",IF(BR5&lt;&gt;"Melhoria","Preencha NOME",IF(D5="",IF(OR(I5&lt;&gt;"",J5&lt;&gt;"",F5&lt;&gt;"",G5&lt;&gt;"",H5&lt;&gt;"",K5=TRUE,AND(E5&lt;&gt;"",E5&lt;&gt;"Nenhuma")),"Preencha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erro","")))),TEXTJOIN(" · ",TRUE,IF(D5="",IF(OR(I5&lt;&gt;"",J5&lt;&gt;"",F5&lt;&gt;"",G5&lt;&gt;"",H5&lt;&gt;"",K5=TRUE,AND(E5&lt;&gt;"",E5&lt;&gt;"Nenhuma")),"Preencha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erro",""))),IF(AND(BR5&lt;&gt;"Melhoria",BR5&lt;&gt;"Condição"),"Modalidade inválida",""),IF(AND(BR5="Condição",E5&lt;&gt;"",E5&lt;&gt;"Nenhuma",COUNTIF('DADOS_MELHORIAS'!$BU$2:$BU$15,SUBSTITUTE(SUBSTITUTE(SUBSTITUTE(E5,"~","~~"),"*","~*"),"?","~?"))&lt;&gt;1),"Base de Condição inválida",""),IF(AND(BR5="Condição",H5&lt;&gt;"",H5&lt;&gt;"Sim"),"Condição exige TR","")))</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c r="BR5">
        <f>IF(OR(ISBLANK('CONFIGURAÇÃO'!$J$1039),'CONFIGURAÇÃO'!$J$1039=""),"Melhoria",'CONFIGURAÇÃO'!$J$1039)</f>
        <v/>
      </c>
      <c r="BU5" t="inlineStr">
        <is>
          <t>Derrubado</t>
        </is>
      </c>
    </row>
    <row r="6">
      <c r="A6" t="n">
        <v>1063</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IF(ISBLANK(INDEX('CONFIGURAÇÃO'!$B$1:$O$1731,$A6+8,$B6+4)),"",INDEX('CONFIGURAÇÃO'!$B$1:$O$1731,$A6+8,$B6+4))</f>
        <v/>
      </c>
      <c r="I6">
        <f>IF(ISBLANK(INDEX('CONFIGURAÇÃO'!$B$1:$O$1731,$A6+11,$B6+1)),"",INDEX('CONFIGURAÇÃO'!$B$1:$O$1731,$A6+11,$B6+1))</f>
        <v/>
      </c>
      <c r="J6">
        <f>IF(ISBLANK(INDEX('CONFIGURAÇÃO'!$B$1:$O$1731,$A6+17,$B6+1)),"",INDEX('CONFIGURAÇÃO'!$B$1:$O$1731,$A6+17,$B6+1))</f>
        <v/>
      </c>
      <c r="K6">
        <f>IF(ISBLANK(INDEX('CONFIGURAÇÃO'!$B$1:$O$1731,$A6+2,$B6+5)),"",INDEX('CONFIGURAÇÃO'!$B$1:$O$1731,$A6+2,$B6+5))</f>
        <v/>
      </c>
      <c r="L6">
        <f>IF(OR(E6="",E6="Nenhuma"),0,IFERROR(MATCH(SUBSTITUTE(SUBSTITUTE(SUBSTITUTE(E6,"~","~~"),"*","~*"),"?","~?"),'DADOS_MELHORIAS'!$O$2:$O$83,0),-1))</f>
        <v/>
      </c>
      <c r="M6">
        <f>IF(D6="",IF(BR6&lt;&gt;"Melhoria","Preencha NOME",IF(D6="",IF(OR(I6&lt;&gt;"",J6&lt;&gt;"",F6&lt;&gt;"",G6&lt;&gt;"",H6&lt;&gt;"",K6=TRUE,AND(E6&lt;&gt;"",E6&lt;&gt;"Nenhuma")),"Preencha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erro","")))),TEXTJOIN(" · ",TRUE,IF(D6="",IF(OR(I6&lt;&gt;"",J6&lt;&gt;"",F6&lt;&gt;"",G6&lt;&gt;"",H6&lt;&gt;"",K6=TRUE,AND(E6&lt;&gt;"",E6&lt;&gt;"Nenhuma")),"Preencha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erro",""))),IF(AND(BR6&lt;&gt;"Melhoria",BR6&lt;&gt;"Condição"),"Modalidade inválida",""),IF(AND(BR6="Condição",E6&lt;&gt;"",E6&lt;&gt;"Nenhuma",COUNTIF('DADOS_MELHORIAS'!$BU$2:$BU$15,SUBSTITUTE(SUBSTITUTE(SUBSTITUTE(E6,"~","~~"),"*","~*"),"?","~?"))&lt;&gt;1),"Base de Condição inválida",""),IF(AND(BR6="Condição",H6&lt;&gt;"",H6&lt;&gt;"Sim"),"Condição exige TR","")))</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c r="BR6">
        <f>IF(OR(ISBLANK('CONFIGURAÇÃO'!$B$1065),'CONFIGURAÇÃO'!$B$1065=""),"Melhoria",'CONFIGURAÇÃO'!$B$1065)</f>
        <v/>
      </c>
      <c r="BU6" t="inlineStr">
        <is>
          <t>Agarrado</t>
        </is>
      </c>
    </row>
    <row r="7">
      <c r="A7" t="n">
        <v>1063</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IF(ISBLANK(INDEX('CONFIGURAÇÃO'!$B$1:$O$1731,$A7+8,$B7+4)),"",INDEX('CONFIGURAÇÃO'!$B$1:$O$1731,$A7+8,$B7+4))</f>
        <v/>
      </c>
      <c r="I7">
        <f>IF(ISBLANK(INDEX('CONFIGURAÇÃO'!$B$1:$O$1731,$A7+11,$B7+1)),"",INDEX('CONFIGURAÇÃO'!$B$1:$O$1731,$A7+11,$B7+1))</f>
        <v/>
      </c>
      <c r="J7">
        <f>IF(ISBLANK(INDEX('CONFIGURAÇÃO'!$B$1:$O$1731,$A7+17,$B7+1)),"",INDEX('CONFIGURAÇÃO'!$B$1:$O$1731,$A7+17,$B7+1))</f>
        <v/>
      </c>
      <c r="K7">
        <f>IF(ISBLANK(INDEX('CONFIGURAÇÃO'!$B$1:$O$1731,$A7+2,$B7+5)),"",INDEX('CONFIGURAÇÃO'!$B$1:$O$1731,$A7+2,$B7+5))</f>
        <v/>
      </c>
      <c r="L7">
        <f>IF(OR(E7="",E7="Nenhuma"),0,IFERROR(MATCH(SUBSTITUTE(SUBSTITUTE(SUBSTITUTE(E7,"~","~~"),"*","~*"),"?","~?"),'DADOS_MELHORIAS'!$O$2:$O$83,0),-1))</f>
        <v/>
      </c>
      <c r="M7">
        <f>IF(D7="",IF(BR7&lt;&gt;"Melhoria","Preencha NOME",IF(D7="",IF(OR(I7&lt;&gt;"",J7&lt;&gt;"",F7&lt;&gt;"",G7&lt;&gt;"",H7&lt;&gt;"",K7=TRUE,AND(E7&lt;&gt;"",E7&lt;&gt;"Nenhuma")),"Preencha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erro","")))),TEXTJOIN(" · ",TRUE,IF(D7="",IF(OR(I7&lt;&gt;"",J7&lt;&gt;"",F7&lt;&gt;"",G7&lt;&gt;"",H7&lt;&gt;"",K7=TRUE,AND(E7&lt;&gt;"",E7&lt;&gt;"Nenhuma")),"Preencha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erro",""))),IF(AND(BR7&lt;&gt;"Melhoria",BR7&lt;&gt;"Condição"),"Modalidade inválida",""),IF(AND(BR7="Condição",E7&lt;&gt;"",E7&lt;&gt;"Nenhuma",COUNTIF('DADOS_MELHORIAS'!$BU$2:$BU$15,SUBSTITUTE(SUBSTITUTE(SUBSTITUTE(E7,"~","~~"),"*","~*"),"?","~?"))&lt;&gt;1),"Base de Condição inválida",""),IF(AND(BR7="Condição",H7&lt;&gt;"",H7&lt;&gt;"Sim"),"Condição exige TR","")))</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c r="BR7">
        <f>IF(OR(ISBLANK('CONFIGURAÇÃO'!$J$1065),'CONFIGURAÇÃO'!$J$1065=""),"Melhoria",'CONFIGURAÇÃO'!$J$1065)</f>
        <v/>
      </c>
      <c r="BU7" t="inlineStr">
        <is>
          <t>Desarmado</t>
        </is>
      </c>
    </row>
    <row r="8">
      <c r="A8" t="n">
        <v>1089</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IF(ISBLANK(INDEX('CONFIGURAÇÃO'!$B$1:$O$1731,$A8+8,$B8+4)),"",INDEX('CONFIGURAÇÃO'!$B$1:$O$1731,$A8+8,$B8+4))</f>
        <v/>
      </c>
      <c r="I8">
        <f>IF(ISBLANK(INDEX('CONFIGURAÇÃO'!$B$1:$O$1731,$A8+11,$B8+1)),"",INDEX('CONFIGURAÇÃO'!$B$1:$O$1731,$A8+11,$B8+1))</f>
        <v/>
      </c>
      <c r="J8">
        <f>IF(ISBLANK(INDEX('CONFIGURAÇÃO'!$B$1:$O$1731,$A8+17,$B8+1)),"",INDEX('CONFIGURAÇÃO'!$B$1:$O$1731,$A8+17,$B8+1))</f>
        <v/>
      </c>
      <c r="K8">
        <f>IF(ISBLANK(INDEX('CONFIGURAÇÃO'!$B$1:$O$1731,$A8+2,$B8+5)),"",INDEX('CONFIGURAÇÃO'!$B$1:$O$1731,$A8+2,$B8+5))</f>
        <v/>
      </c>
      <c r="L8">
        <f>IF(OR(E8="",E8="Nenhuma"),0,IFERROR(MATCH(SUBSTITUTE(SUBSTITUTE(SUBSTITUTE(E8,"~","~~"),"*","~*"),"?","~?"),'DADOS_MELHORIAS'!$O$2:$O$83,0),-1))</f>
        <v/>
      </c>
      <c r="M8">
        <f>IF(D8="",IF(BR8&lt;&gt;"Melhoria","Preencha NOME",IF(D8="",IF(OR(I8&lt;&gt;"",J8&lt;&gt;"",F8&lt;&gt;"",G8&lt;&gt;"",H8&lt;&gt;"",K8=TRUE,AND(E8&lt;&gt;"",E8&lt;&gt;"Nenhuma")),"Preencha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erro","")))),TEXTJOIN(" · ",TRUE,IF(D8="",IF(OR(I8&lt;&gt;"",J8&lt;&gt;"",F8&lt;&gt;"",G8&lt;&gt;"",H8&lt;&gt;"",K8=TRUE,AND(E8&lt;&gt;"",E8&lt;&gt;"Nenhuma")),"Preencha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erro",""))),IF(AND(BR8&lt;&gt;"Melhoria",BR8&lt;&gt;"Condição"),"Modalidade inválida",""),IF(AND(BR8="Condição",E8&lt;&gt;"",E8&lt;&gt;"Nenhuma",COUNTIF('DADOS_MELHORIAS'!$BU$2:$BU$15,SUBSTITUTE(SUBSTITUTE(SUBSTITUTE(E8,"~","~~"),"*","~*"),"?","~?"))&lt;&gt;1),"Base de Condição inválida",""),IF(AND(BR8="Condição",H8&lt;&gt;"",H8&lt;&gt;"Sim"),"Condição exige TR","")))</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c r="BR8">
        <f>IF(OR(ISBLANK('CONFIGURAÇÃO'!$B$1091),'CONFIGURAÇÃO'!$B$1091=""),"Melhoria",'CONFIGURAÇÃO'!$B$1091)</f>
        <v/>
      </c>
      <c r="BU8" t="inlineStr">
        <is>
          <t>Surdo</t>
        </is>
      </c>
    </row>
    <row r="9">
      <c r="A9" t="n">
        <v>1089</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IF(ISBLANK(INDEX('CONFIGURAÇÃO'!$B$1:$O$1731,$A9+8,$B9+4)),"",INDEX('CONFIGURAÇÃO'!$B$1:$O$1731,$A9+8,$B9+4))</f>
        <v/>
      </c>
      <c r="I9">
        <f>IF(ISBLANK(INDEX('CONFIGURAÇÃO'!$B$1:$O$1731,$A9+11,$B9+1)),"",INDEX('CONFIGURAÇÃO'!$B$1:$O$1731,$A9+11,$B9+1))</f>
        <v/>
      </c>
      <c r="J9">
        <f>IF(ISBLANK(INDEX('CONFIGURAÇÃO'!$B$1:$O$1731,$A9+17,$B9+1)),"",INDEX('CONFIGURAÇÃO'!$B$1:$O$1731,$A9+17,$B9+1))</f>
        <v/>
      </c>
      <c r="K9">
        <f>IF(ISBLANK(INDEX('CONFIGURAÇÃO'!$B$1:$O$1731,$A9+2,$B9+5)),"",INDEX('CONFIGURAÇÃO'!$B$1:$O$1731,$A9+2,$B9+5))</f>
        <v/>
      </c>
      <c r="L9">
        <f>IF(OR(E9="",E9="Nenhuma"),0,IFERROR(MATCH(SUBSTITUTE(SUBSTITUTE(SUBSTITUTE(E9,"~","~~"),"*","~*"),"?","~?"),'DADOS_MELHORIAS'!$O$2:$O$83,0),-1))</f>
        <v/>
      </c>
      <c r="M9">
        <f>IF(D9="",IF(BR9&lt;&gt;"Melhoria","Preencha NOME",IF(D9="",IF(OR(I9&lt;&gt;"",J9&lt;&gt;"",F9&lt;&gt;"",G9&lt;&gt;"",H9&lt;&gt;"",K9=TRUE,AND(E9&lt;&gt;"",E9&lt;&gt;"Nenhuma")),"Preencha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erro","")))),TEXTJOIN(" · ",TRUE,IF(D9="",IF(OR(I9&lt;&gt;"",J9&lt;&gt;"",F9&lt;&gt;"",G9&lt;&gt;"",H9&lt;&gt;"",K9=TRUE,AND(E9&lt;&gt;"",E9&lt;&gt;"Nenhuma")),"Preencha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erro",""))),IF(AND(BR9&lt;&gt;"Melhoria",BR9&lt;&gt;"Condição"),"Modalidade inválida",""),IF(AND(BR9="Condição",E9&lt;&gt;"",E9&lt;&gt;"Nenhuma",COUNTIF('DADOS_MELHORIAS'!$BU$2:$BU$15,SUBSTITUTE(SUBSTITUTE(SUBSTITUTE(E9,"~","~~"),"*","~*"),"?","~?"))&lt;&gt;1),"Base de Condição inválida",""),IF(AND(BR9="Condição",H9&lt;&gt;"",H9&lt;&gt;"Sim"),"Condição exige TR","")))</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c r="BR9">
        <f>IF(OR(ISBLANK('CONFIGURAÇÃO'!$J$1091),'CONFIGURAÇÃO'!$J$1091=""),"Melhoria",'CONFIGURAÇÃO'!$J$1091)</f>
        <v/>
      </c>
      <c r="BU9" t="inlineStr">
        <is>
          <t>Calado</t>
        </is>
      </c>
    </row>
    <row r="10">
      <c r="A10" t="n">
        <v>1115</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IF(ISBLANK(INDEX('CONFIGURAÇÃO'!$B$1:$O$1731,$A10+8,$B10+4)),"",INDEX('CONFIGURAÇÃO'!$B$1:$O$1731,$A10+8,$B10+4))</f>
        <v/>
      </c>
      <c r="I10">
        <f>IF(ISBLANK(INDEX('CONFIGURAÇÃO'!$B$1:$O$1731,$A10+11,$B10+1)),"",INDEX('CONFIGURAÇÃO'!$B$1:$O$1731,$A10+11,$B10+1))</f>
        <v/>
      </c>
      <c r="J10">
        <f>IF(ISBLANK(INDEX('CONFIGURAÇÃO'!$B$1:$O$1731,$A10+17,$B10+1)),"",INDEX('CONFIGURAÇÃO'!$B$1:$O$1731,$A10+17,$B10+1))</f>
        <v/>
      </c>
      <c r="K10">
        <f>IF(ISBLANK(INDEX('CONFIGURAÇÃO'!$B$1:$O$1731,$A10+2,$B10+5)),"",INDEX('CONFIGURAÇÃO'!$B$1:$O$1731,$A10+2,$B10+5))</f>
        <v/>
      </c>
      <c r="L10">
        <f>IF(OR(E10="",E10="Nenhuma"),0,IFERROR(MATCH(SUBSTITUTE(SUBSTITUTE(SUBSTITUTE(E10,"~","~~"),"*","~*"),"?","~?"),'DADOS_MELHORIAS'!$O$2:$O$83,0),-1))</f>
        <v/>
      </c>
      <c r="M10">
        <f>IF(D10="",IF(BR10&lt;&gt;"Melhoria","Preencha NOME",IF(D10="",IF(OR(I10&lt;&gt;"",J10&lt;&gt;"",F10&lt;&gt;"",G10&lt;&gt;"",H10&lt;&gt;"",K10=TRUE,AND(E10&lt;&gt;"",E10&lt;&gt;"Nenhuma")),"Preencha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erro","")))),TEXTJOIN(" · ",TRUE,IF(D10="",IF(OR(I10&lt;&gt;"",J10&lt;&gt;"",F10&lt;&gt;"",G10&lt;&gt;"",H10&lt;&gt;"",K10=TRUE,AND(E10&lt;&gt;"",E10&lt;&gt;"Nenhuma")),"Preencha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erro",""))),IF(AND(BR10&lt;&gt;"Melhoria",BR10&lt;&gt;"Condição"),"Modalidade inválida",""),IF(AND(BR10="Condição",E10&lt;&gt;"",E10&lt;&gt;"Nenhuma",COUNTIF('DADOS_MELHORIAS'!$BU$2:$BU$15,SUBSTITUTE(SUBSTITUTE(SUBSTITUTE(E10,"~","~~"),"*","~*"),"?","~?"))&lt;&gt;1),"Base de Condição inválida",""),IF(AND(BR10="Condição",H10&lt;&gt;"",H10&lt;&gt;"Sim"),"Condição exige TR","")))</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c r="BR10">
        <f>IF(OR(ISBLANK('CONFIGURAÇÃO'!$B$1117),'CONFIGURAÇÃO'!$B$1117=""),"Melhoria",'CONFIGURAÇÃO'!$B$1117)</f>
        <v/>
      </c>
      <c r="BU10" t="inlineStr">
        <is>
          <t>Enfeitiçado</t>
        </is>
      </c>
    </row>
    <row r="11">
      <c r="A11" t="n">
        <v>1115</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IF(ISBLANK(INDEX('CONFIGURAÇÃO'!$B$1:$O$1731,$A11+8,$B11+4)),"",INDEX('CONFIGURAÇÃO'!$B$1:$O$1731,$A11+8,$B11+4))</f>
        <v/>
      </c>
      <c r="I11">
        <f>IF(ISBLANK(INDEX('CONFIGURAÇÃO'!$B$1:$O$1731,$A11+11,$B11+1)),"",INDEX('CONFIGURAÇÃO'!$B$1:$O$1731,$A11+11,$B11+1))</f>
        <v/>
      </c>
      <c r="J11">
        <f>IF(ISBLANK(INDEX('CONFIGURAÇÃO'!$B$1:$O$1731,$A11+17,$B11+1)),"",INDEX('CONFIGURAÇÃO'!$B$1:$O$1731,$A11+17,$B11+1))</f>
        <v/>
      </c>
      <c r="K11">
        <f>IF(ISBLANK(INDEX('CONFIGURAÇÃO'!$B$1:$O$1731,$A11+2,$B11+5)),"",INDEX('CONFIGURAÇÃO'!$B$1:$O$1731,$A11+2,$B11+5))</f>
        <v/>
      </c>
      <c r="L11">
        <f>IF(OR(E11="",E11="Nenhuma"),0,IFERROR(MATCH(SUBSTITUTE(SUBSTITUTE(SUBSTITUTE(E11,"~","~~"),"*","~*"),"?","~?"),'DADOS_MELHORIAS'!$O$2:$O$83,0),-1))</f>
        <v/>
      </c>
      <c r="M11">
        <f>IF(D11="",IF(BR11&lt;&gt;"Melhoria","Preencha NOME",IF(D11="",IF(OR(I11&lt;&gt;"",J11&lt;&gt;"",F11&lt;&gt;"",G11&lt;&gt;"",H11&lt;&gt;"",K11=TRUE,AND(E11&lt;&gt;"",E11&lt;&gt;"Nenhuma")),"Preencha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erro","")))),TEXTJOIN(" · ",TRUE,IF(D11="",IF(OR(I11&lt;&gt;"",J11&lt;&gt;"",F11&lt;&gt;"",G11&lt;&gt;"",H11&lt;&gt;"",K11=TRUE,AND(E11&lt;&gt;"",E11&lt;&gt;"Nenhuma")),"Preencha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erro",""))),IF(AND(BR11&lt;&gt;"Melhoria",BR11&lt;&gt;"Condição"),"Modalidade inválida",""),IF(AND(BR11="Condição",E11&lt;&gt;"",E11&lt;&gt;"Nenhuma",COUNTIF('DADOS_MELHORIAS'!$BU$2:$BU$15,SUBSTITUTE(SUBSTITUTE(SUBSTITUTE(E11,"~","~~"),"*","~*"),"?","~?"))&lt;&gt;1),"Base de Condição inválida",""),IF(AND(BR11="Condição",H11&lt;&gt;"",H11&lt;&gt;"Sim"),"Condição exige TR","")))</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c r="BR11">
        <f>IF(OR(ISBLANK('CONFIGURAÇÃO'!$J$1117),'CONFIGURAÇÃO'!$J$1117=""),"Melhoria",'CONFIGURAÇÃO'!$J$1117)</f>
        <v/>
      </c>
      <c r="BU11" t="inlineStr">
        <is>
          <t>Impedido</t>
        </is>
      </c>
    </row>
    <row r="12">
      <c r="A12" t="n">
        <v>1141</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IF(ISBLANK(INDEX('CONFIGURAÇÃO'!$B$1:$O$1731,$A12+8,$B12+4)),"",INDEX('CONFIGURAÇÃO'!$B$1:$O$1731,$A12+8,$B12+4))</f>
        <v/>
      </c>
      <c r="I12">
        <f>IF(ISBLANK(INDEX('CONFIGURAÇÃO'!$B$1:$O$1731,$A12+11,$B12+1)),"",INDEX('CONFIGURAÇÃO'!$B$1:$O$1731,$A12+11,$B12+1))</f>
        <v/>
      </c>
      <c r="J12">
        <f>IF(ISBLANK(INDEX('CONFIGURAÇÃO'!$B$1:$O$1731,$A12+17,$B12+1)),"",INDEX('CONFIGURAÇÃO'!$B$1:$O$1731,$A12+17,$B12+1))</f>
        <v/>
      </c>
      <c r="K12">
        <f>IF(ISBLANK(INDEX('CONFIGURAÇÃO'!$B$1:$O$1731,$A12+2,$B12+5)),"",INDEX('CONFIGURAÇÃO'!$B$1:$O$1731,$A12+2,$B12+5))</f>
        <v/>
      </c>
      <c r="L12">
        <f>IF(OR(E12="",E12="Nenhuma"),0,IFERROR(MATCH(SUBSTITUTE(SUBSTITUTE(SUBSTITUTE(E12,"~","~~"),"*","~*"),"?","~?"),'DADOS_MELHORIAS'!$O$2:$O$83,0),-1))</f>
        <v/>
      </c>
      <c r="M12">
        <f>IF(D12="",IF(BR12&lt;&gt;"Melhoria","Preencha NOME",IF(D12="",IF(OR(I12&lt;&gt;"",J12&lt;&gt;"",F12&lt;&gt;"",G12&lt;&gt;"",H12&lt;&gt;"",K12=TRUE,AND(E12&lt;&gt;"",E12&lt;&gt;"Nenhuma")),"Preencha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erro","")))),TEXTJOIN(" · ",TRUE,IF(D12="",IF(OR(I12&lt;&gt;"",J12&lt;&gt;"",F12&lt;&gt;"",G12&lt;&gt;"",H12&lt;&gt;"",K12=TRUE,AND(E12&lt;&gt;"",E12&lt;&gt;"Nenhuma")),"Preencha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erro",""))),IF(AND(BR12&lt;&gt;"Melhoria",BR12&lt;&gt;"Condição"),"Modalidade inválida",""),IF(AND(BR12="Condição",E12&lt;&gt;"",E12&lt;&gt;"Nenhuma",COUNTIF('DADOS_MELHORIAS'!$BU$2:$BU$15,SUBSTITUTE(SUBSTITUTE(SUBSTITUTE(E12,"~","~~"),"*","~*"),"?","~?"))&lt;&gt;1),"Base de Condição inválida",""),IF(AND(BR12="Condição",H12&lt;&gt;"",H12&lt;&gt;"Sim"),"Condição exige TR","")))</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c r="BR12">
        <f>IF(OR(ISBLANK('CONFIGURAÇÃO'!$B$1143),'CONFIGURAÇÃO'!$B$1143=""),"Melhoria",'CONFIGURAÇÃO'!$B$1143)</f>
        <v/>
      </c>
      <c r="BU12" t="inlineStr">
        <is>
          <t>Cego</t>
        </is>
      </c>
    </row>
    <row r="13">
      <c r="A13" t="n">
        <v>1141</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IF(ISBLANK(INDEX('CONFIGURAÇÃO'!$B$1:$O$1731,$A13+8,$B13+4)),"",INDEX('CONFIGURAÇÃO'!$B$1:$O$1731,$A13+8,$B13+4))</f>
        <v/>
      </c>
      <c r="I13">
        <f>IF(ISBLANK(INDEX('CONFIGURAÇÃO'!$B$1:$O$1731,$A13+11,$B13+1)),"",INDEX('CONFIGURAÇÃO'!$B$1:$O$1731,$A13+11,$B13+1))</f>
        <v/>
      </c>
      <c r="J13">
        <f>IF(ISBLANK(INDEX('CONFIGURAÇÃO'!$B$1:$O$1731,$A13+17,$B13+1)),"",INDEX('CONFIGURAÇÃO'!$B$1:$O$1731,$A13+17,$B13+1))</f>
        <v/>
      </c>
      <c r="K13">
        <f>IF(ISBLANK(INDEX('CONFIGURAÇÃO'!$B$1:$O$1731,$A13+2,$B13+5)),"",INDEX('CONFIGURAÇÃO'!$B$1:$O$1731,$A13+2,$B13+5))</f>
        <v/>
      </c>
      <c r="L13">
        <f>IF(OR(E13="",E13="Nenhuma"),0,IFERROR(MATCH(SUBSTITUTE(SUBSTITUTE(SUBSTITUTE(E13,"~","~~"),"*","~*"),"?","~?"),'DADOS_MELHORIAS'!$O$2:$O$83,0),-1))</f>
        <v/>
      </c>
      <c r="M13">
        <f>IF(D13="",IF(BR13&lt;&gt;"Melhoria","Preencha NOME",IF(D13="",IF(OR(I13&lt;&gt;"",J13&lt;&gt;"",F13&lt;&gt;"",G13&lt;&gt;"",H13&lt;&gt;"",K13=TRUE,AND(E13&lt;&gt;"",E13&lt;&gt;"Nenhuma")),"Preencha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erro","")))),TEXTJOIN(" · ",TRUE,IF(D13="",IF(OR(I13&lt;&gt;"",J13&lt;&gt;"",F13&lt;&gt;"",G13&lt;&gt;"",H13&lt;&gt;"",K13=TRUE,AND(E13&lt;&gt;"",E13&lt;&gt;"Nenhuma")),"Preencha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erro",""))),IF(AND(BR13&lt;&gt;"Melhoria",BR13&lt;&gt;"Condição"),"Modalidade inválida",""),IF(AND(BR13="Condição",E13&lt;&gt;"",E13&lt;&gt;"Nenhuma",COUNTIF('DADOS_MELHORIAS'!$BU$2:$BU$15,SUBSTITUTE(SUBSTITUTE(SUBSTITUTE(E13,"~","~~"),"*","~*"),"?","~?"))&lt;&gt;1),"Base de Condição inválida",""),IF(AND(BR13="Condição",H13&lt;&gt;"",H13&lt;&gt;"Sim"),"Condição exige TR","")))</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c r="BR13">
        <f>IF(OR(ISBLANK('CONFIGURAÇÃO'!$J$1143),'CONFIGURAÇÃO'!$J$1143=""),"Melhoria",'CONFIGURAÇÃO'!$J$1143)</f>
        <v/>
      </c>
      <c r="BU13" t="inlineStr">
        <is>
          <t>Amedrontado</t>
        </is>
      </c>
    </row>
    <row r="14">
      <c r="A14" t="n">
        <v>1167</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IF(ISBLANK(INDEX('CONFIGURAÇÃO'!$B$1:$O$1731,$A14+8,$B14+4)),"",INDEX('CONFIGURAÇÃO'!$B$1:$O$1731,$A14+8,$B14+4))</f>
        <v/>
      </c>
      <c r="I14">
        <f>IF(ISBLANK(INDEX('CONFIGURAÇÃO'!$B$1:$O$1731,$A14+11,$B14+1)),"",INDEX('CONFIGURAÇÃO'!$B$1:$O$1731,$A14+11,$B14+1))</f>
        <v/>
      </c>
      <c r="J14">
        <f>IF(ISBLANK(INDEX('CONFIGURAÇÃO'!$B$1:$O$1731,$A14+17,$B14+1)),"",INDEX('CONFIGURAÇÃO'!$B$1:$O$1731,$A14+17,$B14+1))</f>
        <v/>
      </c>
      <c r="K14">
        <f>IF(ISBLANK(INDEX('CONFIGURAÇÃO'!$B$1:$O$1731,$A14+2,$B14+5)),"",INDEX('CONFIGURAÇÃO'!$B$1:$O$1731,$A14+2,$B14+5))</f>
        <v/>
      </c>
      <c r="L14">
        <f>IF(OR(E14="",E14="Nenhuma"),0,IFERROR(MATCH(SUBSTITUTE(SUBSTITUTE(SUBSTITUTE(E14,"~","~~"),"*","~*"),"?","~?"),'DADOS_MELHORIAS'!$O$2:$O$83,0),-1))</f>
        <v/>
      </c>
      <c r="M14">
        <f>IF(D14="",IF(BR14&lt;&gt;"Melhoria","Preencha NOME",IF(D14="",IF(OR(I14&lt;&gt;"",J14&lt;&gt;"",F14&lt;&gt;"",G14&lt;&gt;"",H14&lt;&gt;"",K14=TRUE,AND(E14&lt;&gt;"",E14&lt;&gt;"Nenhuma")),"Preencha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erro","")))),TEXTJOIN(" · ",TRUE,IF(D14="",IF(OR(I14&lt;&gt;"",J14&lt;&gt;"",F14&lt;&gt;"",G14&lt;&gt;"",H14&lt;&gt;"",K14=TRUE,AND(E14&lt;&gt;"",E14&lt;&gt;"Nenhuma")),"Preencha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erro",""))),IF(AND(BR14&lt;&gt;"Melhoria",BR14&lt;&gt;"Condição"),"Modalidade inválida",""),IF(AND(BR14="Condição",E14&lt;&gt;"",E14&lt;&gt;"Nenhuma",COUNTIF('DADOS_MELHORIAS'!$BU$2:$BU$15,SUBSTITUTE(SUBSTITUTE(SUBSTITUTE(E14,"~","~~"),"*","~*"),"?","~?"))&lt;&gt;1),"Base de Condição inválida",""),IF(AND(BR14="Condição",H14&lt;&gt;"",H14&lt;&gt;"Sim"),"Condição exige TR","")))</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c r="BR14">
        <f>IF(OR(ISBLANK('CONFIGURAÇÃO'!$B$1169),'CONFIGURAÇÃO'!$B$1169=""),"Melhoria",'CONFIGURAÇÃO'!$B$1169)</f>
        <v/>
      </c>
      <c r="BU14" t="inlineStr">
        <is>
          <t>Envenenado</t>
        </is>
      </c>
    </row>
    <row r="15">
      <c r="A15" t="n">
        <v>1167</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IF(ISBLANK(INDEX('CONFIGURAÇÃO'!$B$1:$O$1731,$A15+8,$B15+4)),"",INDEX('CONFIGURAÇÃO'!$B$1:$O$1731,$A15+8,$B15+4))</f>
        <v/>
      </c>
      <c r="I15">
        <f>IF(ISBLANK(INDEX('CONFIGURAÇÃO'!$B$1:$O$1731,$A15+11,$B15+1)),"",INDEX('CONFIGURAÇÃO'!$B$1:$O$1731,$A15+11,$B15+1))</f>
        <v/>
      </c>
      <c r="J15">
        <f>IF(ISBLANK(INDEX('CONFIGURAÇÃO'!$B$1:$O$1731,$A15+17,$B15+1)),"",INDEX('CONFIGURAÇÃO'!$B$1:$O$1731,$A15+17,$B15+1))</f>
        <v/>
      </c>
      <c r="K15">
        <f>IF(ISBLANK(INDEX('CONFIGURAÇÃO'!$B$1:$O$1731,$A15+2,$B15+5)),"",INDEX('CONFIGURAÇÃO'!$B$1:$O$1731,$A15+2,$B15+5))</f>
        <v/>
      </c>
      <c r="L15">
        <f>IF(OR(E15="",E15="Nenhuma"),0,IFERROR(MATCH(SUBSTITUTE(SUBSTITUTE(SUBSTITUTE(E15,"~","~~"),"*","~*"),"?","~?"),'DADOS_MELHORIAS'!$O$2:$O$83,0),-1))</f>
        <v/>
      </c>
      <c r="M15">
        <f>IF(D15="",IF(BR15&lt;&gt;"Melhoria","Preencha NOME",IF(D15="",IF(OR(I15&lt;&gt;"",J15&lt;&gt;"",F15&lt;&gt;"",G15&lt;&gt;"",H15&lt;&gt;"",K15=TRUE,AND(E15&lt;&gt;"",E15&lt;&gt;"Nenhuma")),"Preencha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erro","")))),TEXTJOIN(" · ",TRUE,IF(D15="",IF(OR(I15&lt;&gt;"",J15&lt;&gt;"",F15&lt;&gt;"",G15&lt;&gt;"",H15&lt;&gt;"",K15=TRUE,AND(E15&lt;&gt;"",E15&lt;&gt;"Nenhuma")),"Preencha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erro",""))),IF(AND(BR15&lt;&gt;"Melhoria",BR15&lt;&gt;"Condição"),"Modalidade inválida",""),IF(AND(BR15="Condição",E15&lt;&gt;"",E15&lt;&gt;"Nenhuma",COUNTIF('DADOS_MELHORIAS'!$BU$2:$BU$15,SUBSTITUTE(SUBSTITUTE(SUBSTITUTE(E15,"~","~~"),"*","~*"),"?","~?"))&lt;&gt;1),"Base de Condição inválida",""),IF(AND(BR15="Condição",H15&lt;&gt;"",H15&lt;&gt;"Sim"),"Condição exige TR","")))</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c r="BR15">
        <f>IF(OR(ISBLANK('CONFIGURAÇÃO'!$J$1169),'CONFIGURAÇÃO'!$J$1169=""),"Melhoria",'CONFIGURAÇÃO'!$J$1169)</f>
        <v/>
      </c>
      <c r="BU15" t="inlineStr">
        <is>
          <t>Atordoado</t>
        </is>
      </c>
    </row>
    <row r="16">
      <c r="A16" t="n">
        <v>1193</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IF(ISBLANK(INDEX('CONFIGURAÇÃO'!$B$1:$O$1731,$A16+8,$B16+4)),"",INDEX('CONFIGURAÇÃO'!$B$1:$O$1731,$A16+8,$B16+4))</f>
        <v/>
      </c>
      <c r="I16">
        <f>IF(ISBLANK(INDEX('CONFIGURAÇÃO'!$B$1:$O$1731,$A16+11,$B16+1)),"",INDEX('CONFIGURAÇÃO'!$B$1:$O$1731,$A16+11,$B16+1))</f>
        <v/>
      </c>
      <c r="J16">
        <f>IF(ISBLANK(INDEX('CONFIGURAÇÃO'!$B$1:$O$1731,$A16+17,$B16+1)),"",INDEX('CONFIGURAÇÃO'!$B$1:$O$1731,$A16+17,$B16+1))</f>
        <v/>
      </c>
      <c r="K16">
        <f>IF(ISBLANK(INDEX('CONFIGURAÇÃO'!$B$1:$O$1731,$A16+2,$B16+5)),"",INDEX('CONFIGURAÇÃO'!$B$1:$O$1731,$A16+2,$B16+5))</f>
        <v/>
      </c>
      <c r="L16">
        <f>IF(OR(E16="",E16="Nenhuma"),0,IFERROR(MATCH(SUBSTITUTE(SUBSTITUTE(SUBSTITUTE(E16,"~","~~"),"*","~*"),"?","~?"),'DADOS_MELHORIAS'!$O$2:$O$83,0),-1))</f>
        <v/>
      </c>
      <c r="M16">
        <f>IF(D16="",IF(BR16&lt;&gt;"Melhoria","Preencha NOME",IF(D16="",IF(OR(I16&lt;&gt;"",J16&lt;&gt;"",F16&lt;&gt;"",G16&lt;&gt;"",H16&lt;&gt;"",K16=TRUE,AND(E16&lt;&gt;"",E16&lt;&gt;"Nenhuma")),"Preencha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erro","")))),TEXTJOIN(" · ",TRUE,IF(D16="",IF(OR(I16&lt;&gt;"",J16&lt;&gt;"",F16&lt;&gt;"",G16&lt;&gt;"",H16&lt;&gt;"",K16=TRUE,AND(E16&lt;&gt;"",E16&lt;&gt;"Nenhuma")),"Preencha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erro",""))),IF(AND(BR16&lt;&gt;"Melhoria",BR16&lt;&gt;"Condição"),"Modalidade inválida",""),IF(AND(BR16="Condição",E16&lt;&gt;"",E16&lt;&gt;"Nenhuma",COUNTIF('DADOS_MELHORIAS'!$BU$2:$BU$15,SUBSTITUTE(SUBSTITUTE(SUBSTITUTE(E16,"~","~~"),"*","~*"),"?","~?"))&lt;&gt;1),"Base de Condição inválida",""),IF(AND(BR16="Condição",H16&lt;&gt;"",H16&lt;&gt;"Sim"),"Condição exige TR","")))</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c r="BR16">
        <f>IF(OR(ISBLANK('CONFIGURAÇÃO'!$B$1195),'CONFIGURAÇÃO'!$B$1195=""),"Melhoria",'CONFIGURAÇÃO'!$B$1195)</f>
        <v/>
      </c>
    </row>
    <row r="17">
      <c r="A17" t="n">
        <v>1193</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IF(ISBLANK(INDEX('CONFIGURAÇÃO'!$B$1:$O$1731,$A17+8,$B17+4)),"",INDEX('CONFIGURAÇÃO'!$B$1:$O$1731,$A17+8,$B17+4))</f>
        <v/>
      </c>
      <c r="I17">
        <f>IF(ISBLANK(INDEX('CONFIGURAÇÃO'!$B$1:$O$1731,$A17+11,$B17+1)),"",INDEX('CONFIGURAÇÃO'!$B$1:$O$1731,$A17+11,$B17+1))</f>
        <v/>
      </c>
      <c r="J17">
        <f>IF(ISBLANK(INDEX('CONFIGURAÇÃO'!$B$1:$O$1731,$A17+17,$B17+1)),"",INDEX('CONFIGURAÇÃO'!$B$1:$O$1731,$A17+17,$B17+1))</f>
        <v/>
      </c>
      <c r="K17">
        <f>IF(ISBLANK(INDEX('CONFIGURAÇÃO'!$B$1:$O$1731,$A17+2,$B17+5)),"",INDEX('CONFIGURAÇÃO'!$B$1:$O$1731,$A17+2,$B17+5))</f>
        <v/>
      </c>
      <c r="L17">
        <f>IF(OR(E17="",E17="Nenhuma"),0,IFERROR(MATCH(SUBSTITUTE(SUBSTITUTE(SUBSTITUTE(E17,"~","~~"),"*","~*"),"?","~?"),'DADOS_MELHORIAS'!$O$2:$O$83,0),-1))</f>
        <v/>
      </c>
      <c r="M17">
        <f>IF(D17="",IF(BR17&lt;&gt;"Melhoria","Preencha NOME",IF(D17="",IF(OR(I17&lt;&gt;"",J17&lt;&gt;"",F17&lt;&gt;"",G17&lt;&gt;"",H17&lt;&gt;"",K17=TRUE,AND(E17&lt;&gt;"",E17&lt;&gt;"Nenhuma")),"Preencha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erro","")))),TEXTJOIN(" · ",TRUE,IF(D17="",IF(OR(I17&lt;&gt;"",J17&lt;&gt;"",F17&lt;&gt;"",G17&lt;&gt;"",H17&lt;&gt;"",K17=TRUE,AND(E17&lt;&gt;"",E17&lt;&gt;"Nenhuma")),"Preencha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erro",""))),IF(AND(BR17&lt;&gt;"Melhoria",BR17&lt;&gt;"Condição"),"Modalidade inválida",""),IF(AND(BR17="Condição",E17&lt;&gt;"",E17&lt;&gt;"Nenhuma",COUNTIF('DADOS_MELHORIAS'!$BU$2:$BU$15,SUBSTITUTE(SUBSTITUTE(SUBSTITUTE(E17,"~","~~"),"*","~*"),"?","~?"))&lt;&gt;1),"Base de Condição inválida",""),IF(AND(BR17="Condição",H17&lt;&gt;"",H17&lt;&gt;"Sim"),"Condição exige TR","")))</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c r="BR17">
        <f>IF(OR(ISBLANK('CONFIGURAÇÃO'!$J$1195),'CONFIGURAÇÃO'!$J$1195=""),"Melhoria",'CONFIGURAÇÃO'!$J$1195)</f>
        <v/>
      </c>
    </row>
    <row r="18">
      <c r="A18" t="n">
        <v>1219</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IF(ISBLANK(INDEX('CONFIGURAÇÃO'!$B$1:$O$1731,$A18+8,$B18+4)),"",INDEX('CONFIGURAÇÃO'!$B$1:$O$1731,$A18+8,$B18+4))</f>
        <v/>
      </c>
      <c r="I18">
        <f>IF(ISBLANK(INDEX('CONFIGURAÇÃO'!$B$1:$O$1731,$A18+11,$B18+1)),"",INDEX('CONFIGURAÇÃO'!$B$1:$O$1731,$A18+11,$B18+1))</f>
        <v/>
      </c>
      <c r="J18">
        <f>IF(ISBLANK(INDEX('CONFIGURAÇÃO'!$B$1:$O$1731,$A18+17,$B18+1)),"",INDEX('CONFIGURAÇÃO'!$B$1:$O$1731,$A18+17,$B18+1))</f>
        <v/>
      </c>
      <c r="K18">
        <f>IF(ISBLANK(INDEX('CONFIGURAÇÃO'!$B$1:$O$1731,$A18+2,$B18+5)),"",INDEX('CONFIGURAÇÃO'!$B$1:$O$1731,$A18+2,$B18+5))</f>
        <v/>
      </c>
      <c r="L18">
        <f>IF(OR(E18="",E18="Nenhuma"),0,IFERROR(MATCH(SUBSTITUTE(SUBSTITUTE(SUBSTITUTE(E18,"~","~~"),"*","~*"),"?","~?"),'DADOS_MELHORIAS'!$O$2:$O$83,0),-1))</f>
        <v/>
      </c>
      <c r="M18">
        <f>IF(D18="",IF(BR18&lt;&gt;"Melhoria","Preencha NOME",IF(D18="",IF(OR(I18&lt;&gt;"",J18&lt;&gt;"",F18&lt;&gt;"",G18&lt;&gt;"",H18&lt;&gt;"",K18=TRUE,AND(E18&lt;&gt;"",E18&lt;&gt;"Nenhuma")),"Preencha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erro","")))),TEXTJOIN(" · ",TRUE,IF(D18="",IF(OR(I18&lt;&gt;"",J18&lt;&gt;"",F18&lt;&gt;"",G18&lt;&gt;"",H18&lt;&gt;"",K18=TRUE,AND(E18&lt;&gt;"",E18&lt;&gt;"Nenhuma")),"Preencha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erro",""))),IF(AND(BR18&lt;&gt;"Melhoria",BR18&lt;&gt;"Condição"),"Modalidade inválida",""),IF(AND(BR18="Condição",E18&lt;&gt;"",E18&lt;&gt;"Nenhuma",COUNTIF('DADOS_MELHORIAS'!$BU$2:$BU$15,SUBSTITUTE(SUBSTITUTE(SUBSTITUTE(E18,"~","~~"),"*","~*"),"?","~?"))&lt;&gt;1),"Base de Condição inválida",""),IF(AND(BR18="Condição",H18&lt;&gt;"",H18&lt;&gt;"Sim"),"Condição exige TR","")))</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c r="BR18">
        <f>IF(OR(ISBLANK('CONFIGURAÇÃO'!$B$1221),'CONFIGURAÇÃO'!$B$1221=""),"Melhoria",'CONFIGURAÇÃO'!$B$1221)</f>
        <v/>
      </c>
    </row>
    <row r="19">
      <c r="A19" t="n">
        <v>1219</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IF(ISBLANK(INDEX('CONFIGURAÇÃO'!$B$1:$O$1731,$A19+8,$B19+4)),"",INDEX('CONFIGURAÇÃO'!$B$1:$O$1731,$A19+8,$B19+4))</f>
        <v/>
      </c>
      <c r="I19">
        <f>IF(ISBLANK(INDEX('CONFIGURAÇÃO'!$B$1:$O$1731,$A19+11,$B19+1)),"",INDEX('CONFIGURAÇÃO'!$B$1:$O$1731,$A19+11,$B19+1))</f>
        <v/>
      </c>
      <c r="J19">
        <f>IF(ISBLANK(INDEX('CONFIGURAÇÃO'!$B$1:$O$1731,$A19+17,$B19+1)),"",INDEX('CONFIGURAÇÃO'!$B$1:$O$1731,$A19+17,$B19+1))</f>
        <v/>
      </c>
      <c r="K19">
        <f>IF(ISBLANK(INDEX('CONFIGURAÇÃO'!$B$1:$O$1731,$A19+2,$B19+5)),"",INDEX('CONFIGURAÇÃO'!$B$1:$O$1731,$A19+2,$B19+5))</f>
        <v/>
      </c>
      <c r="L19">
        <f>IF(OR(E19="",E19="Nenhuma"),0,IFERROR(MATCH(SUBSTITUTE(SUBSTITUTE(SUBSTITUTE(E19,"~","~~"),"*","~*"),"?","~?"),'DADOS_MELHORIAS'!$O$2:$O$83,0),-1))</f>
        <v/>
      </c>
      <c r="M19">
        <f>IF(D19="",IF(BR19&lt;&gt;"Melhoria","Preencha NOME",IF(D19="",IF(OR(I19&lt;&gt;"",J19&lt;&gt;"",F19&lt;&gt;"",G19&lt;&gt;"",H19&lt;&gt;"",K19=TRUE,AND(E19&lt;&gt;"",E19&lt;&gt;"Nenhuma")),"Preencha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erro","")))),TEXTJOIN(" · ",TRUE,IF(D19="",IF(OR(I19&lt;&gt;"",J19&lt;&gt;"",F19&lt;&gt;"",G19&lt;&gt;"",H19&lt;&gt;"",K19=TRUE,AND(E19&lt;&gt;"",E19&lt;&gt;"Nenhuma")),"Preencha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erro",""))),IF(AND(BR19&lt;&gt;"Melhoria",BR19&lt;&gt;"Condição"),"Modalidade inválida",""),IF(AND(BR19="Condição",E19&lt;&gt;"",E19&lt;&gt;"Nenhuma",COUNTIF('DADOS_MELHORIAS'!$BU$2:$BU$15,SUBSTITUTE(SUBSTITUTE(SUBSTITUTE(E19,"~","~~"),"*","~*"),"?","~?"))&lt;&gt;1),"Base de Condição inválida",""),IF(AND(BR19="Condição",H19&lt;&gt;"",H19&lt;&gt;"Sim"),"Condição exige TR","")))</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c r="BR19">
        <f>IF(OR(ISBLANK('CONFIGURAÇÃO'!$J$1221),'CONFIGURAÇÃO'!$J$1221=""),"Melhoria",'CONFIGURAÇÃO'!$J$1221)</f>
        <v/>
      </c>
    </row>
    <row r="20">
      <c r="A20" t="n">
        <v>1245</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IF(ISBLANK(INDEX('CONFIGURAÇÃO'!$B$1:$O$1731,$A20+8,$B20+4)),"",INDEX('CONFIGURAÇÃO'!$B$1:$O$1731,$A20+8,$B20+4))</f>
        <v/>
      </c>
      <c r="I20">
        <f>IF(ISBLANK(INDEX('CONFIGURAÇÃO'!$B$1:$O$1731,$A20+11,$B20+1)),"",INDEX('CONFIGURAÇÃO'!$B$1:$O$1731,$A20+11,$B20+1))</f>
        <v/>
      </c>
      <c r="J20">
        <f>IF(ISBLANK(INDEX('CONFIGURAÇÃO'!$B$1:$O$1731,$A20+17,$B20+1)),"",INDEX('CONFIGURAÇÃO'!$B$1:$O$1731,$A20+17,$B20+1))</f>
        <v/>
      </c>
      <c r="K20">
        <f>IF(ISBLANK(INDEX('CONFIGURAÇÃO'!$B$1:$O$1731,$A20+2,$B20+5)),"",INDEX('CONFIGURAÇÃO'!$B$1:$O$1731,$A20+2,$B20+5))</f>
        <v/>
      </c>
      <c r="L20">
        <f>IF(OR(E20="",E20="Nenhuma"),0,IFERROR(MATCH(SUBSTITUTE(SUBSTITUTE(SUBSTITUTE(E20,"~","~~"),"*","~*"),"?","~?"),'DADOS_MELHORIAS'!$O$2:$O$83,0),-1))</f>
        <v/>
      </c>
      <c r="M20">
        <f>IF(D20="",IF(BR20&lt;&gt;"Melhoria","Preencha NOME",IF(D20="",IF(OR(I20&lt;&gt;"",J20&lt;&gt;"",F20&lt;&gt;"",G20&lt;&gt;"",H20&lt;&gt;"",K20=TRUE,AND(E20&lt;&gt;"",E20&lt;&gt;"Nenhuma")),"Preencha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erro","")))),TEXTJOIN(" · ",TRUE,IF(D20="",IF(OR(I20&lt;&gt;"",J20&lt;&gt;"",F20&lt;&gt;"",G20&lt;&gt;"",H20&lt;&gt;"",K20=TRUE,AND(E20&lt;&gt;"",E20&lt;&gt;"Nenhuma")),"Preencha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erro",""))),IF(AND(BR20&lt;&gt;"Melhoria",BR20&lt;&gt;"Condição"),"Modalidade inválida",""),IF(AND(BR20="Condição",E20&lt;&gt;"",E20&lt;&gt;"Nenhuma",COUNTIF('DADOS_MELHORIAS'!$BU$2:$BU$15,SUBSTITUTE(SUBSTITUTE(SUBSTITUTE(E20,"~","~~"),"*","~*"),"?","~?"))&lt;&gt;1),"Base de Condição inválida",""),IF(AND(BR20="Condição",H20&lt;&gt;"",H20&lt;&gt;"Sim"),"Condição exige TR","")))</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c r="BR20">
        <f>IF(OR(ISBLANK('CONFIGURAÇÃO'!$B$1247),'CONFIGURAÇÃO'!$B$1247=""),"Melhoria",'CONFIGURAÇÃO'!$B$1247)</f>
        <v/>
      </c>
    </row>
    <row r="21">
      <c r="A21" t="n">
        <v>1245</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IF(ISBLANK(INDEX('CONFIGURAÇÃO'!$B$1:$O$1731,$A21+8,$B21+4)),"",INDEX('CONFIGURAÇÃO'!$B$1:$O$1731,$A21+8,$B21+4))</f>
        <v/>
      </c>
      <c r="I21">
        <f>IF(ISBLANK(INDEX('CONFIGURAÇÃO'!$B$1:$O$1731,$A21+11,$B21+1)),"",INDEX('CONFIGURAÇÃO'!$B$1:$O$1731,$A21+11,$B21+1))</f>
        <v/>
      </c>
      <c r="J21">
        <f>IF(ISBLANK(INDEX('CONFIGURAÇÃO'!$B$1:$O$1731,$A21+17,$B21+1)),"",INDEX('CONFIGURAÇÃO'!$B$1:$O$1731,$A21+17,$B21+1))</f>
        <v/>
      </c>
      <c r="K21">
        <f>IF(ISBLANK(INDEX('CONFIGURAÇÃO'!$B$1:$O$1731,$A21+2,$B21+5)),"",INDEX('CONFIGURAÇÃO'!$B$1:$O$1731,$A21+2,$B21+5))</f>
        <v/>
      </c>
      <c r="L21">
        <f>IF(OR(E21="",E21="Nenhuma"),0,IFERROR(MATCH(SUBSTITUTE(SUBSTITUTE(SUBSTITUTE(E21,"~","~~"),"*","~*"),"?","~?"),'DADOS_MELHORIAS'!$O$2:$O$83,0),-1))</f>
        <v/>
      </c>
      <c r="M21">
        <f>IF(D21="",IF(BR21&lt;&gt;"Melhoria","Preencha NOME",IF(D21="",IF(OR(I21&lt;&gt;"",J21&lt;&gt;"",F21&lt;&gt;"",G21&lt;&gt;"",H21&lt;&gt;"",K21=TRUE,AND(E21&lt;&gt;"",E21&lt;&gt;"Nenhuma")),"Preencha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erro","")))),TEXTJOIN(" · ",TRUE,IF(D21="",IF(OR(I21&lt;&gt;"",J21&lt;&gt;"",F21&lt;&gt;"",G21&lt;&gt;"",H21&lt;&gt;"",K21=TRUE,AND(E21&lt;&gt;"",E21&lt;&gt;"Nenhuma")),"Preencha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erro",""))),IF(AND(BR21&lt;&gt;"Melhoria",BR21&lt;&gt;"Condição"),"Modalidade inválida",""),IF(AND(BR21="Condição",E21&lt;&gt;"",E21&lt;&gt;"Nenhuma",COUNTIF('DADOS_MELHORIAS'!$BU$2:$BU$15,SUBSTITUTE(SUBSTITUTE(SUBSTITUTE(E21,"~","~~"),"*","~*"),"?","~?"))&lt;&gt;1),"Base de Condição inválida",""),IF(AND(BR21="Condição",H21&lt;&gt;"",H21&lt;&gt;"Sim"),"Condição exige TR","")))</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c r="BR21">
        <f>IF(OR(ISBLANK('CONFIGURAÇÃO'!$J$1247),'CONFIGURAÇÃO'!$J$1247=""),"Melhoria",'CONFIGURAÇÃO'!$J$1247)</f>
        <v/>
      </c>
    </row>
    <row r="22">
      <c r="A22" t="n">
        <v>1271</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IF(ISBLANK(INDEX('CONFIGURAÇÃO'!$B$1:$O$1731,$A22+8,$B22+4)),"",INDEX('CONFIGURAÇÃO'!$B$1:$O$1731,$A22+8,$B22+4))</f>
        <v/>
      </c>
      <c r="I22">
        <f>IF(ISBLANK(INDEX('CONFIGURAÇÃO'!$B$1:$O$1731,$A22+11,$B22+1)),"",INDEX('CONFIGURAÇÃO'!$B$1:$O$1731,$A22+11,$B22+1))</f>
        <v/>
      </c>
      <c r="J22">
        <f>IF(ISBLANK(INDEX('CONFIGURAÇÃO'!$B$1:$O$1731,$A22+17,$B22+1)),"",INDEX('CONFIGURAÇÃO'!$B$1:$O$1731,$A22+17,$B22+1))</f>
        <v/>
      </c>
      <c r="K22">
        <f>IF(ISBLANK(INDEX('CONFIGURAÇÃO'!$B$1:$O$1731,$A22+2,$B22+5)),"",INDEX('CONFIGURAÇÃO'!$B$1:$O$1731,$A22+2,$B22+5))</f>
        <v/>
      </c>
      <c r="L22">
        <f>IF(OR(E22="",E22="Nenhuma"),0,IFERROR(MATCH(SUBSTITUTE(SUBSTITUTE(SUBSTITUTE(E22,"~","~~"),"*","~*"),"?","~?"),'DADOS_MELHORIAS'!$O$2:$O$83,0),-1))</f>
        <v/>
      </c>
      <c r="M22">
        <f>IF(D22="",IF(BR22&lt;&gt;"Melhoria","Preencha NOME",IF(D22="",IF(OR(I22&lt;&gt;"",J22&lt;&gt;"",F22&lt;&gt;"",G22&lt;&gt;"",H22&lt;&gt;"",K22=TRUE,AND(E22&lt;&gt;"",E22&lt;&gt;"Nenhuma")),"Preencha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erro","")))),TEXTJOIN(" · ",TRUE,IF(D22="",IF(OR(I22&lt;&gt;"",J22&lt;&gt;"",F22&lt;&gt;"",G22&lt;&gt;"",H22&lt;&gt;"",K22=TRUE,AND(E22&lt;&gt;"",E22&lt;&gt;"Nenhuma")),"Preencha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erro",""))),IF(AND(BR22&lt;&gt;"Melhoria",BR22&lt;&gt;"Condição"),"Modalidade inválida",""),IF(AND(BR22="Condição",E22&lt;&gt;"",E22&lt;&gt;"Nenhuma",COUNTIF('DADOS_MELHORIAS'!$BU$2:$BU$15,SUBSTITUTE(SUBSTITUTE(SUBSTITUTE(E22,"~","~~"),"*","~*"),"?","~?"))&lt;&gt;1),"Base de Condição inválida",""),IF(AND(BR22="Condição",H22&lt;&gt;"",H22&lt;&gt;"Sim"),"Condição exige TR","")))</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c r="BR22">
        <f>IF(OR(ISBLANK('CONFIGURAÇÃO'!$B$1273),'CONFIGURAÇÃO'!$B$1273=""),"Melhoria",'CONFIGURAÇÃO'!$B$1273)</f>
        <v/>
      </c>
    </row>
    <row r="23">
      <c r="A23" t="n">
        <v>1271</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IF(ISBLANK(INDEX('CONFIGURAÇÃO'!$B$1:$O$1731,$A23+8,$B23+4)),"",INDEX('CONFIGURAÇÃO'!$B$1:$O$1731,$A23+8,$B23+4))</f>
        <v/>
      </c>
      <c r="I23">
        <f>IF(ISBLANK(INDEX('CONFIGURAÇÃO'!$B$1:$O$1731,$A23+11,$B23+1)),"",INDEX('CONFIGURAÇÃO'!$B$1:$O$1731,$A23+11,$B23+1))</f>
        <v/>
      </c>
      <c r="J23">
        <f>IF(ISBLANK(INDEX('CONFIGURAÇÃO'!$B$1:$O$1731,$A23+17,$B23+1)),"",INDEX('CONFIGURAÇÃO'!$B$1:$O$1731,$A23+17,$B23+1))</f>
        <v/>
      </c>
      <c r="K23">
        <f>IF(ISBLANK(INDEX('CONFIGURAÇÃO'!$B$1:$O$1731,$A23+2,$B23+5)),"",INDEX('CONFIGURAÇÃO'!$B$1:$O$1731,$A23+2,$B23+5))</f>
        <v/>
      </c>
      <c r="L23">
        <f>IF(OR(E23="",E23="Nenhuma"),0,IFERROR(MATCH(SUBSTITUTE(SUBSTITUTE(SUBSTITUTE(E23,"~","~~"),"*","~*"),"?","~?"),'DADOS_MELHORIAS'!$O$2:$O$83,0),-1))</f>
        <v/>
      </c>
      <c r="M23">
        <f>IF(D23="",IF(BR23&lt;&gt;"Melhoria","Preencha NOME",IF(D23="",IF(OR(I23&lt;&gt;"",J23&lt;&gt;"",F23&lt;&gt;"",G23&lt;&gt;"",H23&lt;&gt;"",K23=TRUE,AND(E23&lt;&gt;"",E23&lt;&gt;"Nenhuma")),"Preencha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erro","")))),TEXTJOIN(" · ",TRUE,IF(D23="",IF(OR(I23&lt;&gt;"",J23&lt;&gt;"",F23&lt;&gt;"",G23&lt;&gt;"",H23&lt;&gt;"",K23=TRUE,AND(E23&lt;&gt;"",E23&lt;&gt;"Nenhuma")),"Preencha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erro",""))),IF(AND(BR23&lt;&gt;"Melhoria",BR23&lt;&gt;"Condição"),"Modalidade inválida",""),IF(AND(BR23="Condição",E23&lt;&gt;"",E23&lt;&gt;"Nenhuma",COUNTIF('DADOS_MELHORIAS'!$BU$2:$BU$15,SUBSTITUTE(SUBSTITUTE(SUBSTITUTE(E23,"~","~~"),"*","~*"),"?","~?"))&lt;&gt;1),"Base de Condição inválida",""),IF(AND(BR23="Condição",H23&lt;&gt;"",H23&lt;&gt;"Sim"),"Condição exige TR","")))</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c r="BR23">
        <f>IF(OR(ISBLANK('CONFIGURAÇÃO'!$J$1273),'CONFIGURAÇÃO'!$J$1273=""),"Melhoria",'CONFIGURAÇÃO'!$J$1273)</f>
        <v/>
      </c>
    </row>
    <row r="24">
      <c r="A24" t="n">
        <v>1297</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IF(ISBLANK(INDEX('CONFIGURAÇÃO'!$B$1:$O$1731,$A24+8,$B24+4)),"",INDEX('CONFIGURAÇÃO'!$B$1:$O$1731,$A24+8,$B24+4))</f>
        <v/>
      </c>
      <c r="I24">
        <f>IF(ISBLANK(INDEX('CONFIGURAÇÃO'!$B$1:$O$1731,$A24+11,$B24+1)),"",INDEX('CONFIGURAÇÃO'!$B$1:$O$1731,$A24+11,$B24+1))</f>
        <v/>
      </c>
      <c r="J24">
        <f>IF(ISBLANK(INDEX('CONFIGURAÇÃO'!$B$1:$O$1731,$A24+17,$B24+1)),"",INDEX('CONFIGURAÇÃO'!$B$1:$O$1731,$A24+17,$B24+1))</f>
        <v/>
      </c>
      <c r="K24">
        <f>IF(ISBLANK(INDEX('CONFIGURAÇÃO'!$B$1:$O$1731,$A24+2,$B24+5)),"",INDEX('CONFIGURAÇÃO'!$B$1:$O$1731,$A24+2,$B24+5))</f>
        <v/>
      </c>
      <c r="L24">
        <f>IF(OR(E24="",E24="Nenhuma"),0,IFERROR(MATCH(SUBSTITUTE(SUBSTITUTE(SUBSTITUTE(E24,"~","~~"),"*","~*"),"?","~?"),'DADOS_MELHORIAS'!$O$2:$O$83,0),-1))</f>
        <v/>
      </c>
      <c r="M24">
        <f>IF(D24="",IF(BR24&lt;&gt;"Melhoria","Preencha NOME",IF(D24="",IF(OR(I24&lt;&gt;"",J24&lt;&gt;"",F24&lt;&gt;"",G24&lt;&gt;"",H24&lt;&gt;"",K24=TRUE,AND(E24&lt;&gt;"",E24&lt;&gt;"Nenhuma")),"Preencha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erro","")))),TEXTJOIN(" · ",TRUE,IF(D24="",IF(OR(I24&lt;&gt;"",J24&lt;&gt;"",F24&lt;&gt;"",G24&lt;&gt;"",H24&lt;&gt;"",K24=TRUE,AND(E24&lt;&gt;"",E24&lt;&gt;"Nenhuma")),"Preencha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erro",""))),IF(AND(BR24&lt;&gt;"Melhoria",BR24&lt;&gt;"Condição"),"Modalidade inválida",""),IF(AND(BR24="Condição",E24&lt;&gt;"",E24&lt;&gt;"Nenhuma",COUNTIF('DADOS_MELHORIAS'!$BU$2:$BU$15,SUBSTITUTE(SUBSTITUTE(SUBSTITUTE(E24,"~","~~"),"*","~*"),"?","~?"))&lt;&gt;1),"Base de Condição inválida",""),IF(AND(BR24="Condição",H24&lt;&gt;"",H24&lt;&gt;"Sim"),"Condição exige TR","")))</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c r="BR24">
        <f>IF(OR(ISBLANK('CONFIGURAÇÃO'!$B$1299),'CONFIGURAÇÃO'!$B$1299=""),"Melhoria",'CONFIGURAÇÃO'!$B$1299)</f>
        <v/>
      </c>
    </row>
    <row r="25">
      <c r="A25" t="n">
        <v>1297</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IF(ISBLANK(INDEX('CONFIGURAÇÃO'!$B$1:$O$1731,$A25+8,$B25+4)),"",INDEX('CONFIGURAÇÃO'!$B$1:$O$1731,$A25+8,$B25+4))</f>
        <v/>
      </c>
      <c r="I25">
        <f>IF(ISBLANK(INDEX('CONFIGURAÇÃO'!$B$1:$O$1731,$A25+11,$B25+1)),"",INDEX('CONFIGURAÇÃO'!$B$1:$O$1731,$A25+11,$B25+1))</f>
        <v/>
      </c>
      <c r="J25">
        <f>IF(ISBLANK(INDEX('CONFIGURAÇÃO'!$B$1:$O$1731,$A25+17,$B25+1)),"",INDEX('CONFIGURAÇÃO'!$B$1:$O$1731,$A25+17,$B25+1))</f>
        <v/>
      </c>
      <c r="K25">
        <f>IF(ISBLANK(INDEX('CONFIGURAÇÃO'!$B$1:$O$1731,$A25+2,$B25+5)),"",INDEX('CONFIGURAÇÃO'!$B$1:$O$1731,$A25+2,$B25+5))</f>
        <v/>
      </c>
      <c r="L25">
        <f>IF(OR(E25="",E25="Nenhuma"),0,IFERROR(MATCH(SUBSTITUTE(SUBSTITUTE(SUBSTITUTE(E25,"~","~~"),"*","~*"),"?","~?"),'DADOS_MELHORIAS'!$O$2:$O$83,0),-1))</f>
        <v/>
      </c>
      <c r="M25">
        <f>IF(D25="",IF(BR25&lt;&gt;"Melhoria","Preencha NOME",IF(D25="",IF(OR(I25&lt;&gt;"",J25&lt;&gt;"",F25&lt;&gt;"",G25&lt;&gt;"",H25&lt;&gt;"",K25=TRUE,AND(E25&lt;&gt;"",E25&lt;&gt;"Nenhuma")),"Preencha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erro","")))),TEXTJOIN(" · ",TRUE,IF(D25="",IF(OR(I25&lt;&gt;"",J25&lt;&gt;"",F25&lt;&gt;"",G25&lt;&gt;"",H25&lt;&gt;"",K25=TRUE,AND(E25&lt;&gt;"",E25&lt;&gt;"Nenhuma")),"Preencha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erro",""))),IF(AND(BR25&lt;&gt;"Melhoria",BR25&lt;&gt;"Condição"),"Modalidade inválida",""),IF(AND(BR25="Condição",E25&lt;&gt;"",E25&lt;&gt;"Nenhuma",COUNTIF('DADOS_MELHORIAS'!$BU$2:$BU$15,SUBSTITUTE(SUBSTITUTE(SUBSTITUTE(E25,"~","~~"),"*","~*"),"?","~?"))&lt;&gt;1),"Base de Condição inválida",""),IF(AND(BR25="Condição",H25&lt;&gt;"",H25&lt;&gt;"Sim"),"Condição exige TR","")))</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c r="BR25">
        <f>IF(OR(ISBLANK('CONFIGURAÇÃO'!$J$1299),'CONFIGURAÇÃO'!$J$1299=""),"Melhoria",'CONFIGURAÇÃO'!$J$1299)</f>
        <v/>
      </c>
    </row>
    <row r="26">
      <c r="A26" t="n">
        <v>1323</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IF(ISBLANK(INDEX('CONFIGURAÇÃO'!$B$1:$O$1731,$A26+8,$B26+4)),"",INDEX('CONFIGURAÇÃO'!$B$1:$O$1731,$A26+8,$B26+4))</f>
        <v/>
      </c>
      <c r="I26">
        <f>IF(ISBLANK(INDEX('CONFIGURAÇÃO'!$B$1:$O$1731,$A26+11,$B26+1)),"",INDEX('CONFIGURAÇÃO'!$B$1:$O$1731,$A26+11,$B26+1))</f>
        <v/>
      </c>
      <c r="J26">
        <f>IF(ISBLANK(INDEX('CONFIGURAÇÃO'!$B$1:$O$1731,$A26+17,$B26+1)),"",INDEX('CONFIGURAÇÃO'!$B$1:$O$1731,$A26+17,$B26+1))</f>
        <v/>
      </c>
      <c r="K26">
        <f>IF(ISBLANK(INDEX('CONFIGURAÇÃO'!$B$1:$O$1731,$A26+2,$B26+5)),"",INDEX('CONFIGURAÇÃO'!$B$1:$O$1731,$A26+2,$B26+5))</f>
        <v/>
      </c>
      <c r="L26">
        <f>IF(OR(E26="",E26="Nenhuma"),0,IFERROR(MATCH(SUBSTITUTE(SUBSTITUTE(SUBSTITUTE(E26,"~","~~"),"*","~*"),"?","~?"),'DADOS_MELHORIAS'!$O$2:$O$83,0),-1))</f>
        <v/>
      </c>
      <c r="M26">
        <f>IF(D26="",IF(BR26&lt;&gt;"Melhoria","Preencha NOME",IF(D26="",IF(OR(I26&lt;&gt;"",J26&lt;&gt;"",F26&lt;&gt;"",G26&lt;&gt;"",H26&lt;&gt;"",K26=TRUE,AND(E26&lt;&gt;"",E26&lt;&gt;"Nenhuma")),"Preencha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erro","")))),TEXTJOIN(" · ",TRUE,IF(D26="",IF(OR(I26&lt;&gt;"",J26&lt;&gt;"",F26&lt;&gt;"",G26&lt;&gt;"",H26&lt;&gt;"",K26=TRUE,AND(E26&lt;&gt;"",E26&lt;&gt;"Nenhuma")),"Preencha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erro",""))),IF(AND(BR26&lt;&gt;"Melhoria",BR26&lt;&gt;"Condição"),"Modalidade inválida",""),IF(AND(BR26="Condição",E26&lt;&gt;"",E26&lt;&gt;"Nenhuma",COUNTIF('DADOS_MELHORIAS'!$BU$2:$BU$15,SUBSTITUTE(SUBSTITUTE(SUBSTITUTE(E26,"~","~~"),"*","~*"),"?","~?"))&lt;&gt;1),"Base de Condição inválida",""),IF(AND(BR26="Condição",H26&lt;&gt;"",H26&lt;&gt;"Sim"),"Condição exige TR","")))</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c r="BR26">
        <f>IF(OR(ISBLANK('CONFIGURAÇÃO'!$B$1325),'CONFIGURAÇÃO'!$B$1325=""),"Melhoria",'CONFIGURAÇÃO'!$B$1325)</f>
        <v/>
      </c>
    </row>
    <row r="27">
      <c r="A27" t="n">
        <v>1323</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IF(ISBLANK(INDEX('CONFIGURAÇÃO'!$B$1:$O$1731,$A27+8,$B27+4)),"",INDEX('CONFIGURAÇÃO'!$B$1:$O$1731,$A27+8,$B27+4))</f>
        <v/>
      </c>
      <c r="I27">
        <f>IF(ISBLANK(INDEX('CONFIGURAÇÃO'!$B$1:$O$1731,$A27+11,$B27+1)),"",INDEX('CONFIGURAÇÃO'!$B$1:$O$1731,$A27+11,$B27+1))</f>
        <v/>
      </c>
      <c r="J27">
        <f>IF(ISBLANK(INDEX('CONFIGURAÇÃO'!$B$1:$O$1731,$A27+17,$B27+1)),"",INDEX('CONFIGURAÇÃO'!$B$1:$O$1731,$A27+17,$B27+1))</f>
        <v/>
      </c>
      <c r="K27">
        <f>IF(ISBLANK(INDEX('CONFIGURAÇÃO'!$B$1:$O$1731,$A27+2,$B27+5)),"",INDEX('CONFIGURAÇÃO'!$B$1:$O$1731,$A27+2,$B27+5))</f>
        <v/>
      </c>
      <c r="L27">
        <f>IF(OR(E27="",E27="Nenhuma"),0,IFERROR(MATCH(SUBSTITUTE(SUBSTITUTE(SUBSTITUTE(E27,"~","~~"),"*","~*"),"?","~?"),'DADOS_MELHORIAS'!$O$2:$O$83,0),-1))</f>
        <v/>
      </c>
      <c r="M27">
        <f>IF(D27="",IF(BR27&lt;&gt;"Melhoria","Preencha NOME",IF(D27="",IF(OR(I27&lt;&gt;"",J27&lt;&gt;"",F27&lt;&gt;"",G27&lt;&gt;"",H27&lt;&gt;"",K27=TRUE,AND(E27&lt;&gt;"",E27&lt;&gt;"Nenhuma")),"Preencha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erro","")))),TEXTJOIN(" · ",TRUE,IF(D27="",IF(OR(I27&lt;&gt;"",J27&lt;&gt;"",F27&lt;&gt;"",G27&lt;&gt;"",H27&lt;&gt;"",K27=TRUE,AND(E27&lt;&gt;"",E27&lt;&gt;"Nenhuma")),"Preencha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erro",""))),IF(AND(BR27&lt;&gt;"Melhoria",BR27&lt;&gt;"Condição"),"Modalidade inválida",""),IF(AND(BR27="Condição",E27&lt;&gt;"",E27&lt;&gt;"Nenhuma",COUNTIF('DADOS_MELHORIAS'!$BU$2:$BU$15,SUBSTITUTE(SUBSTITUTE(SUBSTITUTE(E27,"~","~~"),"*","~*"),"?","~?"))&lt;&gt;1),"Base de Condição inválida",""),IF(AND(BR27="Condição",H27&lt;&gt;"",H27&lt;&gt;"Sim"),"Condição exige TR","")))</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c r="BR27">
        <f>IF(OR(ISBLANK('CONFIGURAÇÃO'!$J$1325),'CONFIGURAÇÃO'!$J$1325=""),"Melhoria",'CONFIGURAÇÃO'!$J$1325)</f>
        <v/>
      </c>
    </row>
    <row r="28">
      <c r="A28" t="n">
        <v>1349</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IF(ISBLANK(INDEX('CONFIGURAÇÃO'!$B$1:$O$1731,$A28+8,$B28+4)),"",INDEX('CONFIGURAÇÃO'!$B$1:$O$1731,$A28+8,$B28+4))</f>
        <v/>
      </c>
      <c r="I28">
        <f>IF(ISBLANK(INDEX('CONFIGURAÇÃO'!$B$1:$O$1731,$A28+11,$B28+1)),"",INDEX('CONFIGURAÇÃO'!$B$1:$O$1731,$A28+11,$B28+1))</f>
        <v/>
      </c>
      <c r="J28">
        <f>IF(ISBLANK(INDEX('CONFIGURAÇÃO'!$B$1:$O$1731,$A28+17,$B28+1)),"",INDEX('CONFIGURAÇÃO'!$B$1:$O$1731,$A28+17,$B28+1))</f>
        <v/>
      </c>
      <c r="K28">
        <f>IF(ISBLANK(INDEX('CONFIGURAÇÃO'!$B$1:$O$1731,$A28+2,$B28+5)),"",INDEX('CONFIGURAÇÃO'!$B$1:$O$1731,$A28+2,$B28+5))</f>
        <v/>
      </c>
      <c r="L28">
        <f>IF(OR(E28="",E28="Nenhuma"),0,IFERROR(MATCH(SUBSTITUTE(SUBSTITUTE(SUBSTITUTE(E28,"~","~~"),"*","~*"),"?","~?"),'DADOS_MELHORIAS'!$O$2:$O$83,0),-1))</f>
        <v/>
      </c>
      <c r="M28">
        <f>IF(D28="",IF(BR28&lt;&gt;"Melhoria","Preencha NOME",IF(D28="",IF(OR(I28&lt;&gt;"",J28&lt;&gt;"",F28&lt;&gt;"",G28&lt;&gt;"",H28&lt;&gt;"",K28=TRUE,AND(E28&lt;&gt;"",E28&lt;&gt;"Nenhuma")),"Preencha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erro","")))),TEXTJOIN(" · ",TRUE,IF(D28="",IF(OR(I28&lt;&gt;"",J28&lt;&gt;"",F28&lt;&gt;"",G28&lt;&gt;"",H28&lt;&gt;"",K28=TRUE,AND(E28&lt;&gt;"",E28&lt;&gt;"Nenhuma")),"Preencha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erro",""))),IF(AND(BR28&lt;&gt;"Melhoria",BR28&lt;&gt;"Condição"),"Modalidade inválida",""),IF(AND(BR28="Condição",E28&lt;&gt;"",E28&lt;&gt;"Nenhuma",COUNTIF('DADOS_MELHORIAS'!$BU$2:$BU$15,SUBSTITUTE(SUBSTITUTE(SUBSTITUTE(E28,"~","~~"),"*","~*"),"?","~?"))&lt;&gt;1),"Base de Condição inválida",""),IF(AND(BR28="Condição",H28&lt;&gt;"",H28&lt;&gt;"Sim"),"Condição exige TR","")))</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c r="BR28">
        <f>IF(OR(ISBLANK('CONFIGURAÇÃO'!$B$1351),'CONFIGURAÇÃO'!$B$1351=""),"Melhoria",'CONFIGURAÇÃO'!$B$1351)</f>
        <v/>
      </c>
    </row>
    <row r="29">
      <c r="A29" t="n">
        <v>1349</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IF(ISBLANK(INDEX('CONFIGURAÇÃO'!$B$1:$O$1731,$A29+8,$B29+4)),"",INDEX('CONFIGURAÇÃO'!$B$1:$O$1731,$A29+8,$B29+4))</f>
        <v/>
      </c>
      <c r="I29">
        <f>IF(ISBLANK(INDEX('CONFIGURAÇÃO'!$B$1:$O$1731,$A29+11,$B29+1)),"",INDEX('CONFIGURAÇÃO'!$B$1:$O$1731,$A29+11,$B29+1))</f>
        <v/>
      </c>
      <c r="J29">
        <f>IF(ISBLANK(INDEX('CONFIGURAÇÃO'!$B$1:$O$1731,$A29+17,$B29+1)),"",INDEX('CONFIGURAÇÃO'!$B$1:$O$1731,$A29+17,$B29+1))</f>
        <v/>
      </c>
      <c r="K29">
        <f>IF(ISBLANK(INDEX('CONFIGURAÇÃO'!$B$1:$O$1731,$A29+2,$B29+5)),"",INDEX('CONFIGURAÇÃO'!$B$1:$O$1731,$A29+2,$B29+5))</f>
        <v/>
      </c>
      <c r="L29">
        <f>IF(OR(E29="",E29="Nenhuma"),0,IFERROR(MATCH(SUBSTITUTE(SUBSTITUTE(SUBSTITUTE(E29,"~","~~"),"*","~*"),"?","~?"),'DADOS_MELHORIAS'!$O$2:$O$83,0),-1))</f>
        <v/>
      </c>
      <c r="M29">
        <f>IF(D29="",IF(BR29&lt;&gt;"Melhoria","Preencha NOME",IF(D29="",IF(OR(I29&lt;&gt;"",J29&lt;&gt;"",F29&lt;&gt;"",G29&lt;&gt;"",H29&lt;&gt;"",K29=TRUE,AND(E29&lt;&gt;"",E29&lt;&gt;"Nenhuma")),"Preencha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erro","")))),TEXTJOIN(" · ",TRUE,IF(D29="",IF(OR(I29&lt;&gt;"",J29&lt;&gt;"",F29&lt;&gt;"",G29&lt;&gt;"",H29&lt;&gt;"",K29=TRUE,AND(E29&lt;&gt;"",E29&lt;&gt;"Nenhuma")),"Preencha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erro",""))),IF(AND(BR29&lt;&gt;"Melhoria",BR29&lt;&gt;"Condição"),"Modalidade inválida",""),IF(AND(BR29="Condição",E29&lt;&gt;"",E29&lt;&gt;"Nenhuma",COUNTIF('DADOS_MELHORIAS'!$BU$2:$BU$15,SUBSTITUTE(SUBSTITUTE(SUBSTITUTE(E29,"~","~~"),"*","~*"),"?","~?"))&lt;&gt;1),"Base de Condição inválida",""),IF(AND(BR29="Condição",H29&lt;&gt;"",H29&lt;&gt;"Sim"),"Condição exige TR","")))</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c r="BR29">
        <f>IF(OR(ISBLANK('CONFIGURAÇÃO'!$J$1351),'CONFIGURAÇÃO'!$J$1351=""),"Melhoria",'CONFIGURAÇÃO'!$J$1351)</f>
        <v/>
      </c>
    </row>
    <row r="30">
      <c r="A30" t="n">
        <v>1375</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IF(ISBLANK(INDEX('CONFIGURAÇÃO'!$B$1:$O$1731,$A30+8,$B30+4)),"",INDEX('CONFIGURAÇÃO'!$B$1:$O$1731,$A30+8,$B30+4))</f>
        <v/>
      </c>
      <c r="I30">
        <f>IF(ISBLANK(INDEX('CONFIGURAÇÃO'!$B$1:$O$1731,$A30+11,$B30+1)),"",INDEX('CONFIGURAÇÃO'!$B$1:$O$1731,$A30+11,$B30+1))</f>
        <v/>
      </c>
      <c r="J30">
        <f>IF(ISBLANK(INDEX('CONFIGURAÇÃO'!$B$1:$O$1731,$A30+17,$B30+1)),"",INDEX('CONFIGURAÇÃO'!$B$1:$O$1731,$A30+17,$B30+1))</f>
        <v/>
      </c>
      <c r="K30">
        <f>IF(ISBLANK(INDEX('CONFIGURAÇÃO'!$B$1:$O$1731,$A30+2,$B30+5)),"",INDEX('CONFIGURAÇÃO'!$B$1:$O$1731,$A30+2,$B30+5))</f>
        <v/>
      </c>
      <c r="L30">
        <f>IF(OR(E30="",E30="Nenhuma"),0,IFERROR(MATCH(SUBSTITUTE(SUBSTITUTE(SUBSTITUTE(E30,"~","~~"),"*","~*"),"?","~?"),'DADOS_MELHORIAS'!$O$2:$O$83,0),-1))</f>
        <v/>
      </c>
      <c r="M30">
        <f>IF(D30="",IF(BR30&lt;&gt;"Melhoria","Preencha NOME",IF(D30="",IF(OR(I30&lt;&gt;"",J30&lt;&gt;"",F30&lt;&gt;"",G30&lt;&gt;"",H30&lt;&gt;"",K30=TRUE,AND(E30&lt;&gt;"",E30&lt;&gt;"Nenhuma")),"Preencha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erro","")))),TEXTJOIN(" · ",TRUE,IF(D30="",IF(OR(I30&lt;&gt;"",J30&lt;&gt;"",F30&lt;&gt;"",G30&lt;&gt;"",H30&lt;&gt;"",K30=TRUE,AND(E30&lt;&gt;"",E30&lt;&gt;"Nenhuma")),"Preencha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erro",""))),IF(AND(BR30&lt;&gt;"Melhoria",BR30&lt;&gt;"Condição"),"Modalidade inválida",""),IF(AND(BR30="Condição",E30&lt;&gt;"",E30&lt;&gt;"Nenhuma",COUNTIF('DADOS_MELHORIAS'!$BU$2:$BU$15,SUBSTITUTE(SUBSTITUTE(SUBSTITUTE(E30,"~","~~"),"*","~*"),"?","~?"))&lt;&gt;1),"Base de Condição inválida",""),IF(AND(BR30="Condição",H30&lt;&gt;"",H30&lt;&gt;"Sim"),"Condição exige TR","")))</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c r="BR30">
        <f>IF(OR(ISBLANK('CONFIGURAÇÃO'!$B$1377),'CONFIGURAÇÃO'!$B$1377=""),"Melhoria",'CONFIGURAÇÃO'!$B$1377)</f>
        <v/>
      </c>
    </row>
    <row r="31">
      <c r="A31" t="n">
        <v>1375</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IF(ISBLANK(INDEX('CONFIGURAÇÃO'!$B$1:$O$1731,$A31+8,$B31+4)),"",INDEX('CONFIGURAÇÃO'!$B$1:$O$1731,$A31+8,$B31+4))</f>
        <v/>
      </c>
      <c r="I31">
        <f>IF(ISBLANK(INDEX('CONFIGURAÇÃO'!$B$1:$O$1731,$A31+11,$B31+1)),"",INDEX('CONFIGURAÇÃO'!$B$1:$O$1731,$A31+11,$B31+1))</f>
        <v/>
      </c>
      <c r="J31">
        <f>IF(ISBLANK(INDEX('CONFIGURAÇÃO'!$B$1:$O$1731,$A31+17,$B31+1)),"",INDEX('CONFIGURAÇÃO'!$B$1:$O$1731,$A31+17,$B31+1))</f>
        <v/>
      </c>
      <c r="K31">
        <f>IF(ISBLANK(INDEX('CONFIGURAÇÃO'!$B$1:$O$1731,$A31+2,$B31+5)),"",INDEX('CONFIGURAÇÃO'!$B$1:$O$1731,$A31+2,$B31+5))</f>
        <v/>
      </c>
      <c r="L31">
        <f>IF(OR(E31="",E31="Nenhuma"),0,IFERROR(MATCH(SUBSTITUTE(SUBSTITUTE(SUBSTITUTE(E31,"~","~~"),"*","~*"),"?","~?"),'DADOS_MELHORIAS'!$O$2:$O$83,0),-1))</f>
        <v/>
      </c>
      <c r="M31">
        <f>IF(D31="",IF(BR31&lt;&gt;"Melhoria","Preencha NOME",IF(D31="",IF(OR(I31&lt;&gt;"",J31&lt;&gt;"",F31&lt;&gt;"",G31&lt;&gt;"",H31&lt;&gt;"",K31=TRUE,AND(E31&lt;&gt;"",E31&lt;&gt;"Nenhuma")),"Preencha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erro","")))),TEXTJOIN(" · ",TRUE,IF(D31="",IF(OR(I31&lt;&gt;"",J31&lt;&gt;"",F31&lt;&gt;"",G31&lt;&gt;"",H31&lt;&gt;"",K31=TRUE,AND(E31&lt;&gt;"",E31&lt;&gt;"Nenhuma")),"Preencha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erro",""))),IF(AND(BR31&lt;&gt;"Melhoria",BR31&lt;&gt;"Condição"),"Modalidade inválida",""),IF(AND(BR31="Condição",E31&lt;&gt;"",E31&lt;&gt;"Nenhuma",COUNTIF('DADOS_MELHORIAS'!$BU$2:$BU$15,SUBSTITUTE(SUBSTITUTE(SUBSTITUTE(E31,"~","~~"),"*","~*"),"?","~?"))&lt;&gt;1),"Base de Condição inválida",""),IF(AND(BR31="Condição",H31&lt;&gt;"",H31&lt;&gt;"Sim"),"Condição exige TR","")))</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c r="BR31">
        <f>IF(OR(ISBLANK('CONFIGURAÇÃO'!$J$1377),'CONFIGURAÇÃO'!$J$1377=""),"Melhoria",'CONFIGURAÇÃO'!$J$1377)</f>
        <v/>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IF(O84="","",IF(AND(BR2="Condição",F2="",L2=0),"Controle",IF(O84="","",IF(F2&lt;&gt;"",IF(F2="Nenhuma","",F2),IF(L2&gt;0,INDEX($P$2:$P$83,L2),"")))))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IF(O84="",0,IF(BR2="Condição",1,IF(O84="",0,IF(OR(P84="Controle",IF(L2&gt;0,INDEX('DADOS_MELHORIAS'!$T$2:$T$83,L2),0)=1),1,0))))</f>
        <v/>
      </c>
      <c r="U84">
        <f>IF(O84="","",IF(S84=1,"",O84))</f>
        <v/>
      </c>
      <c r="V84">
        <f>IF(O84="","",IF(AND(Q84=1,S84=0),O84,""))</f>
        <v/>
      </c>
      <c r="W84">
        <f>IF(O84="",0,IF(BR2="Condição",1,IF(O84="",0,IF(H2="",IF(L2&gt;0,INDEX('DADOS_MELHORIAS'!$W$2:$W$83,L2),0),IF(H2="Sim",1,0)))))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IF(O85="","",IF(AND(BR3="Condição",F3="",L3=0),"Controle",IF(O85="","",IF(F3&lt;&gt;"",IF(F3="Nenhuma","",F3),IF(L3&gt;0,INDEX($P$2:$P$83,L3),"")))))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IF(O85="",0,IF(BR3="Condição",1,IF(O85="",0,IF(OR(P85="Controle",IF(L3&gt;0,INDEX('DADOS_MELHORIAS'!$T$2:$T$83,L3),0)=1),1,0))))</f>
        <v/>
      </c>
      <c r="U85">
        <f>IF(O85="","",IF(S85=1,"",O85))</f>
        <v/>
      </c>
      <c r="V85">
        <f>IF(O85="","",IF(AND(Q85=1,S85=0),O85,""))</f>
        <v/>
      </c>
      <c r="W85">
        <f>IF(O85="",0,IF(BR3="Condição",1,IF(O85="",0,IF(H3="",IF(L3&gt;0,INDEX('DADOS_MELHORIAS'!$W$2:$W$83,L3),0),IF(H3="Sim",1,0)))))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IF(O86="","",IF(AND(BR4="Condição",F4="",L4=0),"Controle",IF(O86="","",IF(F4&lt;&gt;"",IF(F4="Nenhuma","",F4),IF(L4&gt;0,INDEX($P$2:$P$83,L4),"")))))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IF(O86="",0,IF(BR4="Condição",1,IF(O86="",0,IF(OR(P86="Controle",IF(L4&gt;0,INDEX('DADOS_MELHORIAS'!$T$2:$T$83,L4),0)=1),1,0))))</f>
        <v/>
      </c>
      <c r="U86">
        <f>IF(O86="","",IF(S86=1,"",O86))</f>
        <v/>
      </c>
      <c r="V86">
        <f>IF(O86="","",IF(AND(Q86=1,S86=0),O86,""))</f>
        <v/>
      </c>
      <c r="W86">
        <f>IF(O86="",0,IF(BR4="Condição",1,IF(O86="",0,IF(H4="",IF(L4&gt;0,INDEX('DADOS_MELHORIAS'!$W$2:$W$83,L4),0),IF(H4="Sim",1,0)))))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IF(O87="","",IF(AND(BR5="Condição",F5="",L5=0),"Controle",IF(O87="","",IF(F5&lt;&gt;"",IF(F5="Nenhuma","",F5),IF(L5&gt;0,INDEX($P$2:$P$83,L5),"")))))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IF(O87="",0,IF(BR5="Condição",1,IF(O87="",0,IF(OR(P87="Controle",IF(L5&gt;0,INDEX('DADOS_MELHORIAS'!$T$2:$T$83,L5),0)=1),1,0))))</f>
        <v/>
      </c>
      <c r="U87">
        <f>IF(O87="","",IF(S87=1,"",O87))</f>
        <v/>
      </c>
      <c r="V87">
        <f>IF(O87="","",IF(AND(Q87=1,S87=0),O87,""))</f>
        <v/>
      </c>
      <c r="W87">
        <f>IF(O87="",0,IF(BR5="Condição",1,IF(O87="",0,IF(H5="",IF(L5&gt;0,INDEX('DADOS_MELHORIAS'!$W$2:$W$83,L5),0),IF(H5="Sim",1,0)))))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IF(O88="","",IF(AND(BR6="Condição",F6="",L6=0),"Controle",IF(O88="","",IF(F6&lt;&gt;"",IF(F6="Nenhuma","",F6),IF(L6&gt;0,INDEX($P$2:$P$83,L6),"")))))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IF(O88="",0,IF(BR6="Condição",1,IF(O88="",0,IF(OR(P88="Controle",IF(L6&gt;0,INDEX('DADOS_MELHORIAS'!$T$2:$T$83,L6),0)=1),1,0))))</f>
        <v/>
      </c>
      <c r="U88">
        <f>IF(O88="","",IF(S88=1,"",O88))</f>
        <v/>
      </c>
      <c r="V88">
        <f>IF(O88="","",IF(AND(Q88=1,S88=0),O88,""))</f>
        <v/>
      </c>
      <c r="W88">
        <f>IF(O88="",0,IF(BR6="Condição",1,IF(O88="",0,IF(H6="",IF(L6&gt;0,INDEX('DADOS_MELHORIAS'!$W$2:$W$83,L6),0),IF(H6="Sim",1,0)))))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IF(O89="","",IF(AND(BR7="Condição",F7="",L7=0),"Controle",IF(O89="","",IF(F7&lt;&gt;"",IF(F7="Nenhuma","",F7),IF(L7&gt;0,INDEX($P$2:$P$83,L7),"")))))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IF(O89="",0,IF(BR7="Condição",1,IF(O89="",0,IF(OR(P89="Controle",IF(L7&gt;0,INDEX('DADOS_MELHORIAS'!$T$2:$T$83,L7),0)=1),1,0))))</f>
        <v/>
      </c>
      <c r="U89">
        <f>IF(O89="","",IF(S89=1,"",O89))</f>
        <v/>
      </c>
      <c r="V89">
        <f>IF(O89="","",IF(AND(Q89=1,S89=0),O89,""))</f>
        <v/>
      </c>
      <c r="W89">
        <f>IF(O89="",0,IF(BR7="Condição",1,IF(O89="",0,IF(H7="",IF(L7&gt;0,INDEX('DADOS_MELHORIAS'!$W$2:$W$83,L7),0),IF(H7="Sim",1,0)))))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IF(O90="","",IF(AND(BR8="Condição",F8="",L8=0),"Controle",IF(O90="","",IF(F8&lt;&gt;"",IF(F8="Nenhuma","",F8),IF(L8&gt;0,INDEX($P$2:$P$83,L8),"")))))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IF(O90="",0,IF(BR8="Condição",1,IF(O90="",0,IF(OR(P90="Controle",IF(L8&gt;0,INDEX('DADOS_MELHORIAS'!$T$2:$T$83,L8),0)=1),1,0))))</f>
        <v/>
      </c>
      <c r="U90">
        <f>IF(O90="","",IF(S90=1,"",O90))</f>
        <v/>
      </c>
      <c r="V90">
        <f>IF(O90="","",IF(AND(Q90=1,S90=0),O90,""))</f>
        <v/>
      </c>
      <c r="W90">
        <f>IF(O90="",0,IF(BR8="Condição",1,IF(O90="",0,IF(H8="",IF(L8&gt;0,INDEX('DADOS_MELHORIAS'!$W$2:$W$83,L8),0),IF(H8="Sim",1,0)))))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IF(O91="","",IF(AND(BR9="Condição",F9="",L9=0),"Controle",IF(O91="","",IF(F9&lt;&gt;"",IF(F9="Nenhuma","",F9),IF(L9&gt;0,INDEX($P$2:$P$83,L9),"")))))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IF(O91="",0,IF(BR9="Condição",1,IF(O91="",0,IF(OR(P91="Controle",IF(L9&gt;0,INDEX('DADOS_MELHORIAS'!$T$2:$T$83,L9),0)=1),1,0))))</f>
        <v/>
      </c>
      <c r="U91">
        <f>IF(O91="","",IF(S91=1,"",O91))</f>
        <v/>
      </c>
      <c r="V91">
        <f>IF(O91="","",IF(AND(Q91=1,S91=0),O91,""))</f>
        <v/>
      </c>
      <c r="W91">
        <f>IF(O91="",0,IF(BR9="Condição",1,IF(O91="",0,IF(H9="",IF(L9&gt;0,INDEX('DADOS_MELHORIAS'!$W$2:$W$83,L9),0),IF(H9="Sim",1,0)))))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IF(O92="","",IF(AND(BR10="Condição",F10="",L10=0),"Controle",IF(O92="","",IF(F10&lt;&gt;"",IF(F10="Nenhuma","",F10),IF(L10&gt;0,INDEX($P$2:$P$83,L10),"")))))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IF(O92="",0,IF(BR10="Condição",1,IF(O92="",0,IF(OR(P92="Controle",IF(L10&gt;0,INDEX('DADOS_MELHORIAS'!$T$2:$T$83,L10),0)=1),1,0))))</f>
        <v/>
      </c>
      <c r="U92">
        <f>IF(O92="","",IF(S92=1,"",O92))</f>
        <v/>
      </c>
      <c r="V92">
        <f>IF(O92="","",IF(AND(Q92=1,S92=0),O92,""))</f>
        <v/>
      </c>
      <c r="W92">
        <f>IF(O92="",0,IF(BR10="Condição",1,IF(O92="",0,IF(H10="",IF(L10&gt;0,INDEX('DADOS_MELHORIAS'!$W$2:$W$83,L10),0),IF(H10="Sim",1,0)))))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IF(O93="","",IF(AND(BR11="Condição",F11="",L11=0),"Controle",IF(O93="","",IF(F11&lt;&gt;"",IF(F11="Nenhuma","",F11),IF(L11&gt;0,INDEX($P$2:$P$83,L11),"")))))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IF(O93="",0,IF(BR11="Condição",1,IF(O93="",0,IF(OR(P93="Controle",IF(L11&gt;0,INDEX('DADOS_MELHORIAS'!$T$2:$T$83,L11),0)=1),1,0))))</f>
        <v/>
      </c>
      <c r="U93">
        <f>IF(O93="","",IF(S93=1,"",O93))</f>
        <v/>
      </c>
      <c r="V93">
        <f>IF(O93="","",IF(AND(Q93=1,S93=0),O93,""))</f>
        <v/>
      </c>
      <c r="W93">
        <f>IF(O93="",0,IF(BR11="Condição",1,IF(O93="",0,IF(H11="",IF(L11&gt;0,INDEX('DADOS_MELHORIAS'!$W$2:$W$83,L11),0),IF(H11="Sim",1,0)))))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IF(O94="","",IF(AND(BR12="Condição",F12="",L12=0),"Controle",IF(O94="","",IF(F12&lt;&gt;"",IF(F12="Nenhuma","",F12),IF(L12&gt;0,INDEX($P$2:$P$83,L12),"")))))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IF(O94="",0,IF(BR12="Condição",1,IF(O94="",0,IF(OR(P94="Controle",IF(L12&gt;0,INDEX('DADOS_MELHORIAS'!$T$2:$T$83,L12),0)=1),1,0))))</f>
        <v/>
      </c>
      <c r="U94">
        <f>IF(O94="","",IF(S94=1,"",O94))</f>
        <v/>
      </c>
      <c r="V94">
        <f>IF(O94="","",IF(AND(Q94=1,S94=0),O94,""))</f>
        <v/>
      </c>
      <c r="W94">
        <f>IF(O94="",0,IF(BR12="Condição",1,IF(O94="",0,IF(H12="",IF(L12&gt;0,INDEX('DADOS_MELHORIAS'!$W$2:$W$83,L12),0),IF(H12="Sim",1,0)))))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IF(O95="","",IF(AND(BR13="Condição",F13="",L13=0),"Controle",IF(O95="","",IF(F13&lt;&gt;"",IF(F13="Nenhuma","",F13),IF(L13&gt;0,INDEX($P$2:$P$83,L13),"")))))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IF(O95="",0,IF(BR13="Condição",1,IF(O95="",0,IF(OR(P95="Controle",IF(L13&gt;0,INDEX('DADOS_MELHORIAS'!$T$2:$T$83,L13),0)=1),1,0))))</f>
        <v/>
      </c>
      <c r="U95">
        <f>IF(O95="","",IF(S95=1,"",O95))</f>
        <v/>
      </c>
      <c r="V95">
        <f>IF(O95="","",IF(AND(Q95=1,S95=0),O95,""))</f>
        <v/>
      </c>
      <c r="W95">
        <f>IF(O95="",0,IF(BR13="Condição",1,IF(O95="",0,IF(H13="",IF(L13&gt;0,INDEX('DADOS_MELHORIAS'!$W$2:$W$83,L13),0),IF(H13="Sim",1,0)))))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IF(O96="","",IF(AND(BR14="Condição",F14="",L14=0),"Controle",IF(O96="","",IF(F14&lt;&gt;"",IF(F14="Nenhuma","",F14),IF(L14&gt;0,INDEX($P$2:$P$83,L14),"")))))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IF(O96="",0,IF(BR14="Condição",1,IF(O96="",0,IF(OR(P96="Controle",IF(L14&gt;0,INDEX('DADOS_MELHORIAS'!$T$2:$T$83,L14),0)=1),1,0))))</f>
        <v/>
      </c>
      <c r="U96">
        <f>IF(O96="","",IF(S96=1,"",O96))</f>
        <v/>
      </c>
      <c r="V96">
        <f>IF(O96="","",IF(AND(Q96=1,S96=0),O96,""))</f>
        <v/>
      </c>
      <c r="W96">
        <f>IF(O96="",0,IF(BR14="Condição",1,IF(O96="",0,IF(H14="",IF(L14&gt;0,INDEX('DADOS_MELHORIAS'!$W$2:$W$83,L14),0),IF(H14="Sim",1,0)))))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IF(O97="","",IF(AND(BR15="Condição",F15="",L15=0),"Controle",IF(O97="","",IF(F15&lt;&gt;"",IF(F15="Nenhuma","",F15),IF(L15&gt;0,INDEX($P$2:$P$83,L15),"")))))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IF(O97="",0,IF(BR15="Condição",1,IF(O97="",0,IF(OR(P97="Controle",IF(L15&gt;0,INDEX('DADOS_MELHORIAS'!$T$2:$T$83,L15),0)=1),1,0))))</f>
        <v/>
      </c>
      <c r="U97">
        <f>IF(O97="","",IF(S97=1,"",O97))</f>
        <v/>
      </c>
      <c r="V97">
        <f>IF(O97="","",IF(AND(Q97=1,S97=0),O97,""))</f>
        <v/>
      </c>
      <c r="W97">
        <f>IF(O97="",0,IF(BR15="Condição",1,IF(O97="",0,IF(H15="",IF(L15&gt;0,INDEX('DADOS_MELHORIAS'!$W$2:$W$83,L15),0),IF(H15="Sim",1,0)))))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IF(O98="","",IF(AND(BR16="Condição",F16="",L16=0),"Controle",IF(O98="","",IF(F16&lt;&gt;"",IF(F16="Nenhuma","",F16),IF(L16&gt;0,INDEX($P$2:$P$83,L16),"")))))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IF(O98="",0,IF(BR16="Condição",1,IF(O98="",0,IF(OR(P98="Controle",IF(L16&gt;0,INDEX('DADOS_MELHORIAS'!$T$2:$T$83,L16),0)=1),1,0))))</f>
        <v/>
      </c>
      <c r="U98">
        <f>IF(O98="","",IF(S98=1,"",O98))</f>
        <v/>
      </c>
      <c r="V98">
        <f>IF(O98="","",IF(AND(Q98=1,S98=0),O98,""))</f>
        <v/>
      </c>
      <c r="W98">
        <f>IF(O98="",0,IF(BR16="Condição",1,IF(O98="",0,IF(H16="",IF(L16&gt;0,INDEX('DADOS_MELHORIAS'!$W$2:$W$83,L16),0),IF(H16="Sim",1,0)))))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IF(O99="","",IF(AND(BR17="Condição",F17="",L17=0),"Controle",IF(O99="","",IF(F17&lt;&gt;"",IF(F17="Nenhuma","",F17),IF(L17&gt;0,INDEX($P$2:$P$83,L17),"")))))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IF(O99="",0,IF(BR17="Condição",1,IF(O99="",0,IF(OR(P99="Controle",IF(L17&gt;0,INDEX('DADOS_MELHORIAS'!$T$2:$T$83,L17),0)=1),1,0))))</f>
        <v/>
      </c>
      <c r="U99">
        <f>IF(O99="","",IF(S99=1,"",O99))</f>
        <v/>
      </c>
      <c r="V99">
        <f>IF(O99="","",IF(AND(Q99=1,S99=0),O99,""))</f>
        <v/>
      </c>
      <c r="W99">
        <f>IF(O99="",0,IF(BR17="Condição",1,IF(O99="",0,IF(H17="",IF(L17&gt;0,INDEX('DADOS_MELHORIAS'!$W$2:$W$83,L17),0),IF(H17="Sim",1,0)))))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IF(O100="","",IF(AND(BR18="Condição",F18="",L18=0),"Controle",IF(O100="","",IF(F18&lt;&gt;"",IF(F18="Nenhuma","",F18),IF(L18&gt;0,INDEX($P$2:$P$83,L18),"")))))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IF(O100="",0,IF(BR18="Condição",1,IF(O100="",0,IF(OR(P100="Controle",IF(L18&gt;0,INDEX('DADOS_MELHORIAS'!$T$2:$T$83,L18),0)=1),1,0))))</f>
        <v/>
      </c>
      <c r="U100">
        <f>IF(O100="","",IF(S100=1,"",O100))</f>
        <v/>
      </c>
      <c r="V100">
        <f>IF(O100="","",IF(AND(Q100=1,S100=0),O100,""))</f>
        <v/>
      </c>
      <c r="W100">
        <f>IF(O100="",0,IF(BR18="Condição",1,IF(O100="",0,IF(H18="",IF(L18&gt;0,INDEX('DADOS_MELHORIAS'!$W$2:$W$83,L18),0),IF(H18="Sim",1,0)))))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IF(O101="","",IF(AND(BR19="Condição",F19="",L19=0),"Controle",IF(O101="","",IF(F19&lt;&gt;"",IF(F19="Nenhuma","",F19),IF(L19&gt;0,INDEX($P$2:$P$83,L19),"")))))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IF(O101="",0,IF(BR19="Condição",1,IF(O101="",0,IF(OR(P101="Controle",IF(L19&gt;0,INDEX('DADOS_MELHORIAS'!$T$2:$T$83,L19),0)=1),1,0))))</f>
        <v/>
      </c>
      <c r="U101">
        <f>IF(O101="","",IF(S101=1,"",O101))</f>
        <v/>
      </c>
      <c r="V101">
        <f>IF(O101="","",IF(AND(Q101=1,S101=0),O101,""))</f>
        <v/>
      </c>
      <c r="W101">
        <f>IF(O101="",0,IF(BR19="Condição",1,IF(O101="",0,IF(H19="",IF(L19&gt;0,INDEX('DADOS_MELHORIAS'!$W$2:$W$83,L19),0),IF(H19="Sim",1,0)))))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IF(O102="","",IF(AND(BR20="Condição",F20="",L20=0),"Controle",IF(O102="","",IF(F20&lt;&gt;"",IF(F20="Nenhuma","",F20),IF(L20&gt;0,INDEX($P$2:$P$83,L20),"")))))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IF(O102="",0,IF(BR20="Condição",1,IF(O102="",0,IF(OR(P102="Controle",IF(L20&gt;0,INDEX('DADOS_MELHORIAS'!$T$2:$T$83,L20),0)=1),1,0))))</f>
        <v/>
      </c>
      <c r="U102">
        <f>IF(O102="","",IF(S102=1,"",O102))</f>
        <v/>
      </c>
      <c r="V102">
        <f>IF(O102="","",IF(AND(Q102=1,S102=0),O102,""))</f>
        <v/>
      </c>
      <c r="W102">
        <f>IF(O102="",0,IF(BR20="Condição",1,IF(O102="",0,IF(H20="",IF(L20&gt;0,INDEX('DADOS_MELHORIAS'!$W$2:$W$83,L20),0),IF(H20="Sim",1,0)))))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IF(O103="","",IF(AND(BR21="Condição",F21="",L21=0),"Controle",IF(O103="","",IF(F21&lt;&gt;"",IF(F21="Nenhuma","",F21),IF(L21&gt;0,INDEX($P$2:$P$83,L21),"")))))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IF(O103="",0,IF(BR21="Condição",1,IF(O103="",0,IF(OR(P103="Controle",IF(L21&gt;0,INDEX('DADOS_MELHORIAS'!$T$2:$T$83,L21),0)=1),1,0))))</f>
        <v/>
      </c>
      <c r="U103">
        <f>IF(O103="","",IF(S103=1,"",O103))</f>
        <v/>
      </c>
      <c r="V103">
        <f>IF(O103="","",IF(AND(Q103=1,S103=0),O103,""))</f>
        <v/>
      </c>
      <c r="W103">
        <f>IF(O103="",0,IF(BR21="Condição",1,IF(O103="",0,IF(H21="",IF(L21&gt;0,INDEX('DADOS_MELHORIAS'!$W$2:$W$83,L21),0),IF(H21="Sim",1,0)))))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IF(O104="","",IF(AND(BR22="Condição",F22="",L22=0),"Controle",IF(O104="","",IF(F22&lt;&gt;"",IF(F22="Nenhuma","",F22),IF(L22&gt;0,INDEX($P$2:$P$83,L22),"")))))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IF(O104="",0,IF(BR22="Condição",1,IF(O104="",0,IF(OR(P104="Controle",IF(L22&gt;0,INDEX('DADOS_MELHORIAS'!$T$2:$T$83,L22),0)=1),1,0))))</f>
        <v/>
      </c>
      <c r="U104">
        <f>IF(O104="","",IF(S104=1,"",O104))</f>
        <v/>
      </c>
      <c r="V104">
        <f>IF(O104="","",IF(AND(Q104=1,S104=0),O104,""))</f>
        <v/>
      </c>
      <c r="W104">
        <f>IF(O104="",0,IF(BR22="Condição",1,IF(O104="",0,IF(H22="",IF(L22&gt;0,INDEX('DADOS_MELHORIAS'!$W$2:$W$83,L22),0),IF(H22="Sim",1,0)))))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IF(O105="","",IF(AND(BR23="Condição",F23="",L23=0),"Controle",IF(O105="","",IF(F23&lt;&gt;"",IF(F23="Nenhuma","",F23),IF(L23&gt;0,INDEX($P$2:$P$83,L23),"")))))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IF(O105="",0,IF(BR23="Condição",1,IF(O105="",0,IF(OR(P105="Controle",IF(L23&gt;0,INDEX('DADOS_MELHORIAS'!$T$2:$T$83,L23),0)=1),1,0))))</f>
        <v/>
      </c>
      <c r="U105">
        <f>IF(O105="","",IF(S105=1,"",O105))</f>
        <v/>
      </c>
      <c r="V105">
        <f>IF(O105="","",IF(AND(Q105=1,S105=0),O105,""))</f>
        <v/>
      </c>
      <c r="W105">
        <f>IF(O105="",0,IF(BR23="Condição",1,IF(O105="",0,IF(H23="",IF(L23&gt;0,INDEX('DADOS_MELHORIAS'!$W$2:$W$83,L23),0),IF(H23="Sim",1,0)))))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IF(O106="","",IF(AND(BR24="Condição",F24="",L24=0),"Controle",IF(O106="","",IF(F24&lt;&gt;"",IF(F24="Nenhuma","",F24),IF(L24&gt;0,INDEX($P$2:$P$83,L24),"")))))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IF(O106="",0,IF(BR24="Condição",1,IF(O106="",0,IF(OR(P106="Controle",IF(L24&gt;0,INDEX('DADOS_MELHORIAS'!$T$2:$T$83,L24),0)=1),1,0))))</f>
        <v/>
      </c>
      <c r="U106">
        <f>IF(O106="","",IF(S106=1,"",O106))</f>
        <v/>
      </c>
      <c r="V106">
        <f>IF(O106="","",IF(AND(Q106=1,S106=0),O106,""))</f>
        <v/>
      </c>
      <c r="W106">
        <f>IF(O106="",0,IF(BR24="Condição",1,IF(O106="",0,IF(H24="",IF(L24&gt;0,INDEX('DADOS_MELHORIAS'!$W$2:$W$83,L24),0),IF(H24="Sim",1,0)))))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IF(O107="","",IF(AND(BR25="Condição",F25="",L25=0),"Controle",IF(O107="","",IF(F25&lt;&gt;"",IF(F25="Nenhuma","",F25),IF(L25&gt;0,INDEX($P$2:$P$83,L25),"")))))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IF(O107="",0,IF(BR25="Condição",1,IF(O107="",0,IF(OR(P107="Controle",IF(L25&gt;0,INDEX('DADOS_MELHORIAS'!$T$2:$T$83,L25),0)=1),1,0))))</f>
        <v/>
      </c>
      <c r="U107">
        <f>IF(O107="","",IF(S107=1,"",O107))</f>
        <v/>
      </c>
      <c r="V107">
        <f>IF(O107="","",IF(AND(Q107=1,S107=0),O107,""))</f>
        <v/>
      </c>
      <c r="W107">
        <f>IF(O107="",0,IF(BR25="Condição",1,IF(O107="",0,IF(H25="",IF(L25&gt;0,INDEX('DADOS_MELHORIAS'!$W$2:$W$83,L25),0),IF(H25="Sim",1,0)))))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IF(O108="","",IF(AND(BR26="Condição",F26="",L26=0),"Controle",IF(O108="","",IF(F26&lt;&gt;"",IF(F26="Nenhuma","",F26),IF(L26&gt;0,INDEX($P$2:$P$83,L26),"")))))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IF(O108="",0,IF(BR26="Condição",1,IF(O108="",0,IF(OR(P108="Controle",IF(L26&gt;0,INDEX('DADOS_MELHORIAS'!$T$2:$T$83,L26),0)=1),1,0))))</f>
        <v/>
      </c>
      <c r="U108">
        <f>IF(O108="","",IF(S108=1,"",O108))</f>
        <v/>
      </c>
      <c r="V108">
        <f>IF(O108="","",IF(AND(Q108=1,S108=0),O108,""))</f>
        <v/>
      </c>
      <c r="W108">
        <f>IF(O108="",0,IF(BR26="Condição",1,IF(O108="",0,IF(H26="",IF(L26&gt;0,INDEX('DADOS_MELHORIAS'!$W$2:$W$83,L26),0),IF(H26="Sim",1,0)))))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IF(O109="","",IF(AND(BR27="Condição",F27="",L27=0),"Controle",IF(O109="","",IF(F27&lt;&gt;"",IF(F27="Nenhuma","",F27),IF(L27&gt;0,INDEX($P$2:$P$83,L27),"")))))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IF(O109="",0,IF(BR27="Condição",1,IF(O109="",0,IF(OR(P109="Controle",IF(L27&gt;0,INDEX('DADOS_MELHORIAS'!$T$2:$T$83,L27),0)=1),1,0))))</f>
        <v/>
      </c>
      <c r="U109">
        <f>IF(O109="","",IF(S109=1,"",O109))</f>
        <v/>
      </c>
      <c r="V109">
        <f>IF(O109="","",IF(AND(Q109=1,S109=0),O109,""))</f>
        <v/>
      </c>
      <c r="W109">
        <f>IF(O109="",0,IF(BR27="Condição",1,IF(O109="",0,IF(H27="",IF(L27&gt;0,INDEX('DADOS_MELHORIAS'!$W$2:$W$83,L27),0),IF(H27="Sim",1,0)))))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IF(O110="","",IF(AND(BR28="Condição",F28="",L28=0),"Controle",IF(O110="","",IF(F28&lt;&gt;"",IF(F28="Nenhuma","",F28),IF(L28&gt;0,INDEX($P$2:$P$83,L28),"")))))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IF(O110="",0,IF(BR28="Condição",1,IF(O110="",0,IF(OR(P110="Controle",IF(L28&gt;0,INDEX('DADOS_MELHORIAS'!$T$2:$T$83,L28),0)=1),1,0))))</f>
        <v/>
      </c>
      <c r="U110">
        <f>IF(O110="","",IF(S110=1,"",O110))</f>
        <v/>
      </c>
      <c r="V110">
        <f>IF(O110="","",IF(AND(Q110=1,S110=0),O110,""))</f>
        <v/>
      </c>
      <c r="W110">
        <f>IF(O110="",0,IF(BR28="Condição",1,IF(O110="",0,IF(H28="",IF(L28&gt;0,INDEX('DADOS_MELHORIAS'!$W$2:$W$83,L28),0),IF(H28="Sim",1,0)))))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IF(O111="","",IF(AND(BR29="Condição",F29="",L29=0),"Controle",IF(O111="","",IF(F29&lt;&gt;"",IF(F29="Nenhuma","",F29),IF(L29&gt;0,INDEX($P$2:$P$83,L29),"")))))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IF(O111="",0,IF(BR29="Condição",1,IF(O111="",0,IF(OR(P111="Controle",IF(L29&gt;0,INDEX('DADOS_MELHORIAS'!$T$2:$T$83,L29),0)=1),1,0))))</f>
        <v/>
      </c>
      <c r="U111">
        <f>IF(O111="","",IF(S111=1,"",O111))</f>
        <v/>
      </c>
      <c r="V111">
        <f>IF(O111="","",IF(AND(Q111=1,S111=0),O111,""))</f>
        <v/>
      </c>
      <c r="W111">
        <f>IF(O111="",0,IF(BR29="Condição",1,IF(O111="",0,IF(H29="",IF(L29&gt;0,INDEX('DADOS_MELHORIAS'!$W$2:$W$83,L29),0),IF(H29="Sim",1,0)))))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IF(O112="","",IF(AND(BR30="Condição",F30="",L30=0),"Controle",IF(O112="","",IF(F30&lt;&gt;"",IF(F30="Nenhuma","",F30),IF(L30&gt;0,INDEX($P$2:$P$83,L30),"")))))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IF(O112="",0,IF(BR30="Condição",1,IF(O112="",0,IF(OR(P112="Controle",IF(L30&gt;0,INDEX('DADOS_MELHORIAS'!$T$2:$T$83,L30),0)=1),1,0))))</f>
        <v/>
      </c>
      <c r="U112">
        <f>IF(O112="","",IF(S112=1,"",O112))</f>
        <v/>
      </c>
      <c r="V112">
        <f>IF(O112="","",IF(AND(Q112=1,S112=0),O112,""))</f>
        <v/>
      </c>
      <c r="W112">
        <f>IF(O112="",0,IF(BR30="Condição",1,IF(O112="",0,IF(H30="",IF(L30&gt;0,INDEX('DADOS_MELHORIAS'!$W$2:$W$83,L30),0),IF(H30="Sim",1,0)))))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IF(O113="","",IF(AND(BR31="Condição",F31="",L31=0),"Controle",IF(O113="","",IF(F31&lt;&gt;"",IF(F31="Nenhuma","",F31),IF(L31&gt;0,INDEX($P$2:$P$83,L31),"")))))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IF(O113="",0,IF(BR31="Condição",1,IF(O113="",0,IF(OR(P113="Controle",IF(L31&gt;0,INDEX('DADOS_MELHORIAS'!$T$2:$T$83,L31),0)=1),1,0))))</f>
        <v/>
      </c>
      <c r="U113">
        <f>IF(O113="","",IF(S113=1,"",O113))</f>
        <v/>
      </c>
      <c r="V113">
        <f>IF(O113="","",IF(AND(Q113=1,S113=0),O113,""))</f>
        <v/>
      </c>
      <c r="W113">
        <f>IF(O113="",0,IF(BR31="Condição",1,IF(O113="",0,IF(H31="",IF(L31&gt;0,INDEX('DADOS_MELHORIAS'!$W$2:$W$83,L31),0),IF(H31="Sim",1,0)))))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IF(ISBLANK(INDEX('CONFIGURAÇÃO'!$B$1:$O$1731,$A2+10,$B2+1)),"",INDEX('CONFIGURAÇÃO'!$B$1:$O$1731,$A2+10,$B2+1))</f>
        <v/>
      </c>
      <c r="I2">
        <f>IF(ISBLANK(INDEX('CONFIGURAÇÃO'!$B$1:$O$1731,$A2+2,$B2+5)),"",INDEX('CONFIGURAÇÃO'!$B$1:$O$1731,$A2+2,$B2+5))</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IF(ISBLANK(INDEX('CONFIGURAÇÃO'!$B$1:$O$1731,$A3+10,$B3+1)),"",INDEX('CONFIGURAÇÃO'!$B$1:$O$1731,$A3+10,$B3+1))</f>
        <v/>
      </c>
      <c r="I3">
        <f>IF(ISBLANK(INDEX('CONFIGURAÇÃO'!$B$1:$O$1731,$A3+2,$B3+5)),"",INDEX('CONFIGURAÇÃO'!$B$1:$O$1731,$A3+2,$B3+5))</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IF(ISBLANK(INDEX('CONFIGURAÇÃO'!$B$1:$O$1731,$A4+10,$B4+1)),"",INDEX('CONFIGURAÇÃO'!$B$1:$O$1731,$A4+10,$B4+1))</f>
        <v/>
      </c>
      <c r="I4">
        <f>IF(ISBLANK(INDEX('CONFIGURAÇÃO'!$B$1:$O$1731,$A4+2,$B4+5)),"",INDEX('CONFIGURAÇÃO'!$B$1:$O$1731,$A4+2,$B4+5))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IF(ISBLANK(INDEX('CONFIGURAÇÃO'!$B$1:$O$1731,$A5+10,$B5+1)),"",INDEX('CONFIGURAÇÃO'!$B$1:$O$1731,$A5+10,$B5+1))</f>
        <v/>
      </c>
      <c r="I5">
        <f>IF(ISBLANK(INDEX('CONFIGURAÇÃO'!$B$1:$O$1731,$A5+2,$B5+5)),"",INDEX('CONFIGURAÇÃO'!$B$1:$O$1731,$A5+2,$B5+5))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IF(ISBLANK(INDEX('CONFIGURAÇÃO'!$B$1:$O$1731,$A6+10,$B6+1)),"",INDEX('CONFIGURAÇÃO'!$B$1:$O$1731,$A6+10,$B6+1))</f>
        <v/>
      </c>
      <c r="I6">
        <f>IF(ISBLANK(INDEX('CONFIGURAÇÃO'!$B$1:$O$1731,$A6+2,$B6+5)),"",INDEX('CONFIGURAÇÃO'!$B$1:$O$1731,$A6+2,$B6+5))</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IF(ISBLANK(INDEX('CONFIGURAÇÃO'!$B$1:$O$1731,$A7+10,$B7+1)),"",INDEX('CONFIGURAÇÃO'!$B$1:$O$1731,$A7+10,$B7+1))</f>
        <v/>
      </c>
      <c r="I7">
        <f>IF(ISBLANK(INDEX('CONFIGURAÇÃO'!$B$1:$O$1731,$A7+2,$B7+5)),"",INDEX('CONFIGURAÇÃO'!$B$1:$O$1731,$A7+2,$B7+5))</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IF(ISBLANK(INDEX('CONFIGURAÇÃO'!$B$1:$O$1731,$A8+10,$B8+1)),"",INDEX('CONFIGURAÇÃO'!$B$1:$O$1731,$A8+10,$B8+1))</f>
        <v/>
      </c>
      <c r="I8">
        <f>IF(ISBLANK(INDEX('CONFIGURAÇÃO'!$B$1:$O$1731,$A8+2,$B8+5)),"",INDEX('CONFIGURAÇÃO'!$B$1:$O$1731,$A8+2,$B8+5))</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IF(ISBLANK(INDEX('CONFIGURAÇÃO'!$B$1:$O$1731,$A9+10,$B9+1)),"",INDEX('CONFIGURAÇÃO'!$B$1:$O$1731,$A9+10,$B9+1))</f>
        <v/>
      </c>
      <c r="I9">
        <f>IF(ISBLANK(INDEX('CONFIGURAÇÃO'!$B$1:$O$1731,$A9+2,$B9+5)),"",INDEX('CONFIGURAÇÃO'!$B$1:$O$1731,$A9+2,$B9+5))</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IF(ISBLANK(INDEX('CONFIGURAÇÃO'!$B$1:$O$1731,$A10+10,$B10+1)),"",INDEX('CONFIGURAÇÃO'!$B$1:$O$1731,$A10+10,$B10+1))</f>
        <v/>
      </c>
      <c r="I10">
        <f>IF(ISBLANK(INDEX('CONFIGURAÇÃO'!$B$1:$O$1731,$A10+2,$B10+5)),"",INDEX('CONFIGURAÇÃO'!$B$1:$O$1731,$A10+2,$B10+5))</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IF(ISBLANK(INDEX('CONFIGURAÇÃO'!$B$1:$O$1731,$A11+10,$B11+1)),"",INDEX('CONFIGURAÇÃO'!$B$1:$O$1731,$A11+10,$B11+1))</f>
        <v/>
      </c>
      <c r="I11">
        <f>IF(ISBLANK(INDEX('CONFIGURAÇÃO'!$B$1:$O$1731,$A11+2,$B11+5)),"",INDEX('CONFIGURAÇÃO'!$B$1:$O$1731,$A11+2,$B11+5))</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IF(ISBLANK(INDEX('CONFIGURAÇÃO'!$B$1:$O$1731,$A12+10,$B12+1)),"",INDEX('CONFIGURAÇÃO'!$B$1:$O$1731,$A12+10,$B12+1))</f>
        <v/>
      </c>
      <c r="I12">
        <f>IF(ISBLANK(INDEX('CONFIGURAÇÃO'!$B$1:$O$1731,$A12+2,$B12+5)),"",INDEX('CONFIGURAÇÃO'!$B$1:$O$1731,$A12+2,$B12+5))</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IF(ISBLANK(INDEX('CONFIGURAÇÃO'!$B$1:$O$1731,$A13+10,$B13+1)),"",INDEX('CONFIGURAÇÃO'!$B$1:$O$1731,$A13+10,$B13+1))</f>
        <v/>
      </c>
      <c r="I13">
        <f>IF(ISBLANK(INDEX('CONFIGURAÇÃO'!$B$1:$O$1731,$A13+2,$B13+5)),"",INDEX('CONFIGURAÇÃO'!$B$1:$O$1731,$A13+2,$B13+5))</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IF(ISBLANK(INDEX('CONFIGURAÇÃO'!$B$1:$O$1731,$A14+10,$B14+1)),"",INDEX('CONFIGURAÇÃO'!$B$1:$O$1731,$A14+10,$B14+1))</f>
        <v/>
      </c>
      <c r="I14">
        <f>IF(ISBLANK(INDEX('CONFIGURAÇÃO'!$B$1:$O$1731,$A14+2,$B14+5)),"",INDEX('CONFIGURAÇÃO'!$B$1:$O$1731,$A14+2,$B14+5))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IF(ISBLANK(INDEX('CONFIGURAÇÃO'!$B$1:$O$1731,$A15+10,$B15+1)),"",INDEX('CONFIGURAÇÃO'!$B$1:$O$1731,$A15+10,$B15+1))</f>
        <v/>
      </c>
      <c r="I15">
        <f>IF(ISBLANK(INDEX('CONFIGURAÇÃO'!$B$1:$O$1731,$A15+2,$B15+5)),"",INDEX('CONFIGURAÇÃO'!$B$1:$O$1731,$A15+2,$B15+5))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IF(ISBLANK(INDEX('CONFIGURAÇÃO'!$B$1:$O$1731,$A16+10,$B16+1)),"",INDEX('CONFIGURAÇÃO'!$B$1:$O$1731,$A16+10,$B16+1))</f>
        <v/>
      </c>
      <c r="I16">
        <f>IF(ISBLANK(INDEX('CONFIGURAÇÃO'!$B$1:$O$1731,$A16+2,$B16+5)),"",INDEX('CONFIGURAÇÃO'!$B$1:$O$1731,$A16+2,$B16+5))</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IF(ISBLANK(INDEX('CONFIGURAÇÃO'!$B$1:$O$1731,$A17+10,$B17+1)),"",INDEX('CONFIGURAÇÃO'!$B$1:$O$1731,$A17+10,$B17+1))</f>
        <v/>
      </c>
      <c r="I17">
        <f>IF(ISBLANK(INDEX('CONFIGURAÇÃO'!$B$1:$O$1731,$A17+2,$B17+5)),"",INDEX('CONFIGURAÇÃO'!$B$1:$O$1731,$A17+2,$B17+5))</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IF(ISBLANK(INDEX('CONFIGURAÇÃO'!$B$1:$O$1731,$A18+10,$B18+1)),"",INDEX('CONFIGURAÇÃO'!$B$1:$O$1731,$A18+10,$B18+1))</f>
        <v/>
      </c>
      <c r="I18">
        <f>IF(ISBLANK(INDEX('CONFIGURAÇÃO'!$B$1:$O$1731,$A18+2,$B18+5)),"",INDEX('CONFIGURAÇÃO'!$B$1:$O$1731,$A18+2,$B18+5))</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IF(ISBLANK(INDEX('CONFIGURAÇÃO'!$B$1:$O$1731,$A19+10,$B19+1)),"",INDEX('CONFIGURAÇÃO'!$B$1:$O$1731,$A19+10,$B19+1))</f>
        <v/>
      </c>
      <c r="I19">
        <f>IF(ISBLANK(INDEX('CONFIGURAÇÃO'!$B$1:$O$1731,$A19+2,$B19+5)),"",INDEX('CONFIGURAÇÃO'!$B$1:$O$1731,$A19+2,$B19+5))</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IF(ISBLANK(INDEX('CONFIGURAÇÃO'!$B$1:$O$1731,$A20+10,$B20+1)),"",INDEX('CONFIGURAÇÃO'!$B$1:$O$1731,$A20+10,$B20+1))</f>
        <v/>
      </c>
      <c r="I20">
        <f>IF(ISBLANK(INDEX('CONFIGURAÇÃO'!$B$1:$O$1731,$A20+2,$B20+5)),"",INDEX('CONFIGURAÇÃO'!$B$1:$O$1731,$A20+2,$B20+5))</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IF(ISBLANK(INDEX('CONFIGURAÇÃO'!$B$1:$O$1731,$A21+10,$B21+1)),"",INDEX('CONFIGURAÇÃO'!$B$1:$O$1731,$A21+10,$B21+1))</f>
        <v/>
      </c>
      <c r="I21">
        <f>IF(ISBLANK(INDEX('CONFIGURAÇÃO'!$B$1:$O$1731,$A21+2,$B21+5)),"",INDEX('CONFIGURAÇÃO'!$B$1:$O$1731,$A21+2,$B21+5))</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IF(ISBLANK(INDEX('CONFIGURAÇÃO'!$B$1:$O$1731,$A22+10,$B22+1)),"",INDEX('CONFIGURAÇÃO'!$B$1:$O$1731,$A22+10,$B22+1))</f>
        <v/>
      </c>
      <c r="I22">
        <f>IF(ISBLANK(INDEX('CONFIGURAÇÃO'!$B$1:$O$1731,$A22+2,$B22+5)),"",INDEX('CONFIGURAÇÃO'!$B$1:$O$1731,$A22+2,$B22+5))</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IF(ISBLANK(INDEX('CONFIGURAÇÃO'!$B$1:$O$1731,$A23+10,$B23+1)),"",INDEX('CONFIGURAÇÃO'!$B$1:$O$1731,$A23+10,$B23+1))</f>
        <v/>
      </c>
      <c r="I23">
        <f>IF(ISBLANK(INDEX('CONFIGURAÇÃO'!$B$1:$O$1731,$A23+2,$B23+5)),"",INDEX('CONFIGURAÇÃO'!$B$1:$O$1731,$A23+2,$B23+5))</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IF(ISBLANK(INDEX('CONFIGURAÇÃO'!$B$1:$O$1731,$A24+10,$B24+1)),"",INDEX('CONFIGURAÇÃO'!$B$1:$O$1731,$A24+10,$B24+1))</f>
        <v/>
      </c>
      <c r="I24">
        <f>IF(ISBLANK(INDEX('CONFIGURAÇÃO'!$B$1:$O$1731,$A24+2,$B24+5)),"",INDEX('CONFIGURAÇÃO'!$B$1:$O$1731,$A24+2,$B24+5))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IF(ISBLANK(INDEX('CONFIGURAÇÃO'!$B$1:$O$1731,$A25+10,$B25+1)),"",INDEX('CONFIGURAÇÃO'!$B$1:$O$1731,$A25+10,$B25+1))</f>
        <v/>
      </c>
      <c r="I25">
        <f>IF(ISBLANK(INDEX('CONFIGURAÇÃO'!$B$1:$O$1731,$A25+2,$B25+5)),"",INDEX('CONFIGURAÇÃO'!$B$1:$O$1731,$A25+2,$B25+5))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IF(ISBLANK(INDEX('CONFIGURAÇÃO'!$B$1:$O$1731,$A26+10,$B26+1)),"",INDEX('CONFIGURAÇÃO'!$B$1:$O$1731,$A26+10,$B26+1))</f>
        <v/>
      </c>
      <c r="I26">
        <f>IF(ISBLANK(INDEX('CONFIGURAÇÃO'!$B$1:$O$1731,$A26+2,$B26+5)),"",INDEX('CONFIGURAÇÃO'!$B$1:$O$1731,$A26+2,$B26+5))</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IF(ISBLANK(INDEX('CONFIGURAÇÃO'!$B$1:$O$1731,$A27+10,$B27+1)),"",INDEX('CONFIGURAÇÃO'!$B$1:$O$1731,$A27+10,$B27+1))</f>
        <v/>
      </c>
      <c r="I27">
        <f>IF(ISBLANK(INDEX('CONFIGURAÇÃO'!$B$1:$O$1731,$A27+2,$B27+5)),"",INDEX('CONFIGURAÇÃO'!$B$1:$O$1731,$A27+2,$B27+5))</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IF(ISBLANK(INDEX('CONFIGURAÇÃO'!$B$1:$O$1731,$A28+10,$B28+1)),"",INDEX('CONFIGURAÇÃO'!$B$1:$O$1731,$A28+10,$B28+1))</f>
        <v/>
      </c>
      <c r="I28">
        <f>IF(ISBLANK(INDEX('CONFIGURAÇÃO'!$B$1:$O$1731,$A28+2,$B28+5)),"",INDEX('CONFIGURAÇÃO'!$B$1:$O$1731,$A28+2,$B28+5))</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IF(ISBLANK(INDEX('CONFIGURAÇÃO'!$B$1:$O$1731,$A29+10,$B29+1)),"",INDEX('CONFIGURAÇÃO'!$B$1:$O$1731,$A29+10,$B29+1))</f>
        <v/>
      </c>
      <c r="I29">
        <f>IF(ISBLANK(INDEX('CONFIGURAÇÃO'!$B$1:$O$1731,$A29+2,$B29+5)),"",INDEX('CONFIGURAÇÃO'!$B$1:$O$1731,$A29+2,$B29+5))</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IF(ISBLANK(INDEX('CONFIGURAÇÃO'!$B$1:$O$1731,$A30+10,$B30+1)),"",INDEX('CONFIGURAÇÃO'!$B$1:$O$1731,$A30+10,$B30+1))</f>
        <v/>
      </c>
      <c r="I30">
        <f>IF(ISBLANK(INDEX('CONFIGURAÇÃO'!$B$1:$O$1731,$A30+2,$B30+5)),"",INDEX('CONFIGURAÇÃO'!$B$1:$O$1731,$A30+2,$B30+5))</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IF(ISBLANK(INDEX('CONFIGURAÇÃO'!$B$1:$O$1731,$A31+10,$B31+1)),"",INDEX('CONFIGURAÇÃO'!$B$1:$O$1731,$A31+10,$B31+1))</f>
        <v/>
      </c>
      <c r="I31">
        <f>IF(ISBLANK(INDEX('CONFIGURAÇÃO'!$B$1:$O$1731,$A31+2,$B31+5)),"",INDEX('CONFIGURAÇÃO'!$B$1:$O$1731,$A31+2,$B31+5))</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75" customHeight="1"/>
  <sheetData>
    <row r="1">
      <c r="A1" t="inlineStr">
        <is>
          <t>registro</t>
        </is>
      </c>
      <c r="D1" t="inlineStr">
        <is>
          <t>nome</t>
        </is>
      </c>
      <c r="E1" t="inlineStr">
        <is>
          <t>mestre viu</t>
        </is>
      </c>
      <c r="F1" t="inlineStr">
        <is>
          <t>definição</t>
        </is>
      </c>
      <c r="G1" t="inlineStr">
        <is>
          <t>efeito e requisitos</t>
        </is>
      </c>
      <c r="H1" t="inlineStr">
        <is>
          <t>aviso</t>
        </is>
      </c>
      <c r="J1" t="inlineStr">
        <is>
          <t>tipo de dano</t>
        </is>
      </c>
      <c r="K1" t="inlineStr">
        <is>
          <t>definição</t>
        </is>
      </c>
      <c r="L1" t="inlineStr">
        <is>
          <t>efeito e requisitos</t>
        </is>
      </c>
      <c r="M1" t="inlineStr">
        <is>
          <t>tipos do livro</t>
        </is>
      </c>
    </row>
    <row r="2">
      <c r="A2" t="n">
        <v>1</v>
      </c>
      <c r="D2">
        <f>IF(ISBLANK('CONFIGURAÇÃO'!$B$1737),"",'CONFIGURAÇÃO'!$B$1737)</f>
        <v/>
      </c>
      <c r="E2">
        <f>IF(ISBLANK('CONFIGURAÇÃO'!$F$1737),"",'CONFIGURAÇÃO'!$F$1737)</f>
        <v/>
      </c>
      <c r="F2">
        <f>IF(ISBLANK('CONFIGURAÇÃO'!$B$1741),"",'CONFIGURAÇÃO'!$B$1741)</f>
        <v/>
      </c>
      <c r="G2">
        <f>IF(ISBLANK('CONFIGURAÇÃO'!$B$1748),"",'CONFIGURAÇÃO'!$B$1748)</f>
        <v/>
      </c>
      <c r="H2">
        <f>IF(D2="",IF(OR(F2&lt;&gt;"",G2&lt;&gt;"",E2=TRUE),"Preencha NOME",""),TEXTJOIN(" · ",TRUE,IF(OR(NOT(ISTEXT(D2)),TRIM(D2)&lt;&gt;D2),"NOME precisa ser texto sem espaços nas pontas",""),IF(COUNTIF($D$2:$D$11,SUBSTITUTE(SUBSTITUTE(SUBSTITUTE(D2,"~","~~"),"*","~*"),"?","~?"))+COUNTIF('DADOS_DANOS'!$M$2:$M$16,SUBSTITUTE(SUBSTITUTE(SUBSTITUTE(D2,"~","~~"),"*","~*"),"?","~?"))&gt;1,"Nome repetido no livro ou custom",""),IF(ISLOGICAL(E2),"","MESTRE VIU deve ser caixa de seleção")))</f>
        <v/>
      </c>
      <c r="J2">
        <f>M2</f>
        <v/>
      </c>
      <c r="M2" t="inlineStr">
        <is>
          <t>Cortante</t>
        </is>
      </c>
    </row>
    <row r="3">
      <c r="A3" t="n">
        <v>2</v>
      </c>
      <c r="D3">
        <f>IF(ISBLANK('CONFIGURAÇÃO'!$J$1737),"",'CONFIGURAÇÃO'!$J$1737)</f>
        <v/>
      </c>
      <c r="E3">
        <f>IF(ISBLANK('CONFIGURAÇÃO'!$N$1737),"",'CONFIGURAÇÃO'!$N$1737)</f>
        <v/>
      </c>
      <c r="F3">
        <f>IF(ISBLANK('CONFIGURAÇÃO'!$J$1741),"",'CONFIGURAÇÃO'!$J$1741)</f>
        <v/>
      </c>
      <c r="G3">
        <f>IF(ISBLANK('CONFIGURAÇÃO'!$J$1748),"",'CONFIGURAÇÃO'!$J$1748)</f>
        <v/>
      </c>
      <c r="H3">
        <f>IF(D3="",IF(OR(F3&lt;&gt;"",G3&lt;&gt;"",E3=TRUE),"Preencha NOME",""),TEXTJOIN(" · ",TRUE,IF(OR(NOT(ISTEXT(D3)),TRIM(D3)&lt;&gt;D3),"NOME precisa ser texto sem espaços nas pontas",""),IF(COUNTIF($D$2:$D$11,SUBSTITUTE(SUBSTITUTE(SUBSTITUTE(D3,"~","~~"),"*","~*"),"?","~?"))+COUNTIF('DADOS_DANOS'!$M$2:$M$16,SUBSTITUTE(SUBSTITUTE(SUBSTITUTE(D3,"~","~~"),"*","~*"),"?","~?"))&gt;1,"Nome repetido no livro ou custom",""),IF(ISLOGICAL(E3),"","MESTRE VIU deve ser caixa de seleção")))</f>
        <v/>
      </c>
      <c r="J3">
        <f>M3</f>
        <v/>
      </c>
      <c r="M3" t="inlineStr">
        <is>
          <t>Perfurante</t>
        </is>
      </c>
    </row>
    <row r="4">
      <c r="A4" t="n">
        <v>3</v>
      </c>
      <c r="D4">
        <f>IF(ISBLANK('CONFIGURAÇÃO'!$B$1765),"",'CONFIGURAÇÃO'!$B$1765)</f>
        <v/>
      </c>
      <c r="E4">
        <f>IF(ISBLANK('CONFIGURAÇÃO'!$F$1765),"",'CONFIGURAÇÃO'!$F$1765)</f>
        <v/>
      </c>
      <c r="F4">
        <f>IF(ISBLANK('CONFIGURAÇÃO'!$B$1769),"",'CONFIGURAÇÃO'!$B$1769)</f>
        <v/>
      </c>
      <c r="G4">
        <f>IF(ISBLANK('CONFIGURAÇÃO'!$B$1776),"",'CONFIGURAÇÃO'!$B$1776)</f>
        <v/>
      </c>
      <c r="H4">
        <f>IF(D4="",IF(OR(F4&lt;&gt;"",G4&lt;&gt;"",E4=TRUE),"Preencha NOME",""),TEXTJOIN(" · ",TRUE,IF(OR(NOT(ISTEXT(D4)),TRIM(D4)&lt;&gt;D4),"NOME precisa ser texto sem espaços nas pontas",""),IF(COUNTIF($D$2:$D$11,SUBSTITUTE(SUBSTITUTE(SUBSTITUTE(D4,"~","~~"),"*","~*"),"?","~?"))+COUNTIF('DADOS_DANOS'!$M$2:$M$16,SUBSTITUTE(SUBSTITUTE(SUBSTITUTE(D4,"~","~~"),"*","~*"),"?","~?"))&gt;1,"Nome repetido no livro ou custom",""),IF(ISLOGICAL(E4),"","MESTRE VIU deve ser caixa de seleção")))</f>
        <v/>
      </c>
      <c r="J4">
        <f>M4</f>
        <v/>
      </c>
      <c r="M4" t="inlineStr">
        <is>
          <t>Concussão</t>
        </is>
      </c>
    </row>
    <row r="5">
      <c r="A5" t="n">
        <v>4</v>
      </c>
      <c r="D5">
        <f>IF(ISBLANK('CONFIGURAÇÃO'!$J$1765),"",'CONFIGURAÇÃO'!$J$1765)</f>
        <v/>
      </c>
      <c r="E5">
        <f>IF(ISBLANK('CONFIGURAÇÃO'!$N$1765),"",'CONFIGURAÇÃO'!$N$1765)</f>
        <v/>
      </c>
      <c r="F5">
        <f>IF(ISBLANK('CONFIGURAÇÃO'!$J$1769),"",'CONFIGURAÇÃO'!$J$1769)</f>
        <v/>
      </c>
      <c r="G5">
        <f>IF(ISBLANK('CONFIGURAÇÃO'!$J$1776),"",'CONFIGURAÇÃO'!$J$1776)</f>
        <v/>
      </c>
      <c r="H5">
        <f>IF(D5="",IF(OR(F5&lt;&gt;"",G5&lt;&gt;"",E5=TRUE),"Preencha NOME",""),TEXTJOIN(" · ",TRUE,IF(OR(NOT(ISTEXT(D5)),TRIM(D5)&lt;&gt;D5),"NOME precisa ser texto sem espaços nas pontas",""),IF(COUNTIF($D$2:$D$11,SUBSTITUTE(SUBSTITUTE(SUBSTITUTE(D5,"~","~~"),"*","~*"),"?","~?"))+COUNTIF('DADOS_DANOS'!$M$2:$M$16,SUBSTITUTE(SUBSTITUTE(SUBSTITUTE(D5,"~","~~"),"*","~*"),"?","~?"))&gt;1,"Nome repetido no livro ou custom",""),IF(ISLOGICAL(E5),"","MESTRE VIU deve ser caixa de seleção")))</f>
        <v/>
      </c>
      <c r="J5">
        <f>M5</f>
        <v/>
      </c>
      <c r="M5" t="inlineStr">
        <is>
          <t>Fogo</t>
        </is>
      </c>
    </row>
    <row r="6">
      <c r="A6" t="n">
        <v>5</v>
      </c>
      <c r="D6">
        <f>IF(ISBLANK('CONFIGURAÇÃO'!$B$1793),"",'CONFIGURAÇÃO'!$B$1793)</f>
        <v/>
      </c>
      <c r="E6">
        <f>IF(ISBLANK('CONFIGURAÇÃO'!$F$1793),"",'CONFIGURAÇÃO'!$F$1793)</f>
        <v/>
      </c>
      <c r="F6">
        <f>IF(ISBLANK('CONFIGURAÇÃO'!$B$1797),"",'CONFIGURAÇÃO'!$B$1797)</f>
        <v/>
      </c>
      <c r="G6">
        <f>IF(ISBLANK('CONFIGURAÇÃO'!$B$1804),"",'CONFIGURAÇÃO'!$B$1804)</f>
        <v/>
      </c>
      <c r="H6">
        <f>IF(D6="",IF(OR(F6&lt;&gt;"",G6&lt;&gt;"",E6=TRUE),"Preencha NOME",""),TEXTJOIN(" · ",TRUE,IF(OR(NOT(ISTEXT(D6)),TRIM(D6)&lt;&gt;D6),"NOME precisa ser texto sem espaços nas pontas",""),IF(COUNTIF($D$2:$D$11,SUBSTITUTE(SUBSTITUTE(SUBSTITUTE(D6,"~","~~"),"*","~*"),"?","~?"))+COUNTIF('DADOS_DANOS'!$M$2:$M$16,SUBSTITUTE(SUBSTITUTE(SUBSTITUTE(D6,"~","~~"),"*","~*"),"?","~?"))&gt;1,"Nome repetido no livro ou custom",""),IF(ISLOGICAL(E6),"","MESTRE VIU deve ser caixa de seleção")))</f>
        <v/>
      </c>
      <c r="J6">
        <f>M6</f>
        <v/>
      </c>
      <c r="M6" t="inlineStr">
        <is>
          <t>Frio</t>
        </is>
      </c>
    </row>
    <row r="7">
      <c r="A7" t="n">
        <v>6</v>
      </c>
      <c r="D7">
        <f>IF(ISBLANK('CONFIGURAÇÃO'!$J$1793),"",'CONFIGURAÇÃO'!$J$1793)</f>
        <v/>
      </c>
      <c r="E7">
        <f>IF(ISBLANK('CONFIGURAÇÃO'!$N$1793),"",'CONFIGURAÇÃO'!$N$1793)</f>
        <v/>
      </c>
      <c r="F7">
        <f>IF(ISBLANK('CONFIGURAÇÃO'!$J$1797),"",'CONFIGURAÇÃO'!$J$1797)</f>
        <v/>
      </c>
      <c r="G7">
        <f>IF(ISBLANK('CONFIGURAÇÃO'!$J$1804),"",'CONFIGURAÇÃO'!$J$1804)</f>
        <v/>
      </c>
      <c r="H7">
        <f>IF(D7="",IF(OR(F7&lt;&gt;"",G7&lt;&gt;"",E7=TRUE),"Preencha NOME",""),TEXTJOIN(" · ",TRUE,IF(OR(NOT(ISTEXT(D7)),TRIM(D7)&lt;&gt;D7),"NOME precisa ser texto sem espaços nas pontas",""),IF(COUNTIF($D$2:$D$11,SUBSTITUTE(SUBSTITUTE(SUBSTITUTE(D7,"~","~~"),"*","~*"),"?","~?"))+COUNTIF('DADOS_DANOS'!$M$2:$M$16,SUBSTITUTE(SUBSTITUTE(SUBSTITUTE(D7,"~","~~"),"*","~*"),"?","~?"))&gt;1,"Nome repetido no livro ou custom",""),IF(ISLOGICAL(E7),"","MESTRE VIU deve ser caixa de seleção")))</f>
        <v/>
      </c>
      <c r="J7">
        <f>M7</f>
        <v/>
      </c>
      <c r="M7" t="inlineStr">
        <is>
          <t>Elétrico</t>
        </is>
      </c>
    </row>
    <row r="8">
      <c r="A8" t="n">
        <v>7</v>
      </c>
      <c r="D8">
        <f>IF(ISBLANK('CONFIGURAÇÃO'!$B$1821),"",'CONFIGURAÇÃO'!$B$1821)</f>
        <v/>
      </c>
      <c r="E8">
        <f>IF(ISBLANK('CONFIGURAÇÃO'!$F$1821),"",'CONFIGURAÇÃO'!$F$1821)</f>
        <v/>
      </c>
      <c r="F8">
        <f>IF(ISBLANK('CONFIGURAÇÃO'!$B$1825),"",'CONFIGURAÇÃO'!$B$1825)</f>
        <v/>
      </c>
      <c r="G8">
        <f>IF(ISBLANK('CONFIGURAÇÃO'!$B$1832),"",'CONFIGURAÇÃO'!$B$1832)</f>
        <v/>
      </c>
      <c r="H8">
        <f>IF(D8="",IF(OR(F8&lt;&gt;"",G8&lt;&gt;"",E8=TRUE),"Preencha NOME",""),TEXTJOIN(" · ",TRUE,IF(OR(NOT(ISTEXT(D8)),TRIM(D8)&lt;&gt;D8),"NOME precisa ser texto sem espaços nas pontas",""),IF(COUNTIF($D$2:$D$11,SUBSTITUTE(SUBSTITUTE(SUBSTITUTE(D8,"~","~~"),"*","~*"),"?","~?"))+COUNTIF('DADOS_DANOS'!$M$2:$M$16,SUBSTITUTE(SUBSTITUTE(SUBSTITUTE(D8,"~","~~"),"*","~*"),"?","~?"))&gt;1,"Nome repetido no livro ou custom",""),IF(ISLOGICAL(E8),"","MESTRE VIU deve ser caixa de seleção")))</f>
        <v/>
      </c>
      <c r="J8">
        <f>M8</f>
        <v/>
      </c>
      <c r="M8" t="inlineStr">
        <is>
          <t>Ácido</t>
        </is>
      </c>
    </row>
    <row r="9">
      <c r="A9" t="n">
        <v>8</v>
      </c>
      <c r="D9">
        <f>IF(ISBLANK('CONFIGURAÇÃO'!$J$1821),"",'CONFIGURAÇÃO'!$J$1821)</f>
        <v/>
      </c>
      <c r="E9">
        <f>IF(ISBLANK('CONFIGURAÇÃO'!$N$1821),"",'CONFIGURAÇÃO'!$N$1821)</f>
        <v/>
      </c>
      <c r="F9">
        <f>IF(ISBLANK('CONFIGURAÇÃO'!$J$1825),"",'CONFIGURAÇÃO'!$J$1825)</f>
        <v/>
      </c>
      <c r="G9">
        <f>IF(ISBLANK('CONFIGURAÇÃO'!$J$1832),"",'CONFIGURAÇÃO'!$J$1832)</f>
        <v/>
      </c>
      <c r="H9">
        <f>IF(D9="",IF(OR(F9&lt;&gt;"",G9&lt;&gt;"",E9=TRUE),"Preencha NOME",""),TEXTJOIN(" · ",TRUE,IF(OR(NOT(ISTEXT(D9)),TRIM(D9)&lt;&gt;D9),"NOME precisa ser texto sem espaços nas pontas",""),IF(COUNTIF($D$2:$D$11,SUBSTITUTE(SUBSTITUTE(SUBSTITUTE(D9,"~","~~"),"*","~*"),"?","~?"))+COUNTIF('DADOS_DANOS'!$M$2:$M$16,SUBSTITUTE(SUBSTITUTE(SUBSTITUTE(D9,"~","~~"),"*","~*"),"?","~?"))&gt;1,"Nome repetido no livro ou custom",""),IF(ISLOGICAL(E9),"","MESTRE VIU deve ser caixa de seleção")))</f>
        <v/>
      </c>
      <c r="J9">
        <f>M9</f>
        <v/>
      </c>
      <c r="M9" t="inlineStr">
        <is>
          <t>Trovejante</t>
        </is>
      </c>
    </row>
    <row r="10">
      <c r="A10" t="n">
        <v>9</v>
      </c>
      <c r="D10">
        <f>IF(ISBLANK('CONFIGURAÇÃO'!$B$1849),"",'CONFIGURAÇÃO'!$B$1849)</f>
        <v/>
      </c>
      <c r="E10">
        <f>IF(ISBLANK('CONFIGURAÇÃO'!$F$1849),"",'CONFIGURAÇÃO'!$F$1849)</f>
        <v/>
      </c>
      <c r="F10">
        <f>IF(ISBLANK('CONFIGURAÇÃO'!$B$1853),"",'CONFIGURAÇÃO'!$B$1853)</f>
        <v/>
      </c>
      <c r="G10">
        <f>IF(ISBLANK('CONFIGURAÇÃO'!$B$1860),"",'CONFIGURAÇÃO'!$B$1860)</f>
        <v/>
      </c>
      <c r="H10">
        <f>IF(D10="",IF(OR(F10&lt;&gt;"",G10&lt;&gt;"",E10=TRUE),"Preencha NOME",""),TEXTJOIN(" · ",TRUE,IF(OR(NOT(ISTEXT(D10)),TRIM(D10)&lt;&gt;D10),"NOME precisa ser texto sem espaços nas pontas",""),IF(COUNTIF($D$2:$D$11,SUBSTITUTE(SUBSTITUTE(SUBSTITUTE(D10,"~","~~"),"*","~*"),"?","~?"))+COUNTIF('DADOS_DANOS'!$M$2:$M$16,SUBSTITUTE(SUBSTITUTE(SUBSTITUTE(D10,"~","~~"),"*","~*"),"?","~?"))&gt;1,"Nome repetido no livro ou custom",""),IF(ISLOGICAL(E10),"","MESTRE VIU deve ser caixa de seleção")))</f>
        <v/>
      </c>
      <c r="J10">
        <f>M10</f>
        <v/>
      </c>
      <c r="M10" t="inlineStr">
        <is>
          <t>Veneno</t>
        </is>
      </c>
    </row>
    <row r="11">
      <c r="A11" t="n">
        <v>10</v>
      </c>
      <c r="D11">
        <f>IF(ISBLANK('CONFIGURAÇÃO'!$J$1849),"",'CONFIGURAÇÃO'!$J$1849)</f>
        <v/>
      </c>
      <c r="E11">
        <f>IF(ISBLANK('CONFIGURAÇÃO'!$N$1849),"",'CONFIGURAÇÃO'!$N$1849)</f>
        <v/>
      </c>
      <c r="F11">
        <f>IF(ISBLANK('CONFIGURAÇÃO'!$J$1853),"",'CONFIGURAÇÃO'!$J$1853)</f>
        <v/>
      </c>
      <c r="G11">
        <f>IF(ISBLANK('CONFIGURAÇÃO'!$J$1860),"",'CONFIGURAÇÃO'!$J$1860)</f>
        <v/>
      </c>
      <c r="H11">
        <f>IF(D11="",IF(OR(F11&lt;&gt;"",G11&lt;&gt;"",E11=TRUE),"Preencha NOME",""),TEXTJOIN(" · ",TRUE,IF(OR(NOT(ISTEXT(D11)),TRIM(D11)&lt;&gt;D11),"NOME precisa ser texto sem espaços nas pontas",""),IF(COUNTIF($D$2:$D$11,SUBSTITUTE(SUBSTITUTE(SUBSTITUTE(D11,"~","~~"),"*","~*"),"?","~?"))+COUNTIF('DADOS_DANOS'!$M$2:$M$16,SUBSTITUTE(SUBSTITUTE(SUBSTITUTE(D11,"~","~~"),"*","~*"),"?","~?"))&gt;1,"Nome repetido no livro ou custom",""),IF(ISLOGICAL(E11),"","MESTRE VIU deve ser caixa de seleção")))</f>
        <v/>
      </c>
      <c r="J11">
        <f>M11</f>
        <v/>
      </c>
      <c r="M11" t="inlineStr">
        <is>
          <t>Radiante</t>
        </is>
      </c>
    </row>
    <row r="12">
      <c r="J12">
        <f>M12</f>
        <v/>
      </c>
      <c r="M12" t="inlineStr">
        <is>
          <t>Necrótico</t>
        </is>
      </c>
    </row>
    <row r="13">
      <c r="J13">
        <f>M13</f>
        <v/>
      </c>
      <c r="M13" t="inlineStr">
        <is>
          <t>Psíquico</t>
        </is>
      </c>
    </row>
    <row r="14">
      <c r="J14">
        <f>M14</f>
        <v/>
      </c>
      <c r="M14" t="inlineStr">
        <is>
          <t>Energia Reversa</t>
        </is>
      </c>
    </row>
    <row r="15">
      <c r="J15">
        <f>M15</f>
        <v/>
      </c>
      <c r="M15" t="inlineStr">
        <is>
          <t>Força</t>
        </is>
      </c>
    </row>
    <row r="16">
      <c r="J16">
        <f>M16</f>
        <v/>
      </c>
      <c r="M16" t="inlineStr">
        <is>
          <t>Alma</t>
        </is>
      </c>
    </row>
    <row r="17">
      <c r="J17">
        <f>IF(AND(D2&lt;&gt;"",H2=""),D2,"")</f>
        <v/>
      </c>
      <c r="K17">
        <f>IF(J17="","",F2)</f>
        <v/>
      </c>
      <c r="L17">
        <f>IF(J17="","",G2)</f>
        <v/>
      </c>
    </row>
    <row r="18">
      <c r="J18">
        <f>IF(AND(D3&lt;&gt;"",H3=""),D3,"")</f>
        <v/>
      </c>
      <c r="K18">
        <f>IF(J18="","",F3)</f>
        <v/>
      </c>
      <c r="L18">
        <f>IF(J18="","",G3)</f>
        <v/>
      </c>
    </row>
    <row r="19">
      <c r="J19">
        <f>IF(AND(D4&lt;&gt;"",H4=""),D4,"")</f>
        <v/>
      </c>
      <c r="K19">
        <f>IF(J19="","",F4)</f>
        <v/>
      </c>
      <c r="L19">
        <f>IF(J19="","",G4)</f>
        <v/>
      </c>
    </row>
    <row r="20">
      <c r="J20">
        <f>IF(AND(D5&lt;&gt;"",H5=""),D5,"")</f>
        <v/>
      </c>
      <c r="K20">
        <f>IF(J20="","",F5)</f>
        <v/>
      </c>
      <c r="L20">
        <f>IF(J20="","",G5)</f>
        <v/>
      </c>
    </row>
    <row r="21">
      <c r="J21">
        <f>IF(AND(D6&lt;&gt;"",H6=""),D6,"")</f>
        <v/>
      </c>
      <c r="K21">
        <f>IF(J21="","",F6)</f>
        <v/>
      </c>
      <c r="L21">
        <f>IF(J21="","",G6)</f>
        <v/>
      </c>
    </row>
    <row r="22">
      <c r="J22">
        <f>IF(AND(D7&lt;&gt;"",H7=""),D7,"")</f>
        <v/>
      </c>
      <c r="K22">
        <f>IF(J22="","",F7)</f>
        <v/>
      </c>
      <c r="L22">
        <f>IF(J22="","",G7)</f>
        <v/>
      </c>
    </row>
    <row r="23">
      <c r="J23">
        <f>IF(AND(D8&lt;&gt;"",H8=""),D8,"")</f>
        <v/>
      </c>
      <c r="K23">
        <f>IF(J23="","",F8)</f>
        <v/>
      </c>
      <c r="L23">
        <f>IF(J23="","",G8)</f>
        <v/>
      </c>
    </row>
    <row r="24">
      <c r="J24">
        <f>IF(AND(D9&lt;&gt;"",H9=""),D9,"")</f>
        <v/>
      </c>
      <c r="K24">
        <f>IF(J24="","",F9)</f>
        <v/>
      </c>
      <c r="L24">
        <f>IF(J24="","",G9)</f>
        <v/>
      </c>
    </row>
    <row r="25">
      <c r="J25">
        <f>IF(AND(D10&lt;&gt;"",H10=""),D10,"")</f>
        <v/>
      </c>
      <c r="K25">
        <f>IF(J25="","",F10)</f>
        <v/>
      </c>
      <c r="L25">
        <f>IF(J25="","",G10)</f>
        <v/>
      </c>
    </row>
    <row r="26">
      <c r="J26">
        <f>IF(AND(D11&lt;&gt;"",H11=""),D11,"")</f>
        <v/>
      </c>
      <c r="K26">
        <f>IF(J26="","",F11)</f>
        <v/>
      </c>
      <c r="L26">
        <f>IF(J26="","",G11)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A81"/>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entrada.familia</t>
        </is>
      </c>
      <c r="H1" t="inlineStr">
        <is>
          <t>entrada.peso</t>
        </is>
      </c>
      <c r="I1" t="inlineStr">
        <is>
          <t>entrada.resolucao</t>
        </is>
      </c>
      <c r="J1" t="inlineStr">
        <is>
          <t>entrada.resultado</t>
        </is>
      </c>
      <c r="K1" t="inlineStr">
        <is>
          <t>entrada.exige_tr</t>
        </is>
      </c>
      <c r="L1" t="inlineStr">
        <is>
          <t>entrada.classe_0</t>
        </is>
      </c>
      <c r="M1" t="inlineStr">
        <is>
          <t>entrada.restricao_embutida</t>
        </is>
      </c>
      <c r="N1" t="inlineStr">
        <is>
          <t>entrada.alcance_escada</t>
        </is>
      </c>
      <c r="O1" t="inlineStr">
        <is>
          <t>entrada.area_escada</t>
        </is>
      </c>
      <c r="P1" t="inlineStr">
        <is>
          <t>entrada.alcance_personagem_classe_0</t>
        </is>
      </c>
      <c r="Q1" t="inlineStr">
        <is>
          <t>entrada.alcance_personagem_classes_1_a_5</t>
        </is>
      </c>
      <c r="R1" t="inlineStr">
        <is>
          <t>entrada.alcance_personagem_classes_6_e_7</t>
        </is>
      </c>
      <c r="S1" t="inlineStr">
        <is>
          <t>entrada.alcance_entidade_classe_0</t>
        </is>
      </c>
      <c r="T1" t="inlineStr">
        <is>
          <t>entrada.alcance_entidade_classes_1_a_5</t>
        </is>
      </c>
      <c r="U1" t="inlineStr">
        <is>
          <t>entrada.alcance_entidade_classe_6</t>
        </is>
      </c>
      <c r="V1" t="inlineStr">
        <is>
          <t>entrada.alcance_entidade_classe_7</t>
        </is>
      </c>
      <c r="W1" t="inlineStr">
        <is>
          <t>entrada.area_personagem_classe_0</t>
        </is>
      </c>
      <c r="X1" t="inlineStr">
        <is>
          <t>entrada.area_personagem_classes_1_a_5</t>
        </is>
      </c>
      <c r="Y1" t="inlineStr">
        <is>
          <t>entrada.area_personagem_classes_6_e_7</t>
        </is>
      </c>
      <c r="Z1" t="inlineStr">
        <is>
          <t>entrada.area_entidade_classe_0</t>
        </is>
      </c>
      <c r="AA1" t="inlineStr">
        <is>
          <t>entrada.area_entidade_classes_1_a_5</t>
        </is>
      </c>
      <c r="AB1" t="inlineStr">
        <is>
          <t>entrada.area_entidade_classe_6</t>
        </is>
      </c>
      <c r="AC1" t="inlineStr">
        <is>
          <t>entrada.area_entidade_classe_7</t>
        </is>
      </c>
      <c r="AD1" t="inlineStr">
        <is>
          <t>aviso</t>
        </is>
      </c>
      <c r="AE1" t="inlineStr">
        <is>
          <t>linha_base</t>
        </is>
      </c>
      <c r="AF1" t="inlineStr">
        <is>
          <t>ativo</t>
        </is>
      </c>
      <c r="AG1" t="inlineStr">
        <is>
          <t>tipo</t>
        </is>
      </c>
      <c r="AH1" t="inlineStr">
        <is>
          <t>nome</t>
        </is>
      </c>
      <c r="AI1" t="inlineStr">
        <is>
          <t>base</t>
        </is>
      </c>
      <c r="AJ1" t="inlineStr">
        <is>
          <t>mestre_viu</t>
        </is>
      </c>
      <c r="AK1" t="inlineStr">
        <is>
          <t>requisitos</t>
        </is>
      </c>
      <c r="AL1" t="inlineStr">
        <is>
          <t>efeito</t>
        </is>
      </c>
      <c r="AM1" t="inlineStr">
        <is>
          <t>familia</t>
        </is>
      </c>
      <c r="AN1" t="inlineStr">
        <is>
          <t>peso</t>
        </is>
      </c>
      <c r="AO1" t="inlineStr">
        <is>
          <t>resolucao</t>
        </is>
      </c>
      <c r="AP1" t="inlineStr">
        <is>
          <t>resultado</t>
        </is>
      </c>
      <c r="AQ1" t="inlineStr">
        <is>
          <t>exige_tr</t>
        </is>
      </c>
      <c r="AR1" t="inlineStr">
        <is>
          <t>classe_0</t>
        </is>
      </c>
      <c r="AS1" t="inlineStr">
        <is>
          <t>restricao_embutida</t>
        </is>
      </c>
      <c r="AT1" t="inlineStr">
        <is>
          <t>alcance_escada</t>
        </is>
      </c>
      <c r="AU1" t="inlineStr">
        <is>
          <t>area_escada</t>
        </is>
      </c>
      <c r="AV1" t="inlineStr">
        <is>
          <t>alcance_personagem_classe_0</t>
        </is>
      </c>
      <c r="AW1" t="inlineStr">
        <is>
          <t>alcance_personagem_classes_1_a_5</t>
        </is>
      </c>
      <c r="AX1" t="inlineStr">
        <is>
          <t>alcance_personagem_classes_6_e_7</t>
        </is>
      </c>
      <c r="AY1" t="inlineStr">
        <is>
          <t>alcance_entidade_classe_0</t>
        </is>
      </c>
      <c r="AZ1" t="inlineStr">
        <is>
          <t>alcance_entidade_classes_1_a_5</t>
        </is>
      </c>
      <c r="BA1" t="inlineStr">
        <is>
          <t>alcance_entidade_classe_6</t>
        </is>
      </c>
      <c r="BB1" t="inlineStr">
        <is>
          <t>alcance_entidade_classe_7</t>
        </is>
      </c>
      <c r="BC1" t="inlineStr">
        <is>
          <t>area_personagem_classe_0</t>
        </is>
      </c>
      <c r="BD1" t="inlineStr">
        <is>
          <t>area_personagem_classes_1_a_5</t>
        </is>
      </c>
      <c r="BE1" t="inlineStr">
        <is>
          <t>area_personagem_classes_6_e_7</t>
        </is>
      </c>
      <c r="BF1" t="inlineStr">
        <is>
          <t>area_entidade_classe_0</t>
        </is>
      </c>
      <c r="BG1" t="inlineStr">
        <is>
          <t>area_entidade_classes_1_a_5</t>
        </is>
      </c>
      <c r="BH1" t="inlineStr">
        <is>
          <t>area_entidade_classe_6</t>
        </is>
      </c>
      <c r="BI1" t="inlineStr">
        <is>
          <t>area_entidade_classe_7</t>
        </is>
      </c>
      <c r="BJ1" t="inlineStr">
        <is>
          <t>identidade</t>
        </is>
      </c>
      <c r="BK1" t="inlineStr">
        <is>
          <t>alvos</t>
        </is>
      </c>
      <c r="BL1" t="inlineStr">
        <is>
          <t>p1_dimensao</t>
        </is>
      </c>
      <c r="BM1" t="inlineStr">
        <is>
          <t>p1_antes</t>
        </is>
      </c>
      <c r="BN1" t="inlineStr">
        <is>
          <t>p1_depois</t>
        </is>
      </c>
      <c r="BO1" t="inlineStr">
        <is>
          <t>p1_grau</t>
        </is>
      </c>
      <c r="BP1" t="inlineStr">
        <is>
          <t>p2_dimensao</t>
        </is>
      </c>
      <c r="BQ1" t="inlineStr">
        <is>
          <t>p2_antes</t>
        </is>
      </c>
      <c r="BR1" t="inlineStr">
        <is>
          <t>p2_depois</t>
        </is>
      </c>
      <c r="BS1" t="inlineStr">
        <is>
          <t>p2_grau</t>
        </is>
      </c>
      <c r="FJ1" t="inlineStr">
        <is>
          <t>formas_personagem.0</t>
        </is>
      </c>
      <c r="FK1" t="inlineStr">
        <is>
          <t>formas_personagem.1</t>
        </is>
      </c>
      <c r="FL1" t="inlineStr">
        <is>
          <t>formas_personagem.2</t>
        </is>
      </c>
      <c r="FM1" t="inlineStr">
        <is>
          <t>formas_personagem.3</t>
        </is>
      </c>
      <c r="FN1" t="inlineStr">
        <is>
          <t>formas_personagem.4</t>
        </is>
      </c>
      <c r="FO1" t="inlineStr">
        <is>
          <t>formas_personagem.5</t>
        </is>
      </c>
      <c r="FP1" t="inlineStr">
        <is>
          <t>formas_personagem.6</t>
        </is>
      </c>
      <c r="FQ1" t="inlineStr">
        <is>
          <t>formas_personagem.7</t>
        </is>
      </c>
      <c r="FR1" t="inlineStr">
        <is>
          <t>formas_personagem.8</t>
        </is>
      </c>
      <c r="FS1" t="inlineStr">
        <is>
          <t>formas_personagem.9</t>
        </is>
      </c>
      <c r="FT1" t="inlineStr">
        <is>
          <t>formas_personagem.10</t>
        </is>
      </c>
      <c r="FU1" t="inlineStr">
        <is>
          <t>formas_personagem.11</t>
        </is>
      </c>
      <c r="FV1" t="inlineStr">
        <is>
          <t>formas_personagem.12</t>
        </is>
      </c>
      <c r="FW1" t="inlineStr">
        <is>
          <t>formas_personagem.13</t>
        </is>
      </c>
      <c r="FX1" t="inlineStr">
        <is>
          <t>formas_personagem.14</t>
        </is>
      </c>
      <c r="FZ1" t="inlineStr">
        <is>
          <t>formas_entidade.0</t>
        </is>
      </c>
      <c r="GA1" t="inlineStr">
        <is>
          <t>formas_entidade.1</t>
        </is>
      </c>
      <c r="GB1" t="inlineStr">
        <is>
          <t>formas_entidade.2</t>
        </is>
      </c>
      <c r="GC1" t="inlineStr">
        <is>
          <t>formas_entidade.3</t>
        </is>
      </c>
      <c r="GD1" t="inlineStr">
        <is>
          <t>formas_entidade.4</t>
        </is>
      </c>
      <c r="GE1" t="inlineStr">
        <is>
          <t>formas_entidade.5</t>
        </is>
      </c>
      <c r="GF1" t="inlineStr">
        <is>
          <t>formas_entidade.6</t>
        </is>
      </c>
      <c r="GG1" t="inlineStr">
        <is>
          <t>formas_entidade.7</t>
        </is>
      </c>
      <c r="GH1" t="inlineStr">
        <is>
          <t>formas_entidade.8</t>
        </is>
      </c>
      <c r="GI1" t="inlineStr">
        <is>
          <t>formas_entidade.9</t>
        </is>
      </c>
      <c r="GJ1" t="inlineStr">
        <is>
          <t>formas_entidade.10</t>
        </is>
      </c>
      <c r="GL1" t="inlineStr">
        <is>
          <t>escada_alcance.0</t>
        </is>
      </c>
      <c r="GN1" t="inlineStr">
        <is>
          <t>escada_raio.0</t>
        </is>
      </c>
      <c r="GP1" t="inlineStr">
        <is>
          <t>escada_comprimento.0</t>
        </is>
      </c>
      <c r="GR1" t="inlineStr">
        <is>
          <t>base_alcance_personagem.0</t>
        </is>
      </c>
      <c r="GS1" t="inlineStr">
        <is>
          <t>base_alcance_personagem.1</t>
        </is>
      </c>
      <c r="GT1" t="inlineStr">
        <is>
          <t>base_alcance_personagem.2</t>
        </is>
      </c>
      <c r="GU1" t="inlineStr">
        <is>
          <t>base_alcance_personagem.3</t>
        </is>
      </c>
      <c r="GV1" t="inlineStr">
        <is>
          <t>base_alcance_personagem.4</t>
        </is>
      </c>
      <c r="GW1" t="inlineStr">
        <is>
          <t>base_alcance_personagem.5</t>
        </is>
      </c>
      <c r="GY1" t="inlineStr">
        <is>
          <t>alcance_personagem.0</t>
        </is>
      </c>
      <c r="GZ1" t="inlineStr">
        <is>
          <t>alcance_personagem.1</t>
        </is>
      </c>
      <c r="HA1" t="inlineStr">
        <is>
          <t>alcance_personagem.2</t>
        </is>
      </c>
      <c r="HB1" t="inlineStr">
        <is>
          <t>alcance_personagem.3</t>
        </is>
      </c>
      <c r="HC1" t="inlineStr">
        <is>
          <t>alcance_personagem.4</t>
        </is>
      </c>
      <c r="HD1" t="inlineStr">
        <is>
          <t>alcance_personagem.5</t>
        </is>
      </c>
      <c r="HE1" t="inlineStr">
        <is>
          <t>alcance_personagem.6</t>
        </is>
      </c>
      <c r="HF1" t="inlineStr">
        <is>
          <t>alcance_personagem.7</t>
        </is>
      </c>
      <c r="HG1" t="inlineStr">
        <is>
          <t>alcance_personagem.8</t>
        </is>
      </c>
      <c r="HH1" t="inlineStr">
        <is>
          <t>alcance_personagem.9</t>
        </is>
      </c>
      <c r="HI1" t="inlineStr">
        <is>
          <t>alcance_personagem.10</t>
        </is>
      </c>
      <c r="HJ1" t="inlineStr">
        <is>
          <t>alcance_personagem.11</t>
        </is>
      </c>
      <c r="HK1" t="inlineStr">
        <is>
          <t>alcance_personagem.12</t>
        </is>
      </c>
      <c r="HM1" t="inlineStr">
        <is>
          <t>base_alcance_entidade.0</t>
        </is>
      </c>
      <c r="HN1" t="inlineStr">
        <is>
          <t>base_alcance_entidade.1</t>
        </is>
      </c>
      <c r="HO1" t="inlineStr">
        <is>
          <t>base_alcance_entidade.2</t>
        </is>
      </c>
      <c r="HP1" t="inlineStr">
        <is>
          <t>base_alcance_entidade.3</t>
        </is>
      </c>
      <c r="HQ1" t="inlineStr">
        <is>
          <t>base_alcance_entidade.4</t>
        </is>
      </c>
      <c r="HR1" t="inlineStr">
        <is>
          <t>base_alcance_entidade.5</t>
        </is>
      </c>
      <c r="HT1" t="inlineStr">
        <is>
          <t>alcance_entidade.0</t>
        </is>
      </c>
      <c r="HU1" t="inlineStr">
        <is>
          <t>alcance_entidade.1</t>
        </is>
      </c>
      <c r="HV1" t="inlineStr">
        <is>
          <t>alcance_entidade.2</t>
        </is>
      </c>
      <c r="HW1" t="inlineStr">
        <is>
          <t>alcance_entidade.3</t>
        </is>
      </c>
      <c r="HX1" t="inlineStr">
        <is>
          <t>alcance_entidade.4</t>
        </is>
      </c>
      <c r="HY1" t="inlineStr">
        <is>
          <t>alcance_entidade.5</t>
        </is>
      </c>
      <c r="HZ1" t="inlineStr">
        <is>
          <t>alcance_entidade.6</t>
        </is>
      </c>
      <c r="IA1" t="inlineStr">
        <is>
          <t>alcance_entidade.7</t>
        </is>
      </c>
      <c r="IB1" t="inlineStr">
        <is>
          <t>alcance_entidade.8</t>
        </is>
      </c>
      <c r="IC1" t="inlineStr">
        <is>
          <t>alcance_entidade.9</t>
        </is>
      </c>
      <c r="ID1" t="inlineStr">
        <is>
          <t>alcance_entidade.10</t>
        </is>
      </c>
      <c r="IE1" t="inlineStr">
        <is>
          <t>alcance_entidade.11</t>
        </is>
      </c>
      <c r="IF1" t="inlineStr">
        <is>
          <t>alcance_entidade.12</t>
        </is>
      </c>
      <c r="IH1" t="inlineStr">
        <is>
          <t>menu_entidade_0.0</t>
        </is>
      </c>
      <c r="II1" t="inlineStr">
        <is>
          <t>menu_entidade_0.1</t>
        </is>
      </c>
      <c r="IK1" t="inlineStr">
        <is>
          <t>menu_entidade_1.0</t>
        </is>
      </c>
      <c r="IL1" t="inlineStr">
        <is>
          <t>menu_entidade_1.1</t>
        </is>
      </c>
      <c r="IN1" t="inlineStr">
        <is>
          <t>menu_entidade_2.0</t>
        </is>
      </c>
      <c r="IO1" t="inlineStr">
        <is>
          <t>menu_entidade_2.1</t>
        </is>
      </c>
      <c r="IQ1" t="inlineStr">
        <is>
          <t>menu_entidade_3.0</t>
        </is>
      </c>
      <c r="IR1" t="inlineStr">
        <is>
          <t>menu_entidade_3.1</t>
        </is>
      </c>
      <c r="IT1" t="inlineStr">
        <is>
          <t>menu_entidade_4.0</t>
        </is>
      </c>
      <c r="IU1" t="inlineStr">
        <is>
          <t>menu_entidade_4.1</t>
        </is>
      </c>
      <c r="IW1" t="inlineStr">
        <is>
          <t>menu_entidade_5.0</t>
        </is>
      </c>
      <c r="IX1" t="inlineStr">
        <is>
          <t>menu_entidade_5.1</t>
        </is>
      </c>
      <c r="IZ1" t="inlineStr">
        <is>
          <t>menu_entidade_6.0</t>
        </is>
      </c>
      <c r="JA1" t="inlineStr">
        <is>
          <t>menu_entidade_6.1</t>
        </is>
      </c>
      <c r="JC1" t="inlineStr">
        <is>
          <t>menu_entidade_7.0</t>
        </is>
      </c>
      <c r="JD1" t="inlineStr">
        <is>
          <t>menu_entidade_7.1</t>
        </is>
      </c>
      <c r="JF1" t="inlineStr">
        <is>
          <t>menu_entidade_8.0</t>
        </is>
      </c>
      <c r="JG1" t="inlineStr">
        <is>
          <t>menu_entidade_8.1</t>
        </is>
      </c>
      <c r="JI1" t="inlineStr">
        <is>
          <t>menu_entidade_9.0</t>
        </is>
      </c>
      <c r="JJ1" t="inlineStr">
        <is>
          <t>menu_entidade_9.1</t>
        </is>
      </c>
      <c r="JL1" t="inlineStr">
        <is>
          <t>menu_entidade_10.0</t>
        </is>
      </c>
      <c r="JM1" t="inlineStr">
        <is>
          <t>menu_entidade_10.1</t>
        </is>
      </c>
      <c r="JO1" t="inlineStr">
        <is>
          <t>menu_entidade_11.0</t>
        </is>
      </c>
      <c r="JP1" t="inlineStr">
        <is>
          <t>menu_entidade_11.1</t>
        </is>
      </c>
    </row>
    <row r="2">
      <c r="A2">
        <f>IF(ISBLANK('CONFIGURAÇÃO'!$B$1882),"",'CONFIGURAÇÃO'!$B$1882)</f>
        <v/>
      </c>
      <c r="B2">
        <f>IF(ISBLANK('CONFIGURAÇÃO'!$B$1884),"",'CONFIGURAÇÃO'!$B$1884)</f>
        <v/>
      </c>
      <c r="C2">
        <f>IF(ISBLANK('CONFIGURAÇÃO'!$E$1885),"",'CONFIGURAÇÃO'!$E$1885)</f>
        <v/>
      </c>
      <c r="D2">
        <f>IF(ISBLANK('CONFIGURAÇÃO'!$F$1882),"",'CONFIGURAÇÃO'!$F$1882)</f>
        <v/>
      </c>
      <c r="E2">
        <f>IF(ISBLANK('CONFIGURAÇÃO'!$B$1911),"",'CONFIGURAÇÃO'!$B$1911)</f>
        <v/>
      </c>
      <c r="F2">
        <f>IF(ISBLANK('CONFIGURAÇÃO'!$B$1917),"",'CONFIGURAÇÃO'!$B$1917)</f>
        <v/>
      </c>
      <c r="G2">
        <f>IF(ISBLANK('CONFIGURAÇÃO'!$E$1886),"",'CONFIGURAÇÃO'!$E$1886)</f>
        <v/>
      </c>
      <c r="H2">
        <f>IF(ISBLANK('CONFIGURAÇÃO'!$E$1887),"",'CONFIGURAÇÃO'!$E$1887)</f>
        <v/>
      </c>
      <c r="I2">
        <f>IF(ISBLANK('CONFIGURAÇÃO'!$E$1888),"",'CONFIGURAÇÃO'!$E$1888)</f>
        <v/>
      </c>
      <c r="J2">
        <f>IF(ISBLANK('CONFIGURAÇÃO'!$E$1889),"",'CONFIGURAÇÃO'!$E$1889)</f>
        <v/>
      </c>
      <c r="K2">
        <f>IF(ISBLANK('CONFIGURAÇÃO'!$E$1890),"",'CONFIGURAÇÃO'!$E$1890)</f>
        <v/>
      </c>
      <c r="L2">
        <f>IF(ISBLANK('CONFIGURAÇÃO'!$E$1891),"",'CONFIGURAÇÃO'!$E$1891)</f>
        <v/>
      </c>
      <c r="M2">
        <f>IF(ISBLANK('CONFIGURAÇÃO'!$E$1892),"",'CONFIGURAÇÃO'!$E$1892)</f>
        <v/>
      </c>
      <c r="N2">
        <f>IF(ISBLANK('CONFIGURAÇÃO'!$E$1893),"",'CONFIGURAÇÃO'!$E$1893)</f>
        <v/>
      </c>
      <c r="O2">
        <f>IF(ISBLANK('CONFIGURAÇÃO'!$E$1894),"",'CONFIGURAÇÃO'!$E$1894)</f>
        <v/>
      </c>
      <c r="P2">
        <f>IF(ISBLANK('CONFIGURAÇÃO'!$E$1895),"",'CONFIGURAÇÃO'!$E$1895)</f>
        <v/>
      </c>
      <c r="Q2">
        <f>IF(ISBLANK('CONFIGURAÇÃO'!$E$1896),"",'CONFIGURAÇÃO'!$E$1896)</f>
        <v/>
      </c>
      <c r="R2">
        <f>IF(ISBLANK('CONFIGURAÇÃO'!$E$1897),"",'CONFIGURAÇÃO'!$E$1897)</f>
        <v/>
      </c>
      <c r="S2">
        <f>IF(ISBLANK('CONFIGURAÇÃO'!$E$1898),"",'CONFIGURAÇÃO'!$E$1898)</f>
        <v/>
      </c>
      <c r="T2">
        <f>IF(ISBLANK('CONFIGURAÇÃO'!$E$1899),"",'CONFIGURAÇÃO'!$E$1899)</f>
        <v/>
      </c>
      <c r="U2">
        <f>IF(ISBLANK('CONFIGURAÇÃO'!$E$1900),"",'CONFIGURAÇÃO'!$E$1900)</f>
        <v/>
      </c>
      <c r="V2">
        <f>IF(ISBLANK('CONFIGURAÇÃO'!$E$1901),"",'CONFIGURAÇÃO'!$E$1901)</f>
        <v/>
      </c>
      <c r="W2">
        <f>IF(ISBLANK('CONFIGURAÇÃO'!$E$1902),"",'CONFIGURAÇÃO'!$E$1902)</f>
        <v/>
      </c>
      <c r="X2">
        <f>IF(ISBLANK('CONFIGURAÇÃO'!$E$1903),"",'CONFIGURAÇÃO'!$E$1903)</f>
        <v/>
      </c>
      <c r="Y2">
        <f>IF(ISBLANK('CONFIGURAÇÃO'!$E$1904),"",'CONFIGURAÇÃO'!$E$1904)</f>
        <v/>
      </c>
      <c r="Z2">
        <f>IF(ISBLANK('CONFIGURAÇÃO'!$E$1905),"",'CONFIGURAÇÃO'!$E$1905)</f>
        <v/>
      </c>
      <c r="AA2">
        <f>IF(ISBLANK('CONFIGURAÇÃO'!$E$1906),"",'CONFIGURAÇÃO'!$E$1906)</f>
        <v/>
      </c>
      <c r="AB2">
        <f>IF(ISBLANK('CONFIGURAÇÃO'!$E$1907),"",'CONFIGURAÇÃO'!$E$1907)</f>
        <v/>
      </c>
      <c r="AC2">
        <f>IF(ISBLANK('CONFIGURAÇÃO'!$E$1908),"",'CONFIGURAÇÃO'!$E$1908)</f>
        <v/>
      </c>
      <c r="AD2">
        <f>IF($AF2,TEXTJOIN(" · ",TRUE,$DJ2:$FH2),"")</f>
        <v/>
      </c>
      <c r="AE2">
        <f>IF(OR($C2="",$C2="Nenhuma"),0,IFERROR(MATCH(SUBSTITUTE(SUBSTITUTE(SUBSTITUTE($C2,"~","~~"),"*","~*"),"?","~?"),'DADOS_FORMAS'!$AH$2:$AH$11,0),-1))</f>
        <v/>
      </c>
      <c r="AF2">
        <f>OR($B2&lt;&gt;"",$C2&lt;&gt;"",$E2&lt;&gt;"",$F2&lt;&gt;"",$G2&lt;&gt;"",$H2&lt;&gt;"",$I2&lt;&gt;"",$J2&lt;&gt;"",$K2&lt;&gt;"",$L2&lt;&gt;"",$M2&lt;&gt;"",$N2&lt;&gt;"",$O2&lt;&gt;"",$P2&lt;&gt;"",$Q2&lt;&gt;"",$R2&lt;&gt;"",$S2&lt;&gt;"",$T2&lt;&gt;"",$U2&lt;&gt;"",$V2&lt;&gt;"",$W2&lt;&gt;"",$X2&lt;&gt;"",$Y2&lt;&gt;"",$Z2&lt;&gt;"",$AA2&lt;&gt;"",$AB2&lt;&gt;"",$AC2&lt;&gt;"",AND($D2&lt;&gt;"",$D2&lt;&gt;FALSE),AND($A2&lt;&gt;"",$A2&lt;&gt;"Forma"))</f>
        <v/>
      </c>
      <c r="AG2" t="inlineStr">
        <is>
          <t>Forma</t>
        </is>
      </c>
      <c r="AH2" t="inlineStr">
        <is>
          <t>Projétil</t>
        </is>
      </c>
      <c r="AI2">
        <f>""</f>
        <v/>
      </c>
      <c r="AJ2" t="b">
        <v>0</v>
      </c>
      <c r="AK2">
        <f>""</f>
        <v/>
      </c>
      <c r="AL2" t="inlineStr">
        <is>
          <t>Um alvo a até 18 m.</t>
        </is>
      </c>
      <c r="AM2">
        <f>""</f>
        <v/>
      </c>
      <c r="AN2" t="n">
        <v>0</v>
      </c>
      <c r="AO2" t="inlineStr">
        <is>
          <t>Acerto</t>
        </is>
      </c>
      <c r="AP2" t="n">
        <v>0</v>
      </c>
      <c r="AQ2" t="b">
        <v>0</v>
      </c>
      <c r="AR2" t="b">
        <v>1</v>
      </c>
      <c r="AS2">
        <f>""</f>
        <v/>
      </c>
      <c r="AT2" t="inlineStr">
        <is>
          <t>alcance</t>
        </is>
      </c>
      <c r="AU2" t="inlineStr">
        <is>
          <t>Fixo</t>
        </is>
      </c>
      <c r="AV2" t="inlineStr">
        <is>
          <t>9 m</t>
        </is>
      </c>
      <c r="AW2" t="inlineStr">
        <is>
          <t>18 m</t>
        </is>
      </c>
      <c r="AX2" t="inlineStr">
        <is>
          <t>36 m</t>
        </is>
      </c>
      <c r="AY2" t="inlineStr">
        <is>
          <t>9 m</t>
        </is>
      </c>
      <c r="AZ2" t="inlineStr">
        <is>
          <t>18 m</t>
        </is>
      </c>
      <c r="BA2" t="inlineStr">
        <is>
          <t>36 m</t>
        </is>
      </c>
      <c r="BB2" t="inlineStr">
        <is>
          <t>36 m</t>
        </is>
      </c>
      <c r="BC2">
        <f>""</f>
        <v/>
      </c>
      <c r="BD2">
        <f>""</f>
        <v/>
      </c>
      <c r="BE2">
        <f>""</f>
        <v/>
      </c>
      <c r="BF2">
        <f>""</f>
        <v/>
      </c>
      <c r="BG2">
        <f>""</f>
        <v/>
      </c>
      <c r="BH2">
        <f>""</f>
        <v/>
      </c>
      <c r="BI2">
        <f>""</f>
        <v/>
      </c>
      <c r="BJ2" t="inlineStr">
        <is>
          <t>Projétil</t>
        </is>
      </c>
      <c r="BK2" t="n">
        <v>1</v>
      </c>
      <c r="BL2" t="inlineStr">
        <is>
          <t>alcance</t>
        </is>
      </c>
      <c r="BM2">
        <f>""</f>
        <v/>
      </c>
      <c r="BN2" t="inlineStr">
        <is>
          <t>, um alvo</t>
        </is>
      </c>
      <c r="BO2" t="n">
        <v>1</v>
      </c>
      <c r="BP2">
        <f>""</f>
        <v/>
      </c>
      <c r="BQ2">
        <f>""</f>
        <v/>
      </c>
      <c r="BR2">
        <f>""</f>
        <v/>
      </c>
      <c r="BS2" t="n">
        <v>0</v>
      </c>
      <c r="BV2">
        <f>IF($A2="",IF($AE2&gt;0,INDEX('DADOS_FORMAS'!$AG$2:$AG$11,MAX(1,$AE2)),"Forma"),$A2)</f>
        <v/>
      </c>
      <c r="BW2">
        <f>IF($B2="",IF($AE2&gt;0,INDEX('DADOS_FORMAS'!$AH$2:$AH$11,MAX(1,$AE2)),""),$B2)</f>
        <v/>
      </c>
      <c r="BX2">
        <f>IF($C2="",IF($AE2&gt;0,INDEX('DADOS_FORMAS'!$AI$2:$AI$11,MAX(1,$AE2)),""),$C2)</f>
        <v/>
      </c>
      <c r="BY2">
        <f>IF($D2="",IF($AE2&gt;0,INDEX('DADOS_FORMAS'!$AJ$2:$AJ$11,MAX(1,$AE2)),FALSE),$D2)</f>
        <v/>
      </c>
      <c r="BZ2">
        <f>IF($E2="",IF($AE2&gt;0,INDEX('DADOS_FORMAS'!$AK$2:$AK$11,MAX(1,$AE2)),""),$E2)</f>
        <v/>
      </c>
      <c r="CA2">
        <f>IF($F2="",IF($AE2&gt;0,INDEX('DADOS_FORMAS'!$AL$2:$AL$11,MAX(1,$AE2)),""),$F2)</f>
        <v/>
      </c>
      <c r="CB2">
        <f>IF($G2="Nenhuma","",IF($G2="",IF($AE2&gt;0,INDEX('DADOS_FORMAS'!$AM$2:$AM$11,MAX(1,$AE2)),""),$G2))</f>
        <v/>
      </c>
      <c r="CC2">
        <f>IF($H2="",IF($AE2&gt;0,INDEX('DADOS_FORMAS'!$AN$2:$AN$11,MAX(1,$AE2)),""),IF($H2="Sem custo",0,IF($H2="Leve",1,IF($H2="Média",2,IF($H2="Pesada",3,$H2)))))</f>
        <v/>
      </c>
      <c r="CD2">
        <f>IF($I2="",IF($AE2&gt;0,INDEX('DADOS_FORMAS'!$AO$2:$AO$11,MAX(1,$AE2)),""),$I2)</f>
        <v/>
      </c>
      <c r="CE2">
        <f>IF($J2="",IF($AE2&gt;0,INDEX('DADOS_FORMAS'!$AP$2:$AP$11,MAX(1,$AE2)),""),IF($J2="Dano",0,IF($J2="Cura",1,IF($J2="Vida temporária",2,IF($J2="Efeito",3,$J2)))))</f>
        <v/>
      </c>
      <c r="CF2">
        <f>IF($K2="",IF($AE2&gt;0,INDEX('DADOS_FORMAS'!$AQ$2:$AQ$11,MAX(1,$AE2)),""),IF($K2="Sim",TRUE,IF($K2="Não",FALSE,$K2)))</f>
        <v/>
      </c>
      <c r="CG2">
        <f>IF($L2="",IF($AE2&gt;0,INDEX('DADOS_FORMAS'!$AR$2:$AR$11,MAX(1,$AE2)),""),IF($L2="Sim",TRUE,IF($L2="Não",FALSE,$L2)))</f>
        <v/>
      </c>
      <c r="CH2">
        <f>IF($M2="Nenhuma","",IF($M2="",IF($AE2&gt;0,INDEX('DADOS_FORMAS'!$AS$2:$AS$11,MAX(1,$AE2)),""),$M2))</f>
        <v/>
      </c>
      <c r="CI2">
        <f>IF($N2="",IF($AE2&gt;0,INDEX('DADOS_FORMAS'!$AT$2:$AT$11,MAX(1,$AE2)),"Fixo"),$N2)</f>
        <v/>
      </c>
      <c r="CJ2">
        <f>IF($O2="",IF($AE2&gt;0,INDEX('DADOS_FORMAS'!$AU$2:$AU$11,MAX(1,$AE2)),"Fixo"),$O2)</f>
        <v/>
      </c>
      <c r="CK2">
        <f>IF($P2="",IF($AE2&gt;0,INDEX('DADOS_FORMAS'!$AV$2:$AV$11,MAX(1,$AE2)),""),$P2)</f>
        <v/>
      </c>
      <c r="CL2">
        <f>IF($Q2="",IF($AE2&gt;0,INDEX('DADOS_FORMAS'!$AW$2:$AW$11,MAX(1,$AE2)),""),$Q2)</f>
        <v/>
      </c>
      <c r="CM2">
        <f>IF($R2="",IF($AE2&gt;0,INDEX('DADOS_FORMAS'!$AX$2:$AX$11,MAX(1,$AE2)),""),$R2)</f>
        <v/>
      </c>
      <c r="CN2">
        <f>IF($S2="",IF($AE2&gt;0,INDEX('DADOS_FORMAS'!$AY$2:$AY$11,MAX(1,$AE2)),""),$S2)</f>
        <v/>
      </c>
      <c r="CO2">
        <f>IF($T2="",IF($AE2&gt;0,INDEX('DADOS_FORMAS'!$AZ$2:$AZ$11,MAX(1,$AE2)),""),$T2)</f>
        <v/>
      </c>
      <c r="CP2">
        <f>IF($U2="",IF($AE2&gt;0,INDEX('DADOS_FORMAS'!$BA$2:$BA$11,MAX(1,$AE2)),""),$U2)</f>
        <v/>
      </c>
      <c r="CQ2">
        <f>IF($V2="",IF($AE2&gt;0,INDEX('DADOS_FORMAS'!$BB$2:$BB$11,MAX(1,$AE2)),""),$V2)</f>
        <v/>
      </c>
      <c r="CR2">
        <f>IF($W2="",IF($AE2&gt;0,INDEX('DADOS_FORMAS'!$BC$2:$BC$11,MAX(1,$AE2)),""),$W2)</f>
        <v/>
      </c>
      <c r="CS2">
        <f>IF($X2="",IF($AE2&gt;0,INDEX('DADOS_FORMAS'!$BD$2:$BD$11,MAX(1,$AE2)),""),$X2)</f>
        <v/>
      </c>
      <c r="CT2">
        <f>IF($Y2="",IF($AE2&gt;0,INDEX('DADOS_FORMAS'!$BE$2:$BE$11,MAX(1,$AE2)),""),$Y2)</f>
        <v/>
      </c>
      <c r="CU2">
        <f>IF($Z2="",IF($AE2&gt;0,INDEX('DADOS_FORMAS'!$BF$2:$BF$11,MAX(1,$AE2)),""),$Z2)</f>
        <v/>
      </c>
      <c r="CV2">
        <f>IF($AA2="",IF($AE2&gt;0,INDEX('DADOS_FORMAS'!$BG$2:$BG$11,MAX(1,$AE2)),""),$AA2)</f>
        <v/>
      </c>
      <c r="CW2">
        <f>IF($AB2="",IF($AE2&gt;0,INDEX('DADOS_FORMAS'!$BH$2:$BH$11,MAX(1,$AE2)),""),$AB2)</f>
        <v/>
      </c>
      <c r="CX2">
        <f>IF($AC2="",IF($AE2&gt;0,INDEX('DADOS_FORMAS'!$BI$2:$BI$11,MAX(1,$AE2)),""),$AC2)</f>
        <v/>
      </c>
      <c r="CY2">
        <f>IF($AE2&gt;0,INDEX('DADOS_FORMAS'!$BJ$2:$BJ$11,MAX(1,$AE2)),"")</f>
        <v/>
      </c>
      <c r="CZ2">
        <f>IF($AE2&gt;0,INDEX('DADOS_FORMAS'!$BK$2:$BK$11,MAX(1,$AE2)),0)</f>
        <v/>
      </c>
      <c r="DA2">
        <f>IF($AE2&gt;0,INDEX('DADOS_FORMAS'!$BL$2:$BL$11,MAX(1,$AE2)),"alcance")</f>
        <v/>
      </c>
      <c r="DB2">
        <f>IF($AE2&gt;0,INDEX('DADOS_FORMAS'!$BM$2:$BM$11,MAX(1,$AE2)),"")</f>
        <v/>
      </c>
      <c r="DC2">
        <f>IF($AE2&gt;0,INDEX('DADOS_FORMAS'!$BN$2:$BN$11,MAX(1,$AE2)),"")</f>
        <v/>
      </c>
      <c r="DD2">
        <f>IF($AE2&gt;0,INDEX('DADOS_FORMAS'!$BO$2:$BO$11,MAX(1,$AE2)),1)</f>
        <v/>
      </c>
      <c r="DE2">
        <f>IF(AND($AE2&gt;0,INDEX('DADOS_FORMAS'!$BP$2:$BP$11,MAX(1,$AE2))=""),IF(AND(INDEX('DADOS_FORMAS'!$BL$2:$BL$11,MAX(1,$AE2))="alcance",OR($W2&lt;&gt;"",$X2&lt;&gt;"",$Y2&lt;&gt;"",$Z2&lt;&gt;"",$AA2&lt;&gt;"",$AB2&lt;&gt;"",$AC2&lt;&gt;"")),"area",IF(AND(INDEX('DADOS_FORMAS'!$BL$2:$BL$11,MAX(1,$AE2))="area",OR($P2&lt;&gt;"",$Q2&lt;&gt;"",$R2&lt;&gt;"",$S2&lt;&gt;"",$T2&lt;&gt;"",$U2&lt;&gt;"",$V2&lt;&gt;"")),"alcance","")),IF($AE2&gt;0,INDEX('DADOS_FORMAS'!$BP$2:$BP$11,MAX(1,$AE2)),"area"))</f>
        <v/>
      </c>
      <c r="DF2">
        <f>IF(AND($AE2&gt;0,INDEX('DADOS_FORMAS'!$BP$2:$BP$11,MAX(1,$AE2))=""),IF(IF(AND(INDEX('DADOS_FORMAS'!$BL$2:$BL$11,MAX(1,$AE2))="alcance",OR($W2&lt;&gt;"",$X2&lt;&gt;"",$Y2&lt;&gt;"",$Z2&lt;&gt;"",$AA2&lt;&gt;"",$AB2&lt;&gt;"",$AC2&lt;&gt;"")),"area",IF(AND(INDEX('DADOS_FORMAS'!$BL$2:$BL$11,MAX(1,$AE2))="area",OR($P2&lt;&gt;"",$Q2&lt;&gt;"",$R2&lt;&gt;"",$S2&lt;&gt;"",$T2&lt;&gt;"",$U2&lt;&gt;"",$V2&lt;&gt;"")),"alcance",""))="alcance"," · alcance ",IF(IF(AND(INDEX('DADOS_FORMAS'!$BL$2:$BL$11,MAX(1,$AE2))="alcance",OR($W2&lt;&gt;"",$X2&lt;&gt;"",$Y2&lt;&gt;"",$Z2&lt;&gt;"",$AA2&lt;&gt;"",$AB2&lt;&gt;"",$AC2&lt;&gt;"")),"area",IF(AND(INDEX('DADOS_FORMAS'!$BL$2:$BL$11,MAX(1,$AE2))="area",OR($P2&lt;&gt;"",$Q2&lt;&gt;"",$R2&lt;&gt;"",$S2&lt;&gt;"",$T2&lt;&gt;"",$U2&lt;&gt;"",$V2&lt;&gt;"")),"alcance",""))="area"," · área ","")),IF($AE2&gt;0,INDEX('DADOS_FORMAS'!$BQ$2:$BQ$11,MAX(1,$AE2))," · área "))</f>
        <v/>
      </c>
      <c r="DG2">
        <f>IF(AND($AE2&gt;0,INDEX('DADOS_FORMAS'!$BP$2:$BP$11,MAX(1,$AE2))=""),"",IF($AE2&gt;0,INDEX('DADOS_FORMAS'!$BR$2:$BR$11,MAX(1,$AE2)),""))</f>
        <v/>
      </c>
      <c r="DH2">
        <f>IF(AND($AE2&gt;0,INDEX('DADOS_FORMAS'!$BP$2:$BP$11,MAX(1,$AE2))=""),IF(IF(AND(INDEX('DADOS_FORMAS'!$BL$2:$BL$11,MAX(1,$AE2))="alcance",OR($W2&lt;&gt;"",$X2&lt;&gt;"",$Y2&lt;&gt;"",$Z2&lt;&gt;"",$AA2&lt;&gt;"",$AB2&lt;&gt;"",$AC2&lt;&gt;"")),"area",IF(AND(INDEX('DADOS_FORMAS'!$BL$2:$BL$11,MAX(1,$AE2))="area",OR($P2&lt;&gt;"",$Q2&lt;&gt;"",$R2&lt;&gt;"",$S2&lt;&gt;"",$T2&lt;&gt;"",$U2&lt;&gt;"",$V2&lt;&gt;"")),"alcance",""))="",0,IF(IF(AND(INDEX('DADOS_FORMAS'!$BL$2:$BL$11,MAX(1,$AE2))="alcance",OR($W2&lt;&gt;"",$X2&lt;&gt;"",$Y2&lt;&gt;"",$Z2&lt;&gt;"",$AA2&lt;&gt;"",$AB2&lt;&gt;"",$AC2&lt;&gt;"")),"area",IF(AND(INDEX('DADOS_FORMAS'!$BL$2:$BL$11,MAX(1,$AE2))="area",OR($P2&lt;&gt;"",$Q2&lt;&gt;"",$R2&lt;&gt;"",$S2&lt;&gt;"",$T2&lt;&gt;"",$U2&lt;&gt;"",$V2&lt;&gt;"")),"alcance",""))="alcance",1,IF($O2="comprimento",3,2))),IF($AE2&gt;0,INDEX('DADOS_FORMAS'!$BS$2:$BS$11,MAX(1,$AE2)),IF($O2="comprimento",3,2)))</f>
        <v/>
      </c>
      <c r="DJ2">
        <f>IF(AND(ISTEXT($B2),$B2&lt;&gt;"",TRIM($B2)=$B2),"","NOME precisa ser texto sem espaços nas pontas")</f>
        <v/>
      </c>
      <c r="DK2">
        <f>IF(COUNTIF('DADOS_FORMAS'!$B$2:$B$11,SUBSTITUTE(SUBSTITUTE(SUBSTITUTE($B2,"~","~~"),"*","~*"),"?","~?"))+COUNTIF('DADOS_FORMAS'!$AH$2:$AH$11,SUBSTITUTE(SUBSTITUTE(SUBSTITUTE($B2,"~","~~"),"*","~*"),"?","~?"))=1,"","Nome repetido no livro ou custom")</f>
        <v/>
      </c>
      <c r="DL2">
        <f>IF($AE2&gt;=0,"","BASE DO LIVRO inválida para o grupo")</f>
        <v/>
      </c>
      <c r="DM2">
        <f>IF(OR($BV2="Forma"),"","TIPO inválido para o grupo")</f>
        <v/>
      </c>
      <c r="DN2">
        <f>IF(ISLOGICAL($BY2),"","MESTRE VIU precisa ser caixa de seleção")</f>
        <v/>
      </c>
      <c r="DO2">
        <f>IF(ISTEXT($CA2),"","EFEITO precisa ser texto")</f>
        <v/>
      </c>
      <c r="DP2">
        <f>IF(ISTEXT($BZ2),"","REQUISITOS precisa ser texto")</f>
        <v/>
      </c>
      <c r="DQ2">
        <f>IF(IFERROR(AND(ISNUMBER($CC2),NOT(ISLOGICAL($CC2)),$CC2=INT($CC2),$CC2&gt;=0,$CC2&lt;=3),FALSE),"","PESO exige 0/1/2/3")</f>
        <v/>
      </c>
      <c r="DR2">
        <f>IF(IFERROR(AND(ISNUMBER($CE2),NOT(ISLOGICAL($CE2)),$CE2=INT($CE2),$CE2&gt;=0,$CE2&lt;=3),FALSE),"","RESULTADO exige 0/1/2/3")</f>
        <v/>
      </c>
      <c r="DS2">
        <f>IF(ISLOGICAL($CF2),"","EXIGE_TR exige Sim/Não")</f>
        <v/>
      </c>
      <c r="DT2">
        <f>IF(ISLOGICAL($CG2),"","CLASSE_0 exige Sim/Não")</f>
        <v/>
      </c>
      <c r="DU2">
        <f>IF(OR($CD2="Acerto",$CD2="TR, metade",$CD2="Automático"),"","RESOLUÇÃO inválida")</f>
        <v/>
      </c>
      <c r="DV2">
        <f>IF(OR($CB2="",COUNTIF('DADOS_CRIACAO'!$H$2:$H$20,SUBSTITUTE(SUBSTITUTE(SUBSTITUTE($CB2,"~","~~"),"*","~*"),"?","~?"))&gt;0),"","FAMÍLIA não cadastrada ou inválida")</f>
        <v/>
      </c>
      <c r="DW2">
        <f>IF(OR($CH2="",IFERROR(MATCH(SUBSTITUTE(SUBSTITUTE(SUBSTITUTE($CH2,"~","~~"),"*","~*"),"?","~?"),INDEX('DADOS_RESTRICOES'!$M$2:$Q$54,0,1),0),0)&gt;0),"","RESTRIÇÃO EMBUTIDA inválida")</f>
        <v/>
      </c>
      <c r="DX2">
        <f>IF(OR($CI2="Fixo",$CI2="alcance"),"","ESCADA inválida para alcance")</f>
        <v/>
      </c>
      <c r="DY2">
        <f>IF(OR(NOT(AND($CG2,OR($DA2="alcance",$DE2="alcance"))),$CK2&lt;&gt;""),"","Base de alcance ausente: personagem/classe_0")</f>
        <v/>
      </c>
      <c r="DZ2">
        <f>IF(ISTEXT($CK2),"","Base precisa ser texto: alcance/personagem/classe_0")</f>
        <v/>
      </c>
      <c r="EA2">
        <f>IF(OR(NOT(AND($CG2,OR($DA2="alcance",$DE2="alcance"))),$CI2="Fixo",$CK2="",$CK2="—",AND(RIGHT($CK2,2)=" m",IFERROR(VALUE(SUBSTITUTE(LEFT($CK2,MAX(0,LEN($CK2)-2)),",",""))/10^IFERROR(LEN(LEFT($CK2,MAX(0,LEN($CK2)-2)))-FIND(",",LEFT($CK2,MAX(0,LEN($CK2)-2))),0),-1)&gt;0)),"","Base incompatível com escada: alcance/personagem/classe_0")</f>
        <v/>
      </c>
      <c r="EB2">
        <f>IF(OR(NOT(OR($DA2="alcance",$DE2="alcance")),$CL2&lt;&gt;""),"","Base de alcance ausente: personagem/classes_1_a_5")</f>
        <v/>
      </c>
      <c r="EC2">
        <f>IF(ISTEXT($CL2),"","Base precisa ser texto: alcance/personagem/classes_1_a_5")</f>
        <v/>
      </c>
      <c r="ED2">
        <f>IF(OR(NOT(OR($DA2="alcance",$DE2="alcance")),$CI2="Fixo",$CL2="",$CL2="—",AND(RIGHT($CL2,2)=" m",IFERROR(VALUE(SUBSTITUTE(LEFT($CL2,MAX(0,LEN($CL2)-2)),",",""))/10^IFERROR(LEN(LEFT($CL2,MAX(0,LEN($CL2)-2)))-FIND(",",LEFT($CL2,MAX(0,LEN($CL2)-2))),0),-1)&gt;0)),"","Base incompatível com escada: alcance/personagem/classes_1_a_5")</f>
        <v/>
      </c>
      <c r="EE2">
        <f>IF(OR(NOT(OR($DA2="alcance",$DE2="alcance")),$CM2&lt;&gt;""),"","Base de alcance ausente: personagem/classes_6_e_7")</f>
        <v/>
      </c>
      <c r="EF2">
        <f>IF(ISTEXT($CM2),"","Base precisa ser texto: alcance/personagem/classes_6_e_7")</f>
        <v/>
      </c>
      <c r="EG2">
        <f>IF(OR(NOT(OR($DA2="alcance",$DE2="alcance")),$CI2="Fixo",$CM2="",$CM2="—",AND(RIGHT($CM2,2)=" m",IFERROR(VALUE(SUBSTITUTE(LEFT($CM2,MAX(0,LEN($CM2)-2)),",",""))/10^IFERROR(LEN(LEFT($CM2,MAX(0,LEN($CM2)-2)))-FIND(",",LEFT($CM2,MAX(0,LEN($CM2)-2))),0),-1)&gt;0)),"","Base incompatível com escada: alcance/personagem/classes_6_e_7")</f>
        <v/>
      </c>
      <c r="EH2">
        <f>IF(OR(NOT(AND($CG2,OR($DA2="alcance",$DE2="alcance"))),$CN2&lt;&gt;""),"","Base de alcance ausente: entidade/classe_0")</f>
        <v/>
      </c>
      <c r="EI2">
        <f>IF(ISTEXT($CN2),"","Base precisa ser texto: alcance/entidade/classe_0")</f>
        <v/>
      </c>
      <c r="EJ2">
        <f>IF(OR(NOT(AND($CG2,OR($DA2="alcance",$DE2="alcance"))),$CI2="Fixo",$CN2="",$CN2="—",AND(RIGHT($CN2,2)=" m",IFERROR(VALUE(SUBSTITUTE(LEFT($CN2,MAX(0,LEN($CN2)-2)),",",""))/10^IFERROR(LEN(LEFT($CN2,MAX(0,LEN($CN2)-2)))-FIND(",",LEFT($CN2,MAX(0,LEN($CN2)-2))),0),-1)&gt;0)),"","Base incompatível com escada: alcance/entidade/classe_0")</f>
        <v/>
      </c>
      <c r="EK2">
        <f>IF(OR(NOT(OR($DA2="alcance",$DE2="alcance")),$CO2&lt;&gt;""),"","Base de alcance ausente: entidade/classes_1_a_5")</f>
        <v/>
      </c>
      <c r="EL2">
        <f>IF(ISTEXT($CO2),"","Base precisa ser texto: alcance/entidade/classes_1_a_5")</f>
        <v/>
      </c>
      <c r="EM2">
        <f>IF(OR(NOT(OR($DA2="alcance",$DE2="alcance")),$CI2="Fixo",$CO2="",$CO2="—",AND(RIGHT($CO2,2)=" m",IFERROR(VALUE(SUBSTITUTE(LEFT($CO2,MAX(0,LEN($CO2)-2)),",",""))/10^IFERROR(LEN(LEFT($CO2,MAX(0,LEN($CO2)-2)))-FIND(",",LEFT($CO2,MAX(0,LEN($CO2)-2))),0),-1)&gt;0)),"","Base incompatível com escada: alcance/entidade/classes_1_a_5")</f>
        <v/>
      </c>
      <c r="EN2">
        <f>IF(OR(NOT(OR($DA2="alcance",$DE2="alcance")),$CP2&lt;&gt;""),"","Base de alcance ausente: entidade/classe_6")</f>
        <v/>
      </c>
      <c r="EO2">
        <f>IF(ISTEXT($CP2),"","Base precisa ser texto: alcance/entidade/classe_6")</f>
        <v/>
      </c>
      <c r="EP2">
        <f>IF(OR(NOT(OR($DA2="alcance",$DE2="alcance")),$CI2="Fixo",$CP2="",$CP2="—",AND(RIGHT($CP2,2)=" m",IFERROR(VALUE(SUBSTITUTE(LEFT($CP2,MAX(0,LEN($CP2)-2)),",",""))/10^IFERROR(LEN(LEFT($CP2,MAX(0,LEN($CP2)-2)))-FIND(",",LEFT($CP2,MAX(0,LEN($CP2)-2))),0),-1)&gt;0)),"","Base incompatível com escada: alcance/entidade/classe_6")</f>
        <v/>
      </c>
      <c r="EQ2">
        <f>IF(OR(NOT(OR($DA2="alcance",$DE2="alcance")),$CQ2&lt;&gt;""),"","Base de alcance ausente: entidade/classe_7")</f>
        <v/>
      </c>
      <c r="ER2">
        <f>IF(ISTEXT($CQ2),"","Base precisa ser texto: alcance/entidade/classe_7")</f>
        <v/>
      </c>
      <c r="ES2">
        <f>IF(OR(NOT(OR($DA2="alcance",$DE2="alcance")),$CI2="Fixo",$CQ2="",$CQ2="—",AND(RIGHT($CQ2,2)=" m",IFERROR(VALUE(SUBSTITUTE(LEFT($CQ2,MAX(0,LEN($CQ2)-2)),",",""))/10^IFERROR(LEN(LEFT($CQ2,MAX(0,LEN($CQ2)-2)))-FIND(",",LEFT($CQ2,MAX(0,LEN($CQ2)-2))),0),-1)&gt;0)),"","Base incompatível com escada: alcance/entidade/classe_7")</f>
        <v/>
      </c>
      <c r="ET2">
        <f>IF(OR($CJ2="Fixo",$CJ2="raio",$CJ2="comprimento"),"","ESCADA inválida para area")</f>
        <v/>
      </c>
      <c r="EU2">
        <f>IF(ISTEXT($CR2),"","Base precisa ser texto: area/personagem/classe_0")</f>
        <v/>
      </c>
      <c r="EV2">
        <f>IF(OR(NOT(AND($CG2,OR($DA2="area",$DE2="area"))),$CJ2="Fixo",$CR2="",$CR2="—",AND(AND(AND(RIGHT($CR2,2)=" m",IFERROR(VALUE(SUBSTITUTE(LEFT($CR2,MAX(0,LEN($CR2)-2)),",",""))/10^IFERROR(LEN(LEFT($CR2,MAX(0,LEN($CR2)-2)))-FIND(",",LEFT($CR2,MAX(0,LEN($CR2)-2))),0),-1)&gt;0),OR($CJ2&lt;&gt;"raio",IFERROR(VALUE(SUBSTITUTE(LEFT($CR2,MAX(0,LEN($CR2)-2)),",",""))/10^IFERROR(LEN(LEFT($CR2,MAX(0,LEN($CR2)-2)))-FIND(",",LEFT($CR2,MAX(0,LEN($CR2)-2))),0),-1)&lt;=15.0)),OR($CJ2&lt;&gt;"comprimento",IFERROR(VALUE(SUBSTITUTE(LEFT($CR2,MAX(0,LEN($CR2)-2)),",",""))/10^IFERROR(LEN(LEFT($CR2,MAX(0,LEN($CR2)-2)))-FIND(",",LEFT($CR2,MAX(0,LEN($CR2)-2))),0),-1)&lt;=60.0))),"","Base incompatível com escada: area/personagem/classe_0")</f>
        <v/>
      </c>
      <c r="EW2">
        <f>IF(ISTEXT($CS2),"","Base precisa ser texto: area/personagem/classes_1_a_5")</f>
        <v/>
      </c>
      <c r="EX2">
        <f>IF(OR(NOT(OR($DA2="area",$DE2="area")),$CJ2="Fixo",$CS2="",$CS2="—",AND(AND(AND(RIGHT($CS2,2)=" m",IFERROR(VALUE(SUBSTITUTE(LEFT($CS2,MAX(0,LEN($CS2)-2)),",",""))/10^IFERROR(LEN(LEFT($CS2,MAX(0,LEN($CS2)-2)))-FIND(",",LEFT($CS2,MAX(0,LEN($CS2)-2))),0),-1)&gt;0),OR($CJ2&lt;&gt;"raio",IFERROR(VALUE(SUBSTITUTE(LEFT($CS2,MAX(0,LEN($CS2)-2)),",",""))/10^IFERROR(LEN(LEFT($CS2,MAX(0,LEN($CS2)-2)))-FIND(",",LEFT($CS2,MAX(0,LEN($CS2)-2))),0),-1)&lt;=15.0)),OR($CJ2&lt;&gt;"comprimento",IFERROR(VALUE(SUBSTITUTE(LEFT($CS2,MAX(0,LEN($CS2)-2)),",",""))/10^IFERROR(LEN(LEFT($CS2,MAX(0,LEN($CS2)-2)))-FIND(",",LEFT($CS2,MAX(0,LEN($CS2)-2))),0),-1)&lt;=60.0))),"","Base incompatível com escada: area/personagem/classes_1_a_5")</f>
        <v/>
      </c>
      <c r="EY2">
        <f>IF(ISTEXT($CT2),"","Base precisa ser texto: area/personagem/classes_6_e_7")</f>
        <v/>
      </c>
      <c r="EZ2">
        <f>IF(OR(NOT(OR($DA2="area",$DE2="area")),$CJ2="Fixo",$CT2="",$CT2="—",AND(AND(AND(RIGHT($CT2,2)=" m",IFERROR(VALUE(SUBSTITUTE(LEFT($CT2,MAX(0,LEN($CT2)-2)),",",""))/10^IFERROR(LEN(LEFT($CT2,MAX(0,LEN($CT2)-2)))-FIND(",",LEFT($CT2,MAX(0,LEN($CT2)-2))),0),-1)&gt;0),OR($CJ2&lt;&gt;"raio",IFERROR(VALUE(SUBSTITUTE(LEFT($CT2,MAX(0,LEN($CT2)-2)),",",""))/10^IFERROR(LEN(LEFT($CT2,MAX(0,LEN($CT2)-2)))-FIND(",",LEFT($CT2,MAX(0,LEN($CT2)-2))),0),-1)&lt;=15.0)),OR($CJ2&lt;&gt;"comprimento",IFERROR(VALUE(SUBSTITUTE(LEFT($CT2,MAX(0,LEN($CT2)-2)),",",""))/10^IFERROR(LEN(LEFT($CT2,MAX(0,LEN($CT2)-2)))-FIND(",",LEFT($CT2,MAX(0,LEN($CT2)-2))),0),-1)&lt;=60.0))),"","Base incompatível com escada: area/personagem/classes_6_e_7")</f>
        <v/>
      </c>
      <c r="FA2">
        <f>IF(ISTEXT($CU2),"","Base precisa ser texto: area/entidade/classe_0")</f>
        <v/>
      </c>
      <c r="FB2">
        <f>IF(OR(NOT(AND($CG2,OR($DA2="area",$DE2="area"))),$CJ2="Fixo",$CU2="",$CU2="—",AND(AND(AND(RIGHT($CU2,2)=" m",IFERROR(VALUE(SUBSTITUTE(LEFT($CU2,MAX(0,LEN($CU2)-2)),",",""))/10^IFERROR(LEN(LEFT($CU2,MAX(0,LEN($CU2)-2)))-FIND(",",LEFT($CU2,MAX(0,LEN($CU2)-2))),0),-1)&gt;0),OR($CJ2&lt;&gt;"raio",IFERROR(VALUE(SUBSTITUTE(LEFT($CU2,MAX(0,LEN($CU2)-2)),",",""))/10^IFERROR(LEN(LEFT($CU2,MAX(0,LEN($CU2)-2)))-FIND(",",LEFT($CU2,MAX(0,LEN($CU2)-2))),0),-1)&lt;=15.0)),OR($CJ2&lt;&gt;"comprimento",IFERROR(VALUE(SUBSTITUTE(LEFT($CU2,MAX(0,LEN($CU2)-2)),",",""))/10^IFERROR(LEN(LEFT($CU2,MAX(0,LEN($CU2)-2)))-FIND(",",LEFT($CU2,MAX(0,LEN($CU2)-2))),0),-1)&lt;=60.0))),"","Base incompatível com escada: area/entidade/classe_0")</f>
        <v/>
      </c>
      <c r="FC2">
        <f>IF(ISTEXT($CV2),"","Base precisa ser texto: area/entidade/classes_1_a_5")</f>
        <v/>
      </c>
      <c r="FD2">
        <f>IF(OR(NOT(OR($DA2="area",$DE2="area")),$CJ2="Fixo",$CV2="",$CV2="—",AND(AND(AND(RIGHT($CV2,2)=" m",IFERROR(VALUE(SUBSTITUTE(LEFT($CV2,MAX(0,LEN($CV2)-2)),",",""))/10^IFERROR(LEN(LEFT($CV2,MAX(0,LEN($CV2)-2)))-FIND(",",LEFT($CV2,MAX(0,LEN($CV2)-2))),0),-1)&gt;0),OR($CJ2&lt;&gt;"raio",IFERROR(VALUE(SUBSTITUTE(LEFT($CV2,MAX(0,LEN($CV2)-2)),",",""))/10^IFERROR(LEN(LEFT($CV2,MAX(0,LEN($CV2)-2)))-FIND(",",LEFT($CV2,MAX(0,LEN($CV2)-2))),0),-1)&lt;=15.0)),OR($CJ2&lt;&gt;"comprimento",IFERROR(VALUE(SUBSTITUTE(LEFT($CV2,MAX(0,LEN($CV2)-2)),",",""))/10^IFERROR(LEN(LEFT($CV2,MAX(0,LEN($CV2)-2)))-FIND(",",LEFT($CV2,MAX(0,LEN($CV2)-2))),0),-1)&lt;=60.0))),"","Base incompatível com escada: area/entidade/classes_1_a_5")</f>
        <v/>
      </c>
      <c r="FE2">
        <f>IF(ISTEXT($CW2),"","Base precisa ser texto: area/entidade/classe_6")</f>
        <v/>
      </c>
      <c r="FF2">
        <f>IF(OR(NOT(OR($DA2="area",$DE2="area")),$CJ2="Fixo",$CW2="",$CW2="—",AND(AND(AND(RIGHT($CW2,2)=" m",IFERROR(VALUE(SUBSTITUTE(LEFT($CW2,MAX(0,LEN($CW2)-2)),",",""))/10^IFERROR(LEN(LEFT($CW2,MAX(0,LEN($CW2)-2)))-FIND(",",LEFT($CW2,MAX(0,LEN($CW2)-2))),0),-1)&gt;0),OR($CJ2&lt;&gt;"raio",IFERROR(VALUE(SUBSTITUTE(LEFT($CW2,MAX(0,LEN($CW2)-2)),",",""))/10^IFERROR(LEN(LEFT($CW2,MAX(0,LEN($CW2)-2)))-FIND(",",LEFT($CW2,MAX(0,LEN($CW2)-2))),0),-1)&lt;=15.0)),OR($CJ2&lt;&gt;"comprimento",IFERROR(VALUE(SUBSTITUTE(LEFT($CW2,MAX(0,LEN($CW2)-2)),",",""))/10^IFERROR(LEN(LEFT($CW2,MAX(0,LEN($CW2)-2)))-FIND(",",LEFT($CW2,MAX(0,LEN($CW2)-2))),0),-1)&lt;=60.0))),"","Base incompatível com escada: area/entidade/classe_6")</f>
        <v/>
      </c>
      <c r="FG2">
        <f>IF(ISTEXT($CX2),"","Base precisa ser texto: area/entidade/classe_7")</f>
        <v/>
      </c>
      <c r="FH2">
        <f>IF(OR(NOT(OR($DA2="area",$DE2="area")),$CJ2="Fixo",$CX2="",$CX2="—",AND(AND(AND(RIGHT($CX2,2)=" m",IFERROR(VALUE(SUBSTITUTE(LEFT($CX2,MAX(0,LEN($CX2)-2)),",",""))/10^IFERROR(LEN(LEFT($CX2,MAX(0,LEN($CX2)-2)))-FIND(",",LEFT($CX2,MAX(0,LEN($CX2)-2))),0),-1)&gt;0),OR($CJ2&lt;&gt;"raio",IFERROR(VALUE(SUBSTITUTE(LEFT($CX2,MAX(0,LEN($CX2)-2)),",",""))/10^IFERROR(LEN(LEFT($CX2,MAX(0,LEN($CX2)-2)))-FIND(",",LEFT($CX2,MAX(0,LEN($CX2)-2))),0),-1)&lt;=15.0)),OR($CJ2&lt;&gt;"comprimento",IFERROR(VALUE(SUBSTITUTE(LEFT($CX2,MAX(0,LEN($CX2)-2)),",",""))/10^IFERROR(LEN(LEFT($CX2,MAX(0,LEN($CX2)-2)))-FIND(",",LEFT($CX2,MAX(0,LEN($CX2)-2))),0),-1)&lt;=60.0))),"","Base incompatível com escada: area/entidade/classe_7")</f>
        <v/>
      </c>
      <c r="FJ2">
        <f>'DADOS_FORMAS'!$AH2</f>
        <v/>
      </c>
      <c r="FK2">
        <f>'DADOS_FORMAS'!$AM2</f>
        <v/>
      </c>
      <c r="FL2">
        <f>'DADOS_FORMAS'!$AN2</f>
        <v/>
      </c>
      <c r="FM2">
        <f>IF('DADOS_FORMAS'!$AN2=0,0,'DADOS_FORMAS'!$AN2+3*IFERROR(VLOOKUP(SUBSTITUTE(SUBSTITUTE(SUBSTITUTE('DADOS_FORMAS'!$AM2,"~","~~"),"*","~*"),"?","~?"),'DADOS_CRIACAO'!$H$2:$K$20,3,FALSE),0))</f>
        <v/>
      </c>
      <c r="FN2">
        <f>IFERROR(VLOOKUP(SUBSTITUTE(SUBSTITUTE(SUBSTITUTE('DADOS_FORMAS'!$AM2,"~","~~"),"*","~*"),"?","~?"),'DADOS_CRIACAO'!$H$2:$K$20,4,FALSE),0)</f>
        <v/>
      </c>
      <c r="FO2">
        <f>IF('DADOS_FORMAS'!$AS2="",0,1)</f>
        <v/>
      </c>
      <c r="FP2">
        <f>'DADOS_FORMAS'!$AP2</f>
        <v/>
      </c>
      <c r="FQ2">
        <f>IF(AND('DADOS_FORMAS'!$AO2="Acerto",'DADOS_FORMAS'!$AQ2),"Acerto + TR",'DADOS_FORMAS'!$AO2)</f>
        <v/>
      </c>
      <c r="FR2">
        <f>N(OR('DADOS_FORMAS'!$AQ2,'DADOS_FORMAS'!$AO2="TR, metade"))</f>
        <v/>
      </c>
      <c r="FS2">
        <f>'DADOS_FORMAS'!$BO2</f>
        <v/>
      </c>
      <c r="FT2">
        <f>'DADOS_FORMAS'!$BS2</f>
        <v/>
      </c>
      <c r="FU2">
        <f>'DADOS_FORMAS'!$BK2</f>
        <v/>
      </c>
      <c r="FV2">
        <f>N('DADOS_FORMAS'!$AR2)</f>
        <v/>
      </c>
      <c r="FW2">
        <f>IF(IFERROR(VLOOKUP(SUBSTITUTE(SUBSTITUTE(SUBSTITUTE('DADOS_FORMAS'!$AM2,"~","~~"),"*","~*"),"?","~?"),'DADOS_CRIACAO'!$H$2:$K$20,4,FALSE),0)=1,"",'DADOS_FORMAS'!$AH2)</f>
        <v/>
      </c>
      <c r="FX2">
        <f>IF(AND('DADOS_FORMAS'!$AR2,IFERROR(VLOOKUP(SUBSTITUTE(SUBSTITUTE(SUBSTITUTE('DADOS_FORMAS'!$AM2,"~","~~"),"*","~*"),"?","~?"),'DADOS_CRIACAO'!$H$2:$K$20,4,FALSE),0)=0),'DADOS_FORMAS'!$AH2,"")</f>
        <v/>
      </c>
      <c r="FZ2">
        <f>'DADOS_FORMAS'!$AH2</f>
        <v/>
      </c>
      <c r="GA2">
        <f>'DADOS_FORMAS'!$AM2</f>
        <v/>
      </c>
      <c r="GB2">
        <f>'DADOS_FORMAS'!$AN2</f>
        <v/>
      </c>
      <c r="GC2">
        <f>IF('DADOS_FORMAS'!$AS2="",0,1)</f>
        <v/>
      </c>
      <c r="GD2">
        <f>'DADOS_FORMAS'!$AP2</f>
        <v/>
      </c>
      <c r="GE2">
        <f>IF('DADOS_FORMAS'!$AO2="Acerto","Ataque",IF('DADOS_FORMAS'!$AQ2,"TR","—"))</f>
        <v/>
      </c>
      <c r="GF2">
        <f>N(OR('DADOS_FORMAS'!$AQ2,'DADOS_FORMAS'!$AO2="TR, metade"))</f>
        <v/>
      </c>
      <c r="GG2">
        <f>'DADOS_FORMAS'!$BO2</f>
        <v/>
      </c>
      <c r="GH2">
        <f>'DADOS_FORMAS'!$BS2</f>
        <v/>
      </c>
      <c r="GI2">
        <f>'DADOS_FORMAS'!$BK2</f>
        <v/>
      </c>
      <c r="GJ2">
        <f>N('DADOS_FORMAS'!$AR2)</f>
        <v/>
      </c>
      <c r="GL2" t="inlineStr">
        <is>
          <t>1,5 m</t>
        </is>
      </c>
      <c r="GN2" t="inlineStr">
        <is>
          <t>3 m</t>
        </is>
      </c>
      <c r="GP2" t="inlineStr">
        <is>
          <t>4,5 m</t>
        </is>
      </c>
      <c r="GR2">
        <f>'DADOS_FORMAS'!$BL12</f>
        <v/>
      </c>
      <c r="GS2">
        <f>IF('DADOS_FORMAS'!$BL12="area",'DADOS_FORMAS'!$AU12,'DADOS_FORMAS'!$AT12)</f>
        <v/>
      </c>
      <c r="GT2">
        <f>IF('DADOS_FORMAS'!$BL12="area",'DADOS_FORMAS'!$BC12,'DADOS_FORMAS'!$AV12)</f>
        <v/>
      </c>
      <c r="GU2">
        <f>'DADOS_FORMAS'!$BM12</f>
        <v/>
      </c>
      <c r="GV2">
        <f>'DADOS_FORMAS'!$BN12</f>
        <v/>
      </c>
      <c r="GW2">
        <f>LET(base,'DADOS_FORMAS'!$GT2,escada,'DADOS_FORMAS'!$GS2,medida,LEFT(base,MAX(0,LEN(base)-2)),valor,IFERROR(VALUE(SUBSTITUTE(medida,",",""))/10^IFERROR(LEN(medida)-FIND(",",medida),0),1E99),IF(OR(escada="Fixo",base="—"),base,IF(escada="alcance",IFERROR(MATCH(base,{"1,5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 t="inlineStr">
        <is>
          <t>Projétil · classe 0</t>
        </is>
      </c>
      <c r="GZ2" t="inlineStr">
        <is>
          <t>9 m, um alvo</t>
        </is>
      </c>
      <c r="HA2" t="inlineStr">
        <is>
          <t>18 m, um alvo</t>
        </is>
      </c>
      <c r="HB2" t="inlineStr">
        <is>
          <t>36 m, um alvo</t>
        </is>
      </c>
      <c r="HC2" t="inlineStr">
        <is>
          <t>90 m, um alvo</t>
        </is>
      </c>
      <c r="HD2" t="inlineStr">
        <is>
          <t>Visão a olho nu, um alvo</t>
        </is>
      </c>
      <c r="HE2" t="inlineStr">
        <is>
          <t>Visão a olho nu, um alvo</t>
        </is>
      </c>
      <c r="HF2" t="inlineStr"/>
      <c r="HG2" t="inlineStr"/>
      <c r="HH2" t="inlineStr"/>
      <c r="HI2" t="inlineStr"/>
      <c r="HJ2" t="inlineStr"/>
      <c r="HK2" t="inlineStr"/>
      <c r="HM2">
        <f>'DADOS_FORMAS'!$BL12</f>
        <v/>
      </c>
      <c r="HN2">
        <f>IF('DADOS_FORMAS'!$BL12="area",'DADOS_FORMAS'!$AU12,'DADOS_FORMAS'!$AT12)</f>
        <v/>
      </c>
      <c r="HO2">
        <f>IF('DADOS_FORMAS'!$BL12="area",'DADOS_FORMAS'!$BF12,'DADOS_FORMAS'!$AY12)</f>
        <v/>
      </c>
      <c r="HP2">
        <f>'DADOS_FORMAS'!$BM12</f>
        <v/>
      </c>
      <c r="HQ2">
        <f>'DADOS_FORMAS'!$BN12</f>
        <v/>
      </c>
      <c r="HR2">
        <f>LET(base,'DADOS_FORMAS'!$HO2,escada,'DADOS_FORMAS'!$HN2,medida,LEFT(base,MAX(0,LEN(base)-2)),valor,IFERROR(VALUE(SUBSTITUTE(medida,",",""))/10^IFERROR(LEN(medida)-FIND(",",medida),0),1E99),IF(OR(escada="Fixo",base="—"),base,IF(escada="alcance",IFERROR(MATCH(base,{"1,5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 t="inlineStr">
        <is>
          <t>Projétil · classe 0</t>
        </is>
      </c>
      <c r="HU2" t="inlineStr">
        <is>
          <t>9 m, um alvo</t>
        </is>
      </c>
      <c r="HV2" t="inlineStr">
        <is>
          <t>18 m, um alvo</t>
        </is>
      </c>
      <c r="HW2" t="inlineStr">
        <is>
          <t>36 m, um alvo</t>
        </is>
      </c>
      <c r="HX2" t="inlineStr">
        <is>
          <t>90 m, um alvo</t>
        </is>
      </c>
      <c r="HY2" t="inlineStr">
        <is>
          <t>Visão a olho nu, um alvo</t>
        </is>
      </c>
      <c r="HZ2" t="inlineStr">
        <is>
          <t>Visão a olho nu, um alvo</t>
        </is>
      </c>
      <c r="IA2" t="inlineStr"/>
      <c r="IB2" t="inlineStr"/>
      <c r="IC2" t="inlineStr"/>
      <c r="ID2" t="inlineStr"/>
      <c r="IE2" t="inlineStr"/>
      <c r="IF2" t="inlineStr"/>
      <c r="IH2">
        <f>IF(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H2,"")</f>
        <v/>
      </c>
      <c r="II2">
        <f>IF(AND(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R2),'DADOS_FORMAS'!$AH2,"")</f>
        <v/>
      </c>
      <c r="IK2">
        <f>IF(OR('DADOS_FORMAS'!$AM2='INVOCAÇÕES'!$O$246,'DADOS_FORMAS'!$AM2='INVOCAÇÕES'!$P$246,'DADOS_FORMAS'!$AM2='INVOCAÇÕES'!$Q$246,'DADOS_FORMAS'!$AM2='INVOCAÇÕES'!$R$246,'DADOS_FORMAS'!$AM2='INVOCAÇÕES'!$S$246,'DADOS_FORMAS'!$AM2='INVOCAÇÕES'!$O$248,'DADOS_FORMAS'!$AM2='INVOCAÇÕES'!$P$248,'DADOS_FORMAS'!$AM2='INVOCAÇÕES'!$Q$248,'DADOS_FORMAS'!$AM2='INVOCAÇÕES'!$R$248,'DADOS_FORMAS'!$AM2=""),'DADOS_FORMAS'!$AH2,"")</f>
        <v/>
      </c>
      <c r="IL2">
        <f>IF(AND(OR('DADOS_FORMAS'!$AM2='INVOCAÇÕES'!$O$246,'DADOS_FORMAS'!$AM2='INVOCAÇÕES'!$P$246,'DADOS_FORMAS'!$AM2='INVOCAÇÕES'!$Q$246,'DADOS_FORMAS'!$AM2='INVOCAÇÕES'!$R$246,'DADOS_FORMAS'!$AM2='INVOCAÇÕES'!$S$246,'DADOS_FORMAS'!$AM2='INVOCAÇÕES'!$O$248,'DADOS_FORMAS'!$AM2='INVOCAÇÕES'!$P$248,'DADOS_FORMAS'!$AM2='INVOCAÇÕES'!$Q$248,'DADOS_FORMAS'!$AM2='INVOCAÇÕES'!$R$248,'DADOS_FORMAS'!$AM2=""),'DADOS_FORMAS'!$AR2),'DADOS_FORMAS'!$AH2,"")</f>
        <v/>
      </c>
      <c r="IN2">
        <f>IF(OR('DADOS_FORMAS'!$AM2='INVOCAÇÕES'!$O$444,'DADOS_FORMAS'!$AM2='INVOCAÇÕES'!$P$444,'DADOS_FORMAS'!$AM2='INVOCAÇÕES'!$Q$444,'DADOS_FORMAS'!$AM2='INVOCAÇÕES'!$R$444,'DADOS_FORMAS'!$AM2='INVOCAÇÕES'!$S$444,'DADOS_FORMAS'!$AM2='INVOCAÇÕES'!$O$446,'DADOS_FORMAS'!$AM2='INVOCAÇÕES'!$P$446,'DADOS_FORMAS'!$AM2='INVOCAÇÕES'!$Q$446,'DADOS_FORMAS'!$AM2='INVOCAÇÕES'!$R$446,'DADOS_FORMAS'!$AM2=""),'DADOS_FORMAS'!$AH2,"")</f>
        <v/>
      </c>
      <c r="IO2">
        <f>IF(AND(OR('DADOS_FORMAS'!$AM2='INVOCAÇÕES'!$O$444,'DADOS_FORMAS'!$AM2='INVOCAÇÕES'!$P$444,'DADOS_FORMAS'!$AM2='INVOCAÇÕES'!$Q$444,'DADOS_FORMAS'!$AM2='INVOCAÇÕES'!$R$444,'DADOS_FORMAS'!$AM2='INVOCAÇÕES'!$S$444,'DADOS_FORMAS'!$AM2='INVOCAÇÕES'!$O$446,'DADOS_FORMAS'!$AM2='INVOCAÇÕES'!$P$446,'DADOS_FORMAS'!$AM2='INVOCAÇÕES'!$Q$446,'DADOS_FORMAS'!$AM2='INVOCAÇÕES'!$R$446,'DADOS_FORMAS'!$AM2=""),'DADOS_FORMAS'!$AR2),'DADOS_FORMAS'!$AH2,"")</f>
        <v/>
      </c>
      <c r="IQ2">
        <f>IF(OR('DADOS_FORMAS'!$AM2='INVOCAÇÕES'!$O$642,'DADOS_FORMAS'!$AM2='INVOCAÇÕES'!$P$642,'DADOS_FORMAS'!$AM2='INVOCAÇÕES'!$Q$642,'DADOS_FORMAS'!$AM2='INVOCAÇÕES'!$R$642,'DADOS_FORMAS'!$AM2='INVOCAÇÕES'!$S$642,'DADOS_FORMAS'!$AM2='INVOCAÇÕES'!$O$644,'DADOS_FORMAS'!$AM2='INVOCAÇÕES'!$P$644,'DADOS_FORMAS'!$AM2='INVOCAÇÕES'!$Q$644,'DADOS_FORMAS'!$AM2='INVOCAÇÕES'!$R$644,'DADOS_FORMAS'!$AM2=""),'DADOS_FORMAS'!$AH2,"")</f>
        <v/>
      </c>
      <c r="IR2">
        <f>IF(AND(OR('DADOS_FORMAS'!$AM2='INVOCAÇÕES'!$O$642,'DADOS_FORMAS'!$AM2='INVOCAÇÕES'!$P$642,'DADOS_FORMAS'!$AM2='INVOCAÇÕES'!$Q$642,'DADOS_FORMAS'!$AM2='INVOCAÇÕES'!$R$642,'DADOS_FORMAS'!$AM2='INVOCAÇÕES'!$S$642,'DADOS_FORMAS'!$AM2='INVOCAÇÕES'!$O$644,'DADOS_FORMAS'!$AM2='INVOCAÇÕES'!$P$644,'DADOS_FORMAS'!$AM2='INVOCAÇÕES'!$Q$644,'DADOS_FORMAS'!$AM2='INVOCAÇÕES'!$R$644,'DADOS_FORMAS'!$AM2=""),'DADOS_FORMAS'!$AR2),'DADOS_FORMAS'!$AH2,"")</f>
        <v/>
      </c>
      <c r="IT2">
        <f>IF(OR('DADOS_FORMAS'!$AM2='INVOCAÇÕES'!$O$840,'DADOS_FORMAS'!$AM2='INVOCAÇÕES'!$P$840,'DADOS_FORMAS'!$AM2='INVOCAÇÕES'!$Q$840,'DADOS_FORMAS'!$AM2='INVOCAÇÕES'!$R$840,'DADOS_FORMAS'!$AM2='INVOCAÇÕES'!$S$840,'DADOS_FORMAS'!$AM2='INVOCAÇÕES'!$O$842,'DADOS_FORMAS'!$AM2='INVOCAÇÕES'!$P$842,'DADOS_FORMAS'!$AM2='INVOCAÇÕES'!$Q$842,'DADOS_FORMAS'!$AM2='INVOCAÇÕES'!$R$842,'DADOS_FORMAS'!$AM2=""),'DADOS_FORMAS'!$AH2,"")</f>
        <v/>
      </c>
      <c r="IU2">
        <f>IF(AND(OR('DADOS_FORMAS'!$AM2='INVOCAÇÕES'!$O$840,'DADOS_FORMAS'!$AM2='INVOCAÇÕES'!$P$840,'DADOS_FORMAS'!$AM2='INVOCAÇÕES'!$Q$840,'DADOS_FORMAS'!$AM2='INVOCAÇÕES'!$R$840,'DADOS_FORMAS'!$AM2='INVOCAÇÕES'!$S$840,'DADOS_FORMAS'!$AM2='INVOCAÇÕES'!$O$842,'DADOS_FORMAS'!$AM2='INVOCAÇÕES'!$P$842,'DADOS_FORMAS'!$AM2='INVOCAÇÕES'!$Q$842,'DADOS_FORMAS'!$AM2='INVOCAÇÕES'!$R$842,'DADOS_FORMAS'!$AM2=""),'DADOS_FORMAS'!$AR2),'DADOS_FORMAS'!$AH2,"")</f>
        <v/>
      </c>
      <c r="IW2">
        <f>IF(OR('DADOS_FORMAS'!$AM2='INVOCAÇÕES'!$O$1038,'DADOS_FORMAS'!$AM2='INVOCAÇÕES'!$P$1038,'DADOS_FORMAS'!$AM2='INVOCAÇÕES'!$Q$1038,'DADOS_FORMAS'!$AM2='INVOCAÇÕES'!$R$1038,'DADOS_FORMAS'!$AM2='INVOCAÇÕES'!$S$1038,'DADOS_FORMAS'!$AM2='INVOCAÇÕES'!$O$1040,'DADOS_FORMAS'!$AM2='INVOCAÇÕES'!$P$1040,'DADOS_FORMAS'!$AM2='INVOCAÇÕES'!$Q$1040,'DADOS_FORMAS'!$AM2='INVOCAÇÕES'!$R$1040,'DADOS_FORMAS'!$AM2=""),'DADOS_FORMAS'!$AH2,"")</f>
        <v/>
      </c>
      <c r="IX2">
        <f>IF(AND(OR('DADOS_FORMAS'!$AM2='INVOCAÇÕES'!$O$1038,'DADOS_FORMAS'!$AM2='INVOCAÇÕES'!$P$1038,'DADOS_FORMAS'!$AM2='INVOCAÇÕES'!$Q$1038,'DADOS_FORMAS'!$AM2='INVOCAÇÕES'!$R$1038,'DADOS_FORMAS'!$AM2='INVOCAÇÕES'!$S$1038,'DADOS_FORMAS'!$AM2='INVOCAÇÕES'!$O$1040,'DADOS_FORMAS'!$AM2='INVOCAÇÕES'!$P$1040,'DADOS_FORMAS'!$AM2='INVOCAÇÕES'!$Q$1040,'DADOS_FORMAS'!$AM2='INVOCAÇÕES'!$R$1040,'DADOS_FORMAS'!$AM2=""),'DADOS_FORMAS'!$AR2),'DADOS_FORMAS'!$AH2,"")</f>
        <v/>
      </c>
      <c r="IZ2">
        <f>IF(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H2,"")</f>
        <v/>
      </c>
      <c r="JA2">
        <f>IF(AND(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R2),'DADOS_FORMAS'!$AH2,"")</f>
        <v/>
      </c>
      <c r="JC2">
        <f>IF(OR('DADOS_FORMAS'!$AM2='INVOCAÇÕES'!$AH$246,'DADOS_FORMAS'!$AM2='INVOCAÇÕES'!$AI$246,'DADOS_FORMAS'!$AM2='INVOCAÇÕES'!$AJ$246,'DADOS_FORMAS'!$AM2='INVOCAÇÕES'!$AK$246,'DADOS_FORMAS'!$AM2='INVOCAÇÕES'!$AL$246,'DADOS_FORMAS'!$AM2='INVOCAÇÕES'!$AH$248,'DADOS_FORMAS'!$AM2='INVOCAÇÕES'!$AI$248,'DADOS_FORMAS'!$AM2='INVOCAÇÕES'!$AJ$248,'DADOS_FORMAS'!$AM2='INVOCAÇÕES'!$AK$248,'DADOS_FORMAS'!$AM2=""),'DADOS_FORMAS'!$AH2,"")</f>
        <v/>
      </c>
      <c r="JD2">
        <f>IF(AND(OR('DADOS_FORMAS'!$AM2='INVOCAÇÕES'!$AH$246,'DADOS_FORMAS'!$AM2='INVOCAÇÕES'!$AI$246,'DADOS_FORMAS'!$AM2='INVOCAÇÕES'!$AJ$246,'DADOS_FORMAS'!$AM2='INVOCAÇÕES'!$AK$246,'DADOS_FORMAS'!$AM2='INVOCAÇÕES'!$AL$246,'DADOS_FORMAS'!$AM2='INVOCAÇÕES'!$AH$248,'DADOS_FORMAS'!$AM2='INVOCAÇÕES'!$AI$248,'DADOS_FORMAS'!$AM2='INVOCAÇÕES'!$AJ$248,'DADOS_FORMAS'!$AM2='INVOCAÇÕES'!$AK$248,'DADOS_FORMAS'!$AM2=""),'DADOS_FORMAS'!$AR2),'DADOS_FORMAS'!$AH2,"")</f>
        <v/>
      </c>
      <c r="JF2">
        <f>IF(OR('DADOS_FORMAS'!$AM2='INVOCAÇÕES'!$AH$444,'DADOS_FORMAS'!$AM2='INVOCAÇÕES'!$AI$444,'DADOS_FORMAS'!$AM2='INVOCAÇÕES'!$AJ$444,'DADOS_FORMAS'!$AM2='INVOCAÇÕES'!$AK$444,'DADOS_FORMAS'!$AM2='INVOCAÇÕES'!$AL$444,'DADOS_FORMAS'!$AM2='INVOCAÇÕES'!$AH$446,'DADOS_FORMAS'!$AM2='INVOCAÇÕES'!$AI$446,'DADOS_FORMAS'!$AM2='INVOCAÇÕES'!$AJ$446,'DADOS_FORMAS'!$AM2='INVOCAÇÕES'!$AK$446,'DADOS_FORMAS'!$AM2=""),'DADOS_FORMAS'!$AH2,"")</f>
        <v/>
      </c>
      <c r="JG2">
        <f>IF(AND(OR('DADOS_FORMAS'!$AM2='INVOCAÇÕES'!$AH$444,'DADOS_FORMAS'!$AM2='INVOCAÇÕES'!$AI$444,'DADOS_FORMAS'!$AM2='INVOCAÇÕES'!$AJ$444,'DADOS_FORMAS'!$AM2='INVOCAÇÕES'!$AK$444,'DADOS_FORMAS'!$AM2='INVOCAÇÕES'!$AL$444,'DADOS_FORMAS'!$AM2='INVOCAÇÕES'!$AH$446,'DADOS_FORMAS'!$AM2='INVOCAÇÕES'!$AI$446,'DADOS_FORMAS'!$AM2='INVOCAÇÕES'!$AJ$446,'DADOS_FORMAS'!$AM2='INVOCAÇÕES'!$AK$446,'DADOS_FORMAS'!$AM2=""),'DADOS_FORMAS'!$AR2),'DADOS_FORMAS'!$AH2,"")</f>
        <v/>
      </c>
      <c r="JI2">
        <f>IF(OR('DADOS_FORMAS'!$AM2='INVOCAÇÕES'!$AH$642,'DADOS_FORMAS'!$AM2='INVOCAÇÕES'!$AI$642,'DADOS_FORMAS'!$AM2='INVOCAÇÕES'!$AJ$642,'DADOS_FORMAS'!$AM2='INVOCAÇÕES'!$AK$642,'DADOS_FORMAS'!$AM2='INVOCAÇÕES'!$AL$642,'DADOS_FORMAS'!$AM2='INVOCAÇÕES'!$AH$644,'DADOS_FORMAS'!$AM2='INVOCAÇÕES'!$AI$644,'DADOS_FORMAS'!$AM2='INVOCAÇÕES'!$AJ$644,'DADOS_FORMAS'!$AM2='INVOCAÇÕES'!$AK$644,'DADOS_FORMAS'!$AM2=""),'DADOS_FORMAS'!$AH2,"")</f>
        <v/>
      </c>
      <c r="JJ2">
        <f>IF(AND(OR('DADOS_FORMAS'!$AM2='INVOCAÇÕES'!$AH$642,'DADOS_FORMAS'!$AM2='INVOCAÇÕES'!$AI$642,'DADOS_FORMAS'!$AM2='INVOCAÇÕES'!$AJ$642,'DADOS_FORMAS'!$AM2='INVOCAÇÕES'!$AK$642,'DADOS_FORMAS'!$AM2='INVOCAÇÕES'!$AL$642,'DADOS_FORMAS'!$AM2='INVOCAÇÕES'!$AH$644,'DADOS_FORMAS'!$AM2='INVOCAÇÕES'!$AI$644,'DADOS_FORMAS'!$AM2='INVOCAÇÕES'!$AJ$644,'DADOS_FORMAS'!$AM2='INVOCAÇÕES'!$AK$644,'DADOS_FORMAS'!$AM2=""),'DADOS_FORMAS'!$AR2),'DADOS_FORMAS'!$AH2,"")</f>
        <v/>
      </c>
      <c r="JL2">
        <f>IF(OR('DADOS_FORMAS'!$AM2='INVOCAÇÕES'!$AH$840,'DADOS_FORMAS'!$AM2='INVOCAÇÕES'!$AI$840,'DADOS_FORMAS'!$AM2='INVOCAÇÕES'!$AJ$840,'DADOS_FORMAS'!$AM2='INVOCAÇÕES'!$AK$840,'DADOS_FORMAS'!$AM2='INVOCAÇÕES'!$AL$840,'DADOS_FORMAS'!$AM2='INVOCAÇÕES'!$AH$842,'DADOS_FORMAS'!$AM2='INVOCAÇÕES'!$AI$842,'DADOS_FORMAS'!$AM2='INVOCAÇÕES'!$AJ$842,'DADOS_FORMAS'!$AM2='INVOCAÇÕES'!$AK$842,'DADOS_FORMAS'!$AM2=""),'DADOS_FORMAS'!$AH2,"")</f>
        <v/>
      </c>
      <c r="JM2">
        <f>IF(AND(OR('DADOS_FORMAS'!$AM2='INVOCAÇÕES'!$AH$840,'DADOS_FORMAS'!$AM2='INVOCAÇÕES'!$AI$840,'DADOS_FORMAS'!$AM2='INVOCAÇÕES'!$AJ$840,'DADOS_FORMAS'!$AM2='INVOCAÇÕES'!$AK$840,'DADOS_FORMAS'!$AM2='INVOCAÇÕES'!$AL$840,'DADOS_FORMAS'!$AM2='INVOCAÇÕES'!$AH$842,'DADOS_FORMAS'!$AM2='INVOCAÇÕES'!$AI$842,'DADOS_FORMAS'!$AM2='INVOCAÇÕES'!$AJ$842,'DADOS_FORMAS'!$AM2='INVOCAÇÕES'!$AK$842,'DADOS_FORMAS'!$AM2=""),'DADOS_FORMAS'!$AR2),'DADOS_FORMAS'!$AH2,"")</f>
        <v/>
      </c>
      <c r="JO2">
        <f>IF(OR('DADOS_FORMAS'!$AM2='INVOCAÇÕES'!$AH$1038,'DADOS_FORMAS'!$AM2='INVOCAÇÕES'!$AI$1038,'DADOS_FORMAS'!$AM2='INVOCAÇÕES'!$AJ$1038,'DADOS_FORMAS'!$AM2='INVOCAÇÕES'!$AK$1038,'DADOS_FORMAS'!$AM2='INVOCAÇÕES'!$AL$1038,'DADOS_FORMAS'!$AM2='INVOCAÇÕES'!$AH$1040,'DADOS_FORMAS'!$AM2='INVOCAÇÕES'!$AI$1040,'DADOS_FORMAS'!$AM2='INVOCAÇÕES'!$AJ$1040,'DADOS_FORMAS'!$AM2='INVOCAÇÕES'!$AK$1040,'DADOS_FORMAS'!$AM2=""),'DADOS_FORMAS'!$AH2,"")</f>
        <v/>
      </c>
      <c r="JP2">
        <f>IF(AND(OR('DADOS_FORMAS'!$AM2='INVOCAÇÕES'!$AH$1038,'DADOS_FORMAS'!$AM2='INVOCAÇÕES'!$AI$1038,'DADOS_FORMAS'!$AM2='INVOCAÇÕES'!$AJ$1038,'DADOS_FORMAS'!$AM2='INVOCAÇÕES'!$AK$1038,'DADOS_FORMAS'!$AM2='INVOCAÇÕES'!$AL$1038,'DADOS_FORMAS'!$AM2='INVOCAÇÕES'!$AH$1040,'DADOS_FORMAS'!$AM2='INVOCAÇÕES'!$AI$1040,'DADOS_FORMAS'!$AM2='INVOCAÇÕES'!$AJ$1040,'DADOS_FORMAS'!$AM2='INVOCAÇÕES'!$AK$1040,'DADOS_FORMAS'!$AM2=""),'DADOS_FORMAS'!$AR2),'DADOS_FORMAS'!$AH2,"")</f>
        <v/>
      </c>
      <c r="JQ2" t="inlineStr">
        <is>
          <t>Forma</t>
        </is>
      </c>
      <c r="JR2" t="inlineStr">
        <is>
          <t>Nenhuma</t>
        </is>
      </c>
      <c r="JS2" t="inlineStr">
        <is>
          <t>Sem custo</t>
        </is>
      </c>
      <c r="JT2" t="inlineStr">
        <is>
          <t>Acerto</t>
        </is>
      </c>
      <c r="JU2" t="inlineStr">
        <is>
          <t>Dano</t>
        </is>
      </c>
      <c r="JV2" t="inlineStr">
        <is>
          <t>Sim</t>
        </is>
      </c>
      <c r="JW2" t="inlineStr">
        <is>
          <t>Sim</t>
        </is>
      </c>
      <c r="JX2" t="inlineStr">
        <is>
          <t>Fixo</t>
        </is>
      </c>
      <c r="JY2" t="inlineStr">
        <is>
          <t>Fixo</t>
        </is>
      </c>
      <c r="JZ2" t="inlineStr">
        <is>
          <t>Nenhuma</t>
        </is>
      </c>
      <c r="KA2" t="inlineStr">
        <is>
          <t>Nenhuma</t>
        </is>
      </c>
    </row>
    <row r="3">
      <c r="A3">
        <f>IF(ISBLANK('CONFIGURAÇÃO'!$J$1882),"",'CONFIGURAÇÃO'!$J$1882)</f>
        <v/>
      </c>
      <c r="B3">
        <f>IF(ISBLANK('CONFIGURAÇÃO'!$J$1884),"",'CONFIGURAÇÃO'!$J$1884)</f>
        <v/>
      </c>
      <c r="C3">
        <f>IF(ISBLANK('CONFIGURAÇÃO'!$M$1885),"",'CONFIGURAÇÃO'!$M$1885)</f>
        <v/>
      </c>
      <c r="D3">
        <f>IF(ISBLANK('CONFIGURAÇÃO'!$N$1882),"",'CONFIGURAÇÃO'!$N$1882)</f>
        <v/>
      </c>
      <c r="E3">
        <f>IF(ISBLANK('CONFIGURAÇÃO'!$J$1911),"",'CONFIGURAÇÃO'!$J$1911)</f>
        <v/>
      </c>
      <c r="F3">
        <f>IF(ISBLANK('CONFIGURAÇÃO'!$J$1917),"",'CONFIGURAÇÃO'!$J$1917)</f>
        <v/>
      </c>
      <c r="G3">
        <f>IF(ISBLANK('CONFIGURAÇÃO'!$M$1886),"",'CONFIGURAÇÃO'!$M$1886)</f>
        <v/>
      </c>
      <c r="H3">
        <f>IF(ISBLANK('CONFIGURAÇÃO'!$M$1887),"",'CONFIGURAÇÃO'!$M$1887)</f>
        <v/>
      </c>
      <c r="I3">
        <f>IF(ISBLANK('CONFIGURAÇÃO'!$M$1888),"",'CONFIGURAÇÃO'!$M$1888)</f>
        <v/>
      </c>
      <c r="J3">
        <f>IF(ISBLANK('CONFIGURAÇÃO'!$M$1889),"",'CONFIGURAÇÃO'!$M$1889)</f>
        <v/>
      </c>
      <c r="K3">
        <f>IF(ISBLANK('CONFIGURAÇÃO'!$M$1890),"",'CONFIGURAÇÃO'!$M$1890)</f>
        <v/>
      </c>
      <c r="L3">
        <f>IF(ISBLANK('CONFIGURAÇÃO'!$M$1891),"",'CONFIGURAÇÃO'!$M$1891)</f>
        <v/>
      </c>
      <c r="M3">
        <f>IF(ISBLANK('CONFIGURAÇÃO'!$M$1892),"",'CONFIGURAÇÃO'!$M$1892)</f>
        <v/>
      </c>
      <c r="N3">
        <f>IF(ISBLANK('CONFIGURAÇÃO'!$M$1893),"",'CONFIGURAÇÃO'!$M$1893)</f>
        <v/>
      </c>
      <c r="O3">
        <f>IF(ISBLANK('CONFIGURAÇÃO'!$M$1894),"",'CONFIGURAÇÃO'!$M$1894)</f>
        <v/>
      </c>
      <c r="P3">
        <f>IF(ISBLANK('CONFIGURAÇÃO'!$M$1895),"",'CONFIGURAÇÃO'!$M$1895)</f>
        <v/>
      </c>
      <c r="Q3">
        <f>IF(ISBLANK('CONFIGURAÇÃO'!$M$1896),"",'CONFIGURAÇÃO'!$M$1896)</f>
        <v/>
      </c>
      <c r="R3">
        <f>IF(ISBLANK('CONFIGURAÇÃO'!$M$1897),"",'CONFIGURAÇÃO'!$M$1897)</f>
        <v/>
      </c>
      <c r="S3">
        <f>IF(ISBLANK('CONFIGURAÇÃO'!$M$1898),"",'CONFIGURAÇÃO'!$M$1898)</f>
        <v/>
      </c>
      <c r="T3">
        <f>IF(ISBLANK('CONFIGURAÇÃO'!$M$1899),"",'CONFIGURAÇÃO'!$M$1899)</f>
        <v/>
      </c>
      <c r="U3">
        <f>IF(ISBLANK('CONFIGURAÇÃO'!$M$1900),"",'CONFIGURAÇÃO'!$M$1900)</f>
        <v/>
      </c>
      <c r="V3">
        <f>IF(ISBLANK('CONFIGURAÇÃO'!$M$1901),"",'CONFIGURAÇÃO'!$M$1901)</f>
        <v/>
      </c>
      <c r="W3">
        <f>IF(ISBLANK('CONFIGURAÇÃO'!$M$1902),"",'CONFIGURAÇÃO'!$M$1902)</f>
        <v/>
      </c>
      <c r="X3">
        <f>IF(ISBLANK('CONFIGURAÇÃO'!$M$1903),"",'CONFIGURAÇÃO'!$M$1903)</f>
        <v/>
      </c>
      <c r="Y3">
        <f>IF(ISBLANK('CONFIGURAÇÃO'!$M$1904),"",'CONFIGURAÇÃO'!$M$1904)</f>
        <v/>
      </c>
      <c r="Z3">
        <f>IF(ISBLANK('CONFIGURAÇÃO'!$M$1905),"",'CONFIGURAÇÃO'!$M$1905)</f>
        <v/>
      </c>
      <c r="AA3">
        <f>IF(ISBLANK('CONFIGURAÇÃO'!$M$1906),"",'CONFIGURAÇÃO'!$M$1906)</f>
        <v/>
      </c>
      <c r="AB3">
        <f>IF(ISBLANK('CONFIGURAÇÃO'!$M$1907),"",'CONFIGURAÇÃO'!$M$1907)</f>
        <v/>
      </c>
      <c r="AC3">
        <f>IF(ISBLANK('CONFIGURAÇÃO'!$M$1908),"",'CONFIGURAÇÃO'!$M$1908)</f>
        <v/>
      </c>
      <c r="AD3">
        <f>IF($AF3,TEXTJOIN(" · ",TRUE,$DJ3:$FH3),"")</f>
        <v/>
      </c>
      <c r="AE3">
        <f>IF(OR($C3="",$C3="Nenhuma"),0,IFERROR(MATCH(SUBSTITUTE(SUBSTITUTE(SUBSTITUTE($C3,"~","~~"),"*","~*"),"?","~?"),'DADOS_FORMAS'!$AH$2:$AH$11,0),-1))</f>
        <v/>
      </c>
      <c r="AF3">
        <f>OR($B3&lt;&gt;"",$C3&lt;&gt;"",$E3&lt;&gt;"",$F3&lt;&gt;"",$G3&lt;&gt;"",$H3&lt;&gt;"",$I3&lt;&gt;"",$J3&lt;&gt;"",$K3&lt;&gt;"",$L3&lt;&gt;"",$M3&lt;&gt;"",$N3&lt;&gt;"",$O3&lt;&gt;"",$P3&lt;&gt;"",$Q3&lt;&gt;"",$R3&lt;&gt;"",$S3&lt;&gt;"",$T3&lt;&gt;"",$U3&lt;&gt;"",$V3&lt;&gt;"",$W3&lt;&gt;"",$X3&lt;&gt;"",$Y3&lt;&gt;"",$Z3&lt;&gt;"",$AA3&lt;&gt;"",$AB3&lt;&gt;"",$AC3&lt;&gt;"",AND($D3&lt;&gt;"",$D3&lt;&gt;FALSE),AND($A3&lt;&gt;"",$A3&lt;&gt;"Forma"))</f>
        <v/>
      </c>
      <c r="AG3" t="inlineStr">
        <is>
          <t>Forma</t>
        </is>
      </c>
      <c r="AH3" t="inlineStr">
        <is>
          <t>Toque</t>
        </is>
      </c>
      <c r="AI3">
        <f>""</f>
        <v/>
      </c>
      <c r="AJ3" t="b">
        <v>0</v>
      </c>
      <c r="AK3">
        <f>""</f>
        <v/>
      </c>
      <c r="AL3" t="inlineStr">
        <is>
          <t>Um alvo a até 1,5 m.</t>
        </is>
      </c>
      <c r="AM3">
        <f>""</f>
        <v/>
      </c>
      <c r="AN3" t="n">
        <v>0</v>
      </c>
      <c r="AO3" t="inlineStr">
        <is>
          <t>Acerto</t>
        </is>
      </c>
      <c r="AP3" t="n">
        <v>0</v>
      </c>
      <c r="AQ3" t="b">
        <v>0</v>
      </c>
      <c r="AR3" t="b">
        <v>1</v>
      </c>
      <c r="AS3" t="inlineStr">
        <is>
          <t>Corpo a Corpo</t>
        </is>
      </c>
      <c r="AT3" t="inlineStr">
        <is>
          <t>Fixo</t>
        </is>
      </c>
      <c r="AU3" t="inlineStr">
        <is>
          <t>Fixo</t>
        </is>
      </c>
      <c r="AV3" t="inlineStr">
        <is>
          <t>1,5 m, um alvo</t>
        </is>
      </c>
      <c r="AW3" t="inlineStr">
        <is>
          <t>1,5 m, um alvo</t>
        </is>
      </c>
      <c r="AX3" t="inlineStr">
        <is>
          <t>1,5 m, um alvo</t>
        </is>
      </c>
      <c r="AY3" t="inlineStr">
        <is>
          <t>1,5 m, um alvo</t>
        </is>
      </c>
      <c r="AZ3" t="inlineStr">
        <is>
          <t>1,5 m, um alvo</t>
        </is>
      </c>
      <c r="BA3" t="inlineStr">
        <is>
          <t>1,5 m, um alvo</t>
        </is>
      </c>
      <c r="BB3" t="inlineStr">
        <is>
          <t>1,5 m, um alvo</t>
        </is>
      </c>
      <c r="BC3">
        <f>""</f>
        <v/>
      </c>
      <c r="BD3">
        <f>""</f>
        <v/>
      </c>
      <c r="BE3">
        <f>""</f>
        <v/>
      </c>
      <c r="BF3">
        <f>""</f>
        <v/>
      </c>
      <c r="BG3">
        <f>""</f>
        <v/>
      </c>
      <c r="BH3">
        <f>""</f>
        <v/>
      </c>
      <c r="BI3">
        <f>""</f>
        <v/>
      </c>
      <c r="BJ3" t="inlineStr">
        <is>
          <t>Toque</t>
        </is>
      </c>
      <c r="BK3" t="n">
        <v>1</v>
      </c>
      <c r="BL3" t="inlineStr">
        <is>
          <t>alcance</t>
        </is>
      </c>
      <c r="BM3">
        <f>""</f>
        <v/>
      </c>
      <c r="BN3">
        <f>""</f>
        <v/>
      </c>
      <c r="BO3" t="n">
        <v>0</v>
      </c>
      <c r="BP3">
        <f>""</f>
        <v/>
      </c>
      <c r="BQ3">
        <f>""</f>
        <v/>
      </c>
      <c r="BR3">
        <f>""</f>
        <v/>
      </c>
      <c r="BS3" t="n">
        <v>0</v>
      </c>
      <c r="BV3">
        <f>IF($A3="",IF($AE3&gt;0,INDEX('DADOS_FORMAS'!$AG$2:$AG$11,MAX(1,$AE3)),"Forma"),$A3)</f>
        <v/>
      </c>
      <c r="BW3">
        <f>IF($B3="",IF($AE3&gt;0,INDEX('DADOS_FORMAS'!$AH$2:$AH$11,MAX(1,$AE3)),""),$B3)</f>
        <v/>
      </c>
      <c r="BX3">
        <f>IF($C3="",IF($AE3&gt;0,INDEX('DADOS_FORMAS'!$AI$2:$AI$11,MAX(1,$AE3)),""),$C3)</f>
        <v/>
      </c>
      <c r="BY3">
        <f>IF($D3="",IF($AE3&gt;0,INDEX('DADOS_FORMAS'!$AJ$2:$AJ$11,MAX(1,$AE3)),FALSE),$D3)</f>
        <v/>
      </c>
      <c r="BZ3">
        <f>IF($E3="",IF($AE3&gt;0,INDEX('DADOS_FORMAS'!$AK$2:$AK$11,MAX(1,$AE3)),""),$E3)</f>
        <v/>
      </c>
      <c r="CA3">
        <f>IF($F3="",IF($AE3&gt;0,INDEX('DADOS_FORMAS'!$AL$2:$AL$11,MAX(1,$AE3)),""),$F3)</f>
        <v/>
      </c>
      <c r="CB3">
        <f>IF($G3="Nenhuma","",IF($G3="",IF($AE3&gt;0,INDEX('DADOS_FORMAS'!$AM$2:$AM$11,MAX(1,$AE3)),""),$G3))</f>
        <v/>
      </c>
      <c r="CC3">
        <f>IF($H3="",IF($AE3&gt;0,INDEX('DADOS_FORMAS'!$AN$2:$AN$11,MAX(1,$AE3)),""),IF($H3="Sem custo",0,IF($H3="Leve",1,IF($H3="Média",2,IF($H3="Pesada",3,$H3)))))</f>
        <v/>
      </c>
      <c r="CD3">
        <f>IF($I3="",IF($AE3&gt;0,INDEX('DADOS_FORMAS'!$AO$2:$AO$11,MAX(1,$AE3)),""),$I3)</f>
        <v/>
      </c>
      <c r="CE3">
        <f>IF($J3="",IF($AE3&gt;0,INDEX('DADOS_FORMAS'!$AP$2:$AP$11,MAX(1,$AE3)),""),IF($J3="Dano",0,IF($J3="Cura",1,IF($J3="Vida temporária",2,IF($J3="Efeito",3,$J3)))))</f>
        <v/>
      </c>
      <c r="CF3">
        <f>IF($K3="",IF($AE3&gt;0,INDEX('DADOS_FORMAS'!$AQ$2:$AQ$11,MAX(1,$AE3)),""),IF($K3="Sim",TRUE,IF($K3="Não",FALSE,$K3)))</f>
        <v/>
      </c>
      <c r="CG3">
        <f>IF($L3="",IF($AE3&gt;0,INDEX('DADOS_FORMAS'!$AR$2:$AR$11,MAX(1,$AE3)),""),IF($L3="Sim",TRUE,IF($L3="Não",FALSE,$L3)))</f>
        <v/>
      </c>
      <c r="CH3">
        <f>IF($M3="Nenhuma","",IF($M3="",IF($AE3&gt;0,INDEX('DADOS_FORMAS'!$AS$2:$AS$11,MAX(1,$AE3)),""),$M3))</f>
        <v/>
      </c>
      <c r="CI3">
        <f>IF($N3="",IF($AE3&gt;0,INDEX('DADOS_FORMAS'!$AT$2:$AT$11,MAX(1,$AE3)),"Fixo"),$N3)</f>
        <v/>
      </c>
      <c r="CJ3">
        <f>IF($O3="",IF($AE3&gt;0,INDEX('DADOS_FORMAS'!$AU$2:$AU$11,MAX(1,$AE3)),"Fixo"),$O3)</f>
        <v/>
      </c>
      <c r="CK3">
        <f>IF($P3="",IF($AE3&gt;0,INDEX('DADOS_FORMAS'!$AV$2:$AV$11,MAX(1,$AE3)),""),$P3)</f>
        <v/>
      </c>
      <c r="CL3">
        <f>IF($Q3="",IF($AE3&gt;0,INDEX('DADOS_FORMAS'!$AW$2:$AW$11,MAX(1,$AE3)),""),$Q3)</f>
        <v/>
      </c>
      <c r="CM3">
        <f>IF($R3="",IF($AE3&gt;0,INDEX('DADOS_FORMAS'!$AX$2:$AX$11,MAX(1,$AE3)),""),$R3)</f>
        <v/>
      </c>
      <c r="CN3">
        <f>IF($S3="",IF($AE3&gt;0,INDEX('DADOS_FORMAS'!$AY$2:$AY$11,MAX(1,$AE3)),""),$S3)</f>
        <v/>
      </c>
      <c r="CO3">
        <f>IF($T3="",IF($AE3&gt;0,INDEX('DADOS_FORMAS'!$AZ$2:$AZ$11,MAX(1,$AE3)),""),$T3)</f>
        <v/>
      </c>
      <c r="CP3">
        <f>IF($U3="",IF($AE3&gt;0,INDEX('DADOS_FORMAS'!$BA$2:$BA$11,MAX(1,$AE3)),""),$U3)</f>
        <v/>
      </c>
      <c r="CQ3">
        <f>IF($V3="",IF($AE3&gt;0,INDEX('DADOS_FORMAS'!$BB$2:$BB$11,MAX(1,$AE3)),""),$V3)</f>
        <v/>
      </c>
      <c r="CR3">
        <f>IF($W3="",IF($AE3&gt;0,INDEX('DADOS_FORMAS'!$BC$2:$BC$11,MAX(1,$AE3)),""),$W3)</f>
        <v/>
      </c>
      <c r="CS3">
        <f>IF($X3="",IF($AE3&gt;0,INDEX('DADOS_FORMAS'!$BD$2:$BD$11,MAX(1,$AE3)),""),$X3)</f>
        <v/>
      </c>
      <c r="CT3">
        <f>IF($Y3="",IF($AE3&gt;0,INDEX('DADOS_FORMAS'!$BE$2:$BE$11,MAX(1,$AE3)),""),$Y3)</f>
        <v/>
      </c>
      <c r="CU3">
        <f>IF($Z3="",IF($AE3&gt;0,INDEX('DADOS_FORMAS'!$BF$2:$BF$11,MAX(1,$AE3)),""),$Z3)</f>
        <v/>
      </c>
      <c r="CV3">
        <f>IF($AA3="",IF($AE3&gt;0,INDEX('DADOS_FORMAS'!$BG$2:$BG$11,MAX(1,$AE3)),""),$AA3)</f>
        <v/>
      </c>
      <c r="CW3">
        <f>IF($AB3="",IF($AE3&gt;0,INDEX('DADOS_FORMAS'!$BH$2:$BH$11,MAX(1,$AE3)),""),$AB3)</f>
        <v/>
      </c>
      <c r="CX3">
        <f>IF($AC3="",IF($AE3&gt;0,INDEX('DADOS_FORMAS'!$BI$2:$BI$11,MAX(1,$AE3)),""),$AC3)</f>
        <v/>
      </c>
      <c r="CY3">
        <f>IF($AE3&gt;0,INDEX('DADOS_FORMAS'!$BJ$2:$BJ$11,MAX(1,$AE3)),"")</f>
        <v/>
      </c>
      <c r="CZ3">
        <f>IF($AE3&gt;0,INDEX('DADOS_FORMAS'!$BK$2:$BK$11,MAX(1,$AE3)),0)</f>
        <v/>
      </c>
      <c r="DA3">
        <f>IF($AE3&gt;0,INDEX('DADOS_FORMAS'!$BL$2:$BL$11,MAX(1,$AE3)),"alcance")</f>
        <v/>
      </c>
      <c r="DB3">
        <f>IF($AE3&gt;0,INDEX('DADOS_FORMAS'!$BM$2:$BM$11,MAX(1,$AE3)),"")</f>
        <v/>
      </c>
      <c r="DC3">
        <f>IF($AE3&gt;0,INDEX('DADOS_FORMAS'!$BN$2:$BN$11,MAX(1,$AE3)),"")</f>
        <v/>
      </c>
      <c r="DD3">
        <f>IF($AE3&gt;0,INDEX('DADOS_FORMAS'!$BO$2:$BO$11,MAX(1,$AE3)),1)</f>
        <v/>
      </c>
      <c r="DE3">
        <f>IF(AND($AE3&gt;0,INDEX('DADOS_FORMAS'!$BP$2:$BP$11,MAX(1,$AE3))=""),IF(AND(INDEX('DADOS_FORMAS'!$BL$2:$BL$11,MAX(1,$AE3))="alcance",OR($W3&lt;&gt;"",$X3&lt;&gt;"",$Y3&lt;&gt;"",$Z3&lt;&gt;"",$AA3&lt;&gt;"",$AB3&lt;&gt;"",$AC3&lt;&gt;"")),"area",IF(AND(INDEX('DADOS_FORMAS'!$BL$2:$BL$11,MAX(1,$AE3))="area",OR($P3&lt;&gt;"",$Q3&lt;&gt;"",$R3&lt;&gt;"",$S3&lt;&gt;"",$T3&lt;&gt;"",$U3&lt;&gt;"",$V3&lt;&gt;"")),"alcance","")),IF($AE3&gt;0,INDEX('DADOS_FORMAS'!$BP$2:$BP$11,MAX(1,$AE3)),"area"))</f>
        <v/>
      </c>
      <c r="DF3">
        <f>IF(AND($AE3&gt;0,INDEX('DADOS_FORMAS'!$BP$2:$BP$11,MAX(1,$AE3))=""),IF(IF(AND(INDEX('DADOS_FORMAS'!$BL$2:$BL$11,MAX(1,$AE3))="alcance",OR($W3&lt;&gt;"",$X3&lt;&gt;"",$Y3&lt;&gt;"",$Z3&lt;&gt;"",$AA3&lt;&gt;"",$AB3&lt;&gt;"",$AC3&lt;&gt;"")),"area",IF(AND(INDEX('DADOS_FORMAS'!$BL$2:$BL$11,MAX(1,$AE3))="area",OR($P3&lt;&gt;"",$Q3&lt;&gt;"",$R3&lt;&gt;"",$S3&lt;&gt;"",$T3&lt;&gt;"",$U3&lt;&gt;"",$V3&lt;&gt;"")),"alcance",""))="alcance"," · alcance ",IF(IF(AND(INDEX('DADOS_FORMAS'!$BL$2:$BL$11,MAX(1,$AE3))="alcance",OR($W3&lt;&gt;"",$X3&lt;&gt;"",$Y3&lt;&gt;"",$Z3&lt;&gt;"",$AA3&lt;&gt;"",$AB3&lt;&gt;"",$AC3&lt;&gt;"")),"area",IF(AND(INDEX('DADOS_FORMAS'!$BL$2:$BL$11,MAX(1,$AE3))="area",OR($P3&lt;&gt;"",$Q3&lt;&gt;"",$R3&lt;&gt;"",$S3&lt;&gt;"",$T3&lt;&gt;"",$U3&lt;&gt;"",$V3&lt;&gt;"")),"alcance",""))="area"," · área ","")),IF($AE3&gt;0,INDEX('DADOS_FORMAS'!$BQ$2:$BQ$11,MAX(1,$AE3))," · área "))</f>
        <v/>
      </c>
      <c r="DG3">
        <f>IF(AND($AE3&gt;0,INDEX('DADOS_FORMAS'!$BP$2:$BP$11,MAX(1,$AE3))=""),"",IF($AE3&gt;0,INDEX('DADOS_FORMAS'!$BR$2:$BR$11,MAX(1,$AE3)),""))</f>
        <v/>
      </c>
      <c r="DH3">
        <f>IF(AND($AE3&gt;0,INDEX('DADOS_FORMAS'!$BP$2:$BP$11,MAX(1,$AE3))=""),IF(IF(AND(INDEX('DADOS_FORMAS'!$BL$2:$BL$11,MAX(1,$AE3))="alcance",OR($W3&lt;&gt;"",$X3&lt;&gt;"",$Y3&lt;&gt;"",$Z3&lt;&gt;"",$AA3&lt;&gt;"",$AB3&lt;&gt;"",$AC3&lt;&gt;"")),"area",IF(AND(INDEX('DADOS_FORMAS'!$BL$2:$BL$11,MAX(1,$AE3))="area",OR($P3&lt;&gt;"",$Q3&lt;&gt;"",$R3&lt;&gt;"",$S3&lt;&gt;"",$T3&lt;&gt;"",$U3&lt;&gt;"",$V3&lt;&gt;"")),"alcance",""))="",0,IF(IF(AND(INDEX('DADOS_FORMAS'!$BL$2:$BL$11,MAX(1,$AE3))="alcance",OR($W3&lt;&gt;"",$X3&lt;&gt;"",$Y3&lt;&gt;"",$Z3&lt;&gt;"",$AA3&lt;&gt;"",$AB3&lt;&gt;"",$AC3&lt;&gt;"")),"area",IF(AND(INDEX('DADOS_FORMAS'!$BL$2:$BL$11,MAX(1,$AE3))="area",OR($P3&lt;&gt;"",$Q3&lt;&gt;"",$R3&lt;&gt;"",$S3&lt;&gt;"",$T3&lt;&gt;"",$U3&lt;&gt;"",$V3&lt;&gt;"")),"alcance",""))="alcance",1,IF($O3="comprimento",3,2))),IF($AE3&gt;0,INDEX('DADOS_FORMAS'!$BS$2:$BS$11,MAX(1,$AE3)),IF($O3="comprimento",3,2)))</f>
        <v/>
      </c>
      <c r="DJ3">
        <f>IF(AND(ISTEXT($B3),$B3&lt;&gt;"",TRIM($B3)=$B3),"","NOME precisa ser texto sem espaços nas pontas")</f>
        <v/>
      </c>
      <c r="DK3">
        <f>IF(COUNTIF('DADOS_FORMAS'!$B$2:$B$11,SUBSTITUTE(SUBSTITUTE(SUBSTITUTE($B3,"~","~~"),"*","~*"),"?","~?"))+COUNTIF('DADOS_FORMAS'!$AH$2:$AH$11,SUBSTITUTE(SUBSTITUTE(SUBSTITUTE($B3,"~","~~"),"*","~*"),"?","~?"))=1,"","Nome repetido no livro ou custom")</f>
        <v/>
      </c>
      <c r="DL3">
        <f>IF($AE3&gt;=0,"","BASE DO LIVRO inválida para o grupo")</f>
        <v/>
      </c>
      <c r="DM3">
        <f>IF(OR($BV3="Forma"),"","TIPO inválido para o grupo")</f>
        <v/>
      </c>
      <c r="DN3">
        <f>IF(ISLOGICAL($BY3),"","MESTRE VIU precisa ser caixa de seleção")</f>
        <v/>
      </c>
      <c r="DO3">
        <f>IF(ISTEXT($CA3),"","EFEITO precisa ser texto")</f>
        <v/>
      </c>
      <c r="DP3">
        <f>IF(ISTEXT($BZ3),"","REQUISITOS precisa ser texto")</f>
        <v/>
      </c>
      <c r="DQ3">
        <f>IF(IFERROR(AND(ISNUMBER($CC3),NOT(ISLOGICAL($CC3)),$CC3=INT($CC3),$CC3&gt;=0,$CC3&lt;=3),FALSE),"","PESO exige 0/1/2/3")</f>
        <v/>
      </c>
      <c r="DR3">
        <f>IF(IFERROR(AND(ISNUMBER($CE3),NOT(ISLOGICAL($CE3)),$CE3=INT($CE3),$CE3&gt;=0,$CE3&lt;=3),FALSE),"","RESULTADO exige 0/1/2/3")</f>
        <v/>
      </c>
      <c r="DS3">
        <f>IF(ISLOGICAL($CF3),"","EXIGE_TR exige Sim/Não")</f>
        <v/>
      </c>
      <c r="DT3">
        <f>IF(ISLOGICAL($CG3),"","CLASSE_0 exige Sim/Não")</f>
        <v/>
      </c>
      <c r="DU3">
        <f>IF(OR($CD3="Acerto",$CD3="TR, metade",$CD3="Automático"),"","RESOLUÇÃO inválida")</f>
        <v/>
      </c>
      <c r="DV3">
        <f>IF(OR($CB3="",COUNTIF('DADOS_CRIACAO'!$H$2:$H$20,SUBSTITUTE(SUBSTITUTE(SUBSTITUTE($CB3,"~","~~"),"*","~*"),"?","~?"))&gt;0),"","FAMÍLIA não cadastrada ou inválida")</f>
        <v/>
      </c>
      <c r="DW3">
        <f>IF(OR($CH3="",IFERROR(MATCH(SUBSTITUTE(SUBSTITUTE(SUBSTITUTE($CH3,"~","~~"),"*","~*"),"?","~?"),INDEX('DADOS_RESTRICOES'!$M$2:$Q$54,0,1),0),0)&gt;0),"","RESTRIÇÃO EMBUTIDA inválida")</f>
        <v/>
      </c>
      <c r="DX3">
        <f>IF(OR($CI3="Fixo",$CI3="alcance"),"","ESCADA inválida para alcance")</f>
        <v/>
      </c>
      <c r="DY3">
        <f>IF(OR(NOT(AND($CG3,OR($DA3="alcance",$DE3="alcance"))),$CK3&lt;&gt;""),"","Base de alcance ausente: personagem/classe_0")</f>
        <v/>
      </c>
      <c r="DZ3">
        <f>IF(ISTEXT($CK3),"","Base precisa ser texto: alcance/personagem/classe_0")</f>
        <v/>
      </c>
      <c r="EA3">
        <f>IF(OR(NOT(AND($CG3,OR($DA3="alcance",$DE3="alcance"))),$CI3="Fixo",$CK3="",$CK3="—",AND(RIGHT($CK3,2)=" m",IFERROR(VALUE(SUBSTITUTE(LEFT($CK3,MAX(0,LEN($CK3)-2)),",",""))/10^IFERROR(LEN(LEFT($CK3,MAX(0,LEN($CK3)-2)))-FIND(",",LEFT($CK3,MAX(0,LEN($CK3)-2))),0),-1)&gt;0)),"","Base incompatível com escada: alcance/personagem/classe_0")</f>
        <v/>
      </c>
      <c r="EB3">
        <f>IF(OR(NOT(OR($DA3="alcance",$DE3="alcance")),$CL3&lt;&gt;""),"","Base de alcance ausente: personagem/classes_1_a_5")</f>
        <v/>
      </c>
      <c r="EC3">
        <f>IF(ISTEXT($CL3),"","Base precisa ser texto: alcance/personagem/classes_1_a_5")</f>
        <v/>
      </c>
      <c r="ED3">
        <f>IF(OR(NOT(OR($DA3="alcance",$DE3="alcance")),$CI3="Fixo",$CL3="",$CL3="—",AND(RIGHT($CL3,2)=" m",IFERROR(VALUE(SUBSTITUTE(LEFT($CL3,MAX(0,LEN($CL3)-2)),",",""))/10^IFERROR(LEN(LEFT($CL3,MAX(0,LEN($CL3)-2)))-FIND(",",LEFT($CL3,MAX(0,LEN($CL3)-2))),0),-1)&gt;0)),"","Base incompatível com escada: alcance/personagem/classes_1_a_5")</f>
        <v/>
      </c>
      <c r="EE3">
        <f>IF(OR(NOT(OR($DA3="alcance",$DE3="alcance")),$CM3&lt;&gt;""),"","Base de alcance ausente: personagem/classes_6_e_7")</f>
        <v/>
      </c>
      <c r="EF3">
        <f>IF(ISTEXT($CM3),"","Base precisa ser texto: alcance/personagem/classes_6_e_7")</f>
        <v/>
      </c>
      <c r="EG3">
        <f>IF(OR(NOT(OR($DA3="alcance",$DE3="alcance")),$CI3="Fixo",$CM3="",$CM3="—",AND(RIGHT($CM3,2)=" m",IFERROR(VALUE(SUBSTITUTE(LEFT($CM3,MAX(0,LEN($CM3)-2)),",",""))/10^IFERROR(LEN(LEFT($CM3,MAX(0,LEN($CM3)-2)))-FIND(",",LEFT($CM3,MAX(0,LEN($CM3)-2))),0),-1)&gt;0)),"","Base incompatível com escada: alcance/personagem/classes_6_e_7")</f>
        <v/>
      </c>
      <c r="EH3">
        <f>IF(OR(NOT(AND($CG3,OR($DA3="alcance",$DE3="alcance"))),$CN3&lt;&gt;""),"","Base de alcance ausente: entidade/classe_0")</f>
        <v/>
      </c>
      <c r="EI3">
        <f>IF(ISTEXT($CN3),"","Base precisa ser texto: alcance/entidade/classe_0")</f>
        <v/>
      </c>
      <c r="EJ3">
        <f>IF(OR(NOT(AND($CG3,OR($DA3="alcance",$DE3="alcance"))),$CI3="Fixo",$CN3="",$CN3="—",AND(RIGHT($CN3,2)=" m",IFERROR(VALUE(SUBSTITUTE(LEFT($CN3,MAX(0,LEN($CN3)-2)),",",""))/10^IFERROR(LEN(LEFT($CN3,MAX(0,LEN($CN3)-2)))-FIND(",",LEFT($CN3,MAX(0,LEN($CN3)-2))),0),-1)&gt;0)),"","Base incompatível com escada: alcance/entidade/classe_0")</f>
        <v/>
      </c>
      <c r="EK3">
        <f>IF(OR(NOT(OR($DA3="alcance",$DE3="alcance")),$CO3&lt;&gt;""),"","Base de alcance ausente: entidade/classes_1_a_5")</f>
        <v/>
      </c>
      <c r="EL3">
        <f>IF(ISTEXT($CO3),"","Base precisa ser texto: alcance/entidade/classes_1_a_5")</f>
        <v/>
      </c>
      <c r="EM3">
        <f>IF(OR(NOT(OR($DA3="alcance",$DE3="alcance")),$CI3="Fixo",$CO3="",$CO3="—",AND(RIGHT($CO3,2)=" m",IFERROR(VALUE(SUBSTITUTE(LEFT($CO3,MAX(0,LEN($CO3)-2)),",",""))/10^IFERROR(LEN(LEFT($CO3,MAX(0,LEN($CO3)-2)))-FIND(",",LEFT($CO3,MAX(0,LEN($CO3)-2))),0),-1)&gt;0)),"","Base incompatível com escada: alcance/entidade/classes_1_a_5")</f>
        <v/>
      </c>
      <c r="EN3">
        <f>IF(OR(NOT(OR($DA3="alcance",$DE3="alcance")),$CP3&lt;&gt;""),"","Base de alcance ausente: entidade/classe_6")</f>
        <v/>
      </c>
      <c r="EO3">
        <f>IF(ISTEXT($CP3),"","Base precisa ser texto: alcance/entidade/classe_6")</f>
        <v/>
      </c>
      <c r="EP3">
        <f>IF(OR(NOT(OR($DA3="alcance",$DE3="alcance")),$CI3="Fixo",$CP3="",$CP3="—",AND(RIGHT($CP3,2)=" m",IFERROR(VALUE(SUBSTITUTE(LEFT($CP3,MAX(0,LEN($CP3)-2)),",",""))/10^IFERROR(LEN(LEFT($CP3,MAX(0,LEN($CP3)-2)))-FIND(",",LEFT($CP3,MAX(0,LEN($CP3)-2))),0),-1)&gt;0)),"","Base incompatível com escada: alcance/entidade/classe_6")</f>
        <v/>
      </c>
      <c r="EQ3">
        <f>IF(OR(NOT(OR($DA3="alcance",$DE3="alcance")),$CQ3&lt;&gt;""),"","Base de alcance ausente: entidade/classe_7")</f>
        <v/>
      </c>
      <c r="ER3">
        <f>IF(ISTEXT($CQ3),"","Base precisa ser texto: alcance/entidade/classe_7")</f>
        <v/>
      </c>
      <c r="ES3">
        <f>IF(OR(NOT(OR($DA3="alcance",$DE3="alcance")),$CI3="Fixo",$CQ3="",$CQ3="—",AND(RIGHT($CQ3,2)=" m",IFERROR(VALUE(SUBSTITUTE(LEFT($CQ3,MAX(0,LEN($CQ3)-2)),",",""))/10^IFERROR(LEN(LEFT($CQ3,MAX(0,LEN($CQ3)-2)))-FIND(",",LEFT($CQ3,MAX(0,LEN($CQ3)-2))),0),-1)&gt;0)),"","Base incompatível com escada: alcance/entidade/classe_7")</f>
        <v/>
      </c>
      <c r="ET3">
        <f>IF(OR($CJ3="Fixo",$CJ3="raio",$CJ3="comprimento"),"","ESCADA inválida para area")</f>
        <v/>
      </c>
      <c r="EU3">
        <f>IF(ISTEXT($CR3),"","Base precisa ser texto: area/personagem/classe_0")</f>
        <v/>
      </c>
      <c r="EV3">
        <f>IF(OR(NOT(AND($CG3,OR($DA3="area",$DE3="area"))),$CJ3="Fixo",$CR3="",$CR3="—",AND(AND(AND(RIGHT($CR3,2)=" m",IFERROR(VALUE(SUBSTITUTE(LEFT($CR3,MAX(0,LEN($CR3)-2)),",",""))/10^IFERROR(LEN(LEFT($CR3,MAX(0,LEN($CR3)-2)))-FIND(",",LEFT($CR3,MAX(0,LEN($CR3)-2))),0),-1)&gt;0),OR($CJ3&lt;&gt;"raio",IFERROR(VALUE(SUBSTITUTE(LEFT($CR3,MAX(0,LEN($CR3)-2)),",",""))/10^IFERROR(LEN(LEFT($CR3,MAX(0,LEN($CR3)-2)))-FIND(",",LEFT($CR3,MAX(0,LEN($CR3)-2))),0),-1)&lt;=15.0)),OR($CJ3&lt;&gt;"comprimento",IFERROR(VALUE(SUBSTITUTE(LEFT($CR3,MAX(0,LEN($CR3)-2)),",",""))/10^IFERROR(LEN(LEFT($CR3,MAX(0,LEN($CR3)-2)))-FIND(",",LEFT($CR3,MAX(0,LEN($CR3)-2))),0),-1)&lt;=60.0))),"","Base incompatível com escada: area/personagem/classe_0")</f>
        <v/>
      </c>
      <c r="EW3">
        <f>IF(ISTEXT($CS3),"","Base precisa ser texto: area/personagem/classes_1_a_5")</f>
        <v/>
      </c>
      <c r="EX3">
        <f>IF(OR(NOT(OR($DA3="area",$DE3="area")),$CJ3="Fixo",$CS3="",$CS3="—",AND(AND(AND(RIGHT($CS3,2)=" m",IFERROR(VALUE(SUBSTITUTE(LEFT($CS3,MAX(0,LEN($CS3)-2)),",",""))/10^IFERROR(LEN(LEFT($CS3,MAX(0,LEN($CS3)-2)))-FIND(",",LEFT($CS3,MAX(0,LEN($CS3)-2))),0),-1)&gt;0),OR($CJ3&lt;&gt;"raio",IFERROR(VALUE(SUBSTITUTE(LEFT($CS3,MAX(0,LEN($CS3)-2)),",",""))/10^IFERROR(LEN(LEFT($CS3,MAX(0,LEN($CS3)-2)))-FIND(",",LEFT($CS3,MAX(0,LEN($CS3)-2))),0),-1)&lt;=15.0)),OR($CJ3&lt;&gt;"comprimento",IFERROR(VALUE(SUBSTITUTE(LEFT($CS3,MAX(0,LEN($CS3)-2)),",",""))/10^IFERROR(LEN(LEFT($CS3,MAX(0,LEN($CS3)-2)))-FIND(",",LEFT($CS3,MAX(0,LEN($CS3)-2))),0),-1)&lt;=60.0))),"","Base incompatível com escada: area/personagem/classes_1_a_5")</f>
        <v/>
      </c>
      <c r="EY3">
        <f>IF(ISTEXT($CT3),"","Base precisa ser texto: area/personagem/classes_6_e_7")</f>
        <v/>
      </c>
      <c r="EZ3">
        <f>IF(OR(NOT(OR($DA3="area",$DE3="area")),$CJ3="Fixo",$CT3="",$CT3="—",AND(AND(AND(RIGHT($CT3,2)=" m",IFERROR(VALUE(SUBSTITUTE(LEFT($CT3,MAX(0,LEN($CT3)-2)),",",""))/10^IFERROR(LEN(LEFT($CT3,MAX(0,LEN($CT3)-2)))-FIND(",",LEFT($CT3,MAX(0,LEN($CT3)-2))),0),-1)&gt;0),OR($CJ3&lt;&gt;"raio",IFERROR(VALUE(SUBSTITUTE(LEFT($CT3,MAX(0,LEN($CT3)-2)),",",""))/10^IFERROR(LEN(LEFT($CT3,MAX(0,LEN($CT3)-2)))-FIND(",",LEFT($CT3,MAX(0,LEN($CT3)-2))),0),-1)&lt;=15.0)),OR($CJ3&lt;&gt;"comprimento",IFERROR(VALUE(SUBSTITUTE(LEFT($CT3,MAX(0,LEN($CT3)-2)),",",""))/10^IFERROR(LEN(LEFT($CT3,MAX(0,LEN($CT3)-2)))-FIND(",",LEFT($CT3,MAX(0,LEN($CT3)-2))),0),-1)&lt;=60.0))),"","Base incompatível com escada: area/personagem/classes_6_e_7")</f>
        <v/>
      </c>
      <c r="FA3">
        <f>IF(ISTEXT($CU3),"","Base precisa ser texto: area/entidade/classe_0")</f>
        <v/>
      </c>
      <c r="FB3">
        <f>IF(OR(NOT(AND($CG3,OR($DA3="area",$DE3="area"))),$CJ3="Fixo",$CU3="",$CU3="—",AND(AND(AND(RIGHT($CU3,2)=" m",IFERROR(VALUE(SUBSTITUTE(LEFT($CU3,MAX(0,LEN($CU3)-2)),",",""))/10^IFERROR(LEN(LEFT($CU3,MAX(0,LEN($CU3)-2)))-FIND(",",LEFT($CU3,MAX(0,LEN($CU3)-2))),0),-1)&gt;0),OR($CJ3&lt;&gt;"raio",IFERROR(VALUE(SUBSTITUTE(LEFT($CU3,MAX(0,LEN($CU3)-2)),",",""))/10^IFERROR(LEN(LEFT($CU3,MAX(0,LEN($CU3)-2)))-FIND(",",LEFT($CU3,MAX(0,LEN($CU3)-2))),0),-1)&lt;=15.0)),OR($CJ3&lt;&gt;"comprimento",IFERROR(VALUE(SUBSTITUTE(LEFT($CU3,MAX(0,LEN($CU3)-2)),",",""))/10^IFERROR(LEN(LEFT($CU3,MAX(0,LEN($CU3)-2)))-FIND(",",LEFT($CU3,MAX(0,LEN($CU3)-2))),0),-1)&lt;=60.0))),"","Base incompatível com escada: area/entidade/classe_0")</f>
        <v/>
      </c>
      <c r="FC3">
        <f>IF(ISTEXT($CV3),"","Base precisa ser texto: area/entidade/classes_1_a_5")</f>
        <v/>
      </c>
      <c r="FD3">
        <f>IF(OR(NOT(OR($DA3="area",$DE3="area")),$CJ3="Fixo",$CV3="",$CV3="—",AND(AND(AND(RIGHT($CV3,2)=" m",IFERROR(VALUE(SUBSTITUTE(LEFT($CV3,MAX(0,LEN($CV3)-2)),",",""))/10^IFERROR(LEN(LEFT($CV3,MAX(0,LEN($CV3)-2)))-FIND(",",LEFT($CV3,MAX(0,LEN($CV3)-2))),0),-1)&gt;0),OR($CJ3&lt;&gt;"raio",IFERROR(VALUE(SUBSTITUTE(LEFT($CV3,MAX(0,LEN($CV3)-2)),",",""))/10^IFERROR(LEN(LEFT($CV3,MAX(0,LEN($CV3)-2)))-FIND(",",LEFT($CV3,MAX(0,LEN($CV3)-2))),0),-1)&lt;=15.0)),OR($CJ3&lt;&gt;"comprimento",IFERROR(VALUE(SUBSTITUTE(LEFT($CV3,MAX(0,LEN($CV3)-2)),",",""))/10^IFERROR(LEN(LEFT($CV3,MAX(0,LEN($CV3)-2)))-FIND(",",LEFT($CV3,MAX(0,LEN($CV3)-2))),0),-1)&lt;=60.0))),"","Base incompatível com escada: area/entidade/classes_1_a_5")</f>
        <v/>
      </c>
      <c r="FE3">
        <f>IF(ISTEXT($CW3),"","Base precisa ser texto: area/entidade/classe_6")</f>
        <v/>
      </c>
      <c r="FF3">
        <f>IF(OR(NOT(OR($DA3="area",$DE3="area")),$CJ3="Fixo",$CW3="",$CW3="—",AND(AND(AND(RIGHT($CW3,2)=" m",IFERROR(VALUE(SUBSTITUTE(LEFT($CW3,MAX(0,LEN($CW3)-2)),",",""))/10^IFERROR(LEN(LEFT($CW3,MAX(0,LEN($CW3)-2)))-FIND(",",LEFT($CW3,MAX(0,LEN($CW3)-2))),0),-1)&gt;0),OR($CJ3&lt;&gt;"raio",IFERROR(VALUE(SUBSTITUTE(LEFT($CW3,MAX(0,LEN($CW3)-2)),",",""))/10^IFERROR(LEN(LEFT($CW3,MAX(0,LEN($CW3)-2)))-FIND(",",LEFT($CW3,MAX(0,LEN($CW3)-2))),0),-1)&lt;=15.0)),OR($CJ3&lt;&gt;"comprimento",IFERROR(VALUE(SUBSTITUTE(LEFT($CW3,MAX(0,LEN($CW3)-2)),",",""))/10^IFERROR(LEN(LEFT($CW3,MAX(0,LEN($CW3)-2)))-FIND(",",LEFT($CW3,MAX(0,LEN($CW3)-2))),0),-1)&lt;=60.0))),"","Base incompatível com escada: area/entidade/classe_6")</f>
        <v/>
      </c>
      <c r="FG3">
        <f>IF(ISTEXT($CX3),"","Base precisa ser texto: area/entidade/classe_7")</f>
        <v/>
      </c>
      <c r="FH3">
        <f>IF(OR(NOT(OR($DA3="area",$DE3="area")),$CJ3="Fixo",$CX3="",$CX3="—",AND(AND(AND(RIGHT($CX3,2)=" m",IFERROR(VALUE(SUBSTITUTE(LEFT($CX3,MAX(0,LEN($CX3)-2)),",",""))/10^IFERROR(LEN(LEFT($CX3,MAX(0,LEN($CX3)-2)))-FIND(",",LEFT($CX3,MAX(0,LEN($CX3)-2))),0),-1)&gt;0),OR($CJ3&lt;&gt;"raio",IFERROR(VALUE(SUBSTITUTE(LEFT($CX3,MAX(0,LEN($CX3)-2)),",",""))/10^IFERROR(LEN(LEFT($CX3,MAX(0,LEN($CX3)-2)))-FIND(",",LEFT($CX3,MAX(0,LEN($CX3)-2))),0),-1)&lt;=15.0)),OR($CJ3&lt;&gt;"comprimento",IFERROR(VALUE(SUBSTITUTE(LEFT($CX3,MAX(0,LEN($CX3)-2)),",",""))/10^IFERROR(LEN(LEFT($CX3,MAX(0,LEN($CX3)-2)))-FIND(",",LEFT($CX3,MAX(0,LEN($CX3)-2))),0),-1)&lt;=60.0))),"","Base incompatível com escada: area/entidade/classe_7")</f>
        <v/>
      </c>
      <c r="FJ3">
        <f>'DADOS_FORMAS'!$AH3</f>
        <v/>
      </c>
      <c r="FK3">
        <f>'DADOS_FORMAS'!$AM3</f>
        <v/>
      </c>
      <c r="FL3">
        <f>'DADOS_FORMAS'!$AN3</f>
        <v/>
      </c>
      <c r="FM3">
        <f>IF('DADOS_FORMAS'!$AN3=0,0,'DADOS_FORMAS'!$AN3+3*IFERROR(VLOOKUP(SUBSTITUTE(SUBSTITUTE(SUBSTITUTE('DADOS_FORMAS'!$AM3,"~","~~"),"*","~*"),"?","~?"),'DADOS_CRIACAO'!$H$2:$K$20,3,FALSE),0))</f>
        <v/>
      </c>
      <c r="FN3">
        <f>IFERROR(VLOOKUP(SUBSTITUTE(SUBSTITUTE(SUBSTITUTE('DADOS_FORMAS'!$AM3,"~","~~"),"*","~*"),"?","~?"),'DADOS_CRIACAO'!$H$2:$K$20,4,FALSE),0)</f>
        <v/>
      </c>
      <c r="FO3">
        <f>IF('DADOS_FORMAS'!$AS3="",0,1)</f>
        <v/>
      </c>
      <c r="FP3">
        <f>'DADOS_FORMAS'!$AP3</f>
        <v/>
      </c>
      <c r="FQ3">
        <f>IF(AND('DADOS_FORMAS'!$AO3="Acerto",'DADOS_FORMAS'!$AQ3),"Acerto + TR",'DADOS_FORMAS'!$AO3)</f>
        <v/>
      </c>
      <c r="FR3">
        <f>N(OR('DADOS_FORMAS'!$AQ3,'DADOS_FORMAS'!$AO3="TR, metade"))</f>
        <v/>
      </c>
      <c r="FS3">
        <f>'DADOS_FORMAS'!$BO3</f>
        <v/>
      </c>
      <c r="FT3">
        <f>'DADOS_FORMAS'!$BS3</f>
        <v/>
      </c>
      <c r="FU3">
        <f>'DADOS_FORMAS'!$BK3</f>
        <v/>
      </c>
      <c r="FV3">
        <f>N('DADOS_FORMAS'!$AR3)</f>
        <v/>
      </c>
      <c r="FW3">
        <f>IF(IFERROR(VLOOKUP(SUBSTITUTE(SUBSTITUTE(SUBSTITUTE('DADOS_FORMAS'!$AM3,"~","~~"),"*","~*"),"?","~?"),'DADOS_CRIACAO'!$H$2:$K$20,4,FALSE),0)=1,"",'DADOS_FORMAS'!$AH3)</f>
        <v/>
      </c>
      <c r="FX3">
        <f>IF(AND('DADOS_FORMAS'!$AR3,IFERROR(VLOOKUP(SUBSTITUTE(SUBSTITUTE(SUBSTITUTE('DADOS_FORMAS'!$AM3,"~","~~"),"*","~*"),"?","~?"),'DADOS_CRIACAO'!$H$2:$K$20,4,FALSE),0)=0),'DADOS_FORMAS'!$AH3,"")</f>
        <v/>
      </c>
      <c r="FZ3">
        <f>'DADOS_FORMAS'!$AH3</f>
        <v/>
      </c>
      <c r="GA3">
        <f>'DADOS_FORMAS'!$AM3</f>
        <v/>
      </c>
      <c r="GB3">
        <f>'DADOS_FORMAS'!$AN3</f>
        <v/>
      </c>
      <c r="GC3">
        <f>IF('DADOS_FORMAS'!$AS3="",0,1)</f>
        <v/>
      </c>
      <c r="GD3">
        <f>'DADOS_FORMAS'!$AP3</f>
        <v/>
      </c>
      <c r="GE3">
        <f>IF('DADOS_FORMAS'!$AO3="Acerto","Ataque",IF('DADOS_FORMAS'!$AQ3,"TR","—"))</f>
        <v/>
      </c>
      <c r="GF3">
        <f>N(OR('DADOS_FORMAS'!$AQ3,'DADOS_FORMAS'!$AO3="TR, metade"))</f>
        <v/>
      </c>
      <c r="GG3">
        <f>'DADOS_FORMAS'!$BO3</f>
        <v/>
      </c>
      <c r="GH3">
        <f>'DADOS_FORMAS'!$BS3</f>
        <v/>
      </c>
      <c r="GI3">
        <f>'DADOS_FORMAS'!$BK3</f>
        <v/>
      </c>
      <c r="GJ3">
        <f>N('DADOS_FORMAS'!$AR3)</f>
        <v/>
      </c>
      <c r="GL3" t="inlineStr">
        <is>
          <t>9 m</t>
        </is>
      </c>
      <c r="GN3" t="inlineStr">
        <is>
          <t>4,5 m</t>
        </is>
      </c>
      <c r="GP3" t="inlineStr">
        <is>
          <t>9 m</t>
        </is>
      </c>
      <c r="GR3">
        <f>'DADOS_FORMAS'!$BP12</f>
        <v/>
      </c>
      <c r="GS3">
        <f>IF('DADOS_FORMAS'!$BP12="area",'DADOS_FORMAS'!$AU12,'DADOS_FORMAS'!$AT12)</f>
        <v/>
      </c>
      <c r="GT3">
        <f>IF('DADOS_FORMAS'!$BP12="area",'DADOS_FORMAS'!$BC12,'DADOS_FORMAS'!$AV12)</f>
        <v/>
      </c>
      <c r="GU3">
        <f>'DADOS_FORMAS'!$BQ12</f>
        <v/>
      </c>
      <c r="GV3">
        <f>'DADOS_FORMAS'!$BR12</f>
        <v/>
      </c>
      <c r="GW3">
        <f>LET(base,'DADOS_FORMAS'!$GT3,escada,'DADOS_FORMAS'!$GS3,medida,LEFT(base,MAX(0,LEN(base)-2)),valor,IFERROR(VALUE(SUBSTITUTE(medida,",",""))/10^IFERROR(LEN(medida)-FIND(",",medida),0),1E99),IF(OR(escada="Fixo",base="—"),base,IF(escada="alcance",IFERROR(MATCH(base,{"1,5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 t="inlineStr">
        <is>
          <t>Projétil · classes 1 a 5</t>
        </is>
      </c>
      <c r="GZ3" t="inlineStr">
        <is>
          <t>18 m, um alvo</t>
        </is>
      </c>
      <c r="HA3" t="inlineStr">
        <is>
          <t>36 m, um alvo</t>
        </is>
      </c>
      <c r="HB3" t="inlineStr">
        <is>
          <t>90 m, um alvo</t>
        </is>
      </c>
      <c r="HC3" t="inlineStr">
        <is>
          <t>Visão a olho nu, um alvo</t>
        </is>
      </c>
      <c r="HD3" t="inlineStr">
        <is>
          <t>Visão a olho nu, um alvo</t>
        </is>
      </c>
      <c r="HE3" t="inlineStr">
        <is>
          <t>Visão a olho nu, um alvo</t>
        </is>
      </c>
      <c r="HF3" t="inlineStr"/>
      <c r="HG3" t="inlineStr"/>
      <c r="HH3" t="inlineStr"/>
      <c r="HI3" t="inlineStr"/>
      <c r="HJ3" t="inlineStr"/>
      <c r="HK3" t="inlineStr"/>
      <c r="HM3">
        <f>'DADOS_FORMAS'!$BP12</f>
        <v/>
      </c>
      <c r="HN3">
        <f>IF('DADOS_FORMAS'!$BP12="area",'DADOS_FORMAS'!$AU12,'DADOS_FORMAS'!$AT12)</f>
        <v/>
      </c>
      <c r="HO3">
        <f>IF('DADOS_FORMAS'!$BP12="area",'DADOS_FORMAS'!$BF12,'DADOS_FORMAS'!$AY12)</f>
        <v/>
      </c>
      <c r="HP3">
        <f>'DADOS_FORMAS'!$BQ12</f>
        <v/>
      </c>
      <c r="HQ3">
        <f>'DADOS_FORMAS'!$BR12</f>
        <v/>
      </c>
      <c r="HR3">
        <f>LET(base,'DADOS_FORMAS'!$HO3,escada,'DADOS_FORMAS'!$HN3,medida,LEFT(base,MAX(0,LEN(base)-2)),valor,IFERROR(VALUE(SUBSTITUTE(medida,",",""))/10^IFERROR(LEN(medida)-FIND(",",medida),0),1E99),IF(OR(escada="Fixo",base="—"),base,IF(escada="alcance",IFERROR(MATCH(base,{"1,5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 t="inlineStr">
        <is>
          <t>Projétil · classes 1 a 5</t>
        </is>
      </c>
      <c r="HU3" t="inlineStr">
        <is>
          <t>18 m, um alvo</t>
        </is>
      </c>
      <c r="HV3" t="inlineStr">
        <is>
          <t>36 m, um alvo</t>
        </is>
      </c>
      <c r="HW3" t="inlineStr">
        <is>
          <t>90 m, um alvo</t>
        </is>
      </c>
      <c r="HX3" t="inlineStr">
        <is>
          <t>Visão a olho nu, um alvo</t>
        </is>
      </c>
      <c r="HY3" t="inlineStr">
        <is>
          <t>Visão a olho nu, um alvo</t>
        </is>
      </c>
      <c r="HZ3" t="inlineStr">
        <is>
          <t>Visão a olho nu, um alvo</t>
        </is>
      </c>
      <c r="IA3" t="inlineStr"/>
      <c r="IB3" t="inlineStr"/>
      <c r="IC3" t="inlineStr"/>
      <c r="ID3" t="inlineStr"/>
      <c r="IE3" t="inlineStr"/>
      <c r="IF3" t="inlineStr"/>
      <c r="IH3">
        <f>IF(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H3,"")</f>
        <v/>
      </c>
      <c r="II3">
        <f>IF(AND(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R3),'DADOS_FORMAS'!$AH3,"")</f>
        <v/>
      </c>
      <c r="IK3">
        <f>IF(OR('DADOS_FORMAS'!$AM3='INVOCAÇÕES'!$O$246,'DADOS_FORMAS'!$AM3='INVOCAÇÕES'!$P$246,'DADOS_FORMAS'!$AM3='INVOCAÇÕES'!$Q$246,'DADOS_FORMAS'!$AM3='INVOCAÇÕES'!$R$246,'DADOS_FORMAS'!$AM3='INVOCAÇÕES'!$S$246,'DADOS_FORMAS'!$AM3='INVOCAÇÕES'!$O$248,'DADOS_FORMAS'!$AM3='INVOCAÇÕES'!$P$248,'DADOS_FORMAS'!$AM3='INVOCAÇÕES'!$Q$248,'DADOS_FORMAS'!$AM3='INVOCAÇÕES'!$R$248,'DADOS_FORMAS'!$AM3=""),'DADOS_FORMAS'!$AH3,"")</f>
        <v/>
      </c>
      <c r="IL3">
        <f>IF(AND(OR('DADOS_FORMAS'!$AM3='INVOCAÇÕES'!$O$246,'DADOS_FORMAS'!$AM3='INVOCAÇÕES'!$P$246,'DADOS_FORMAS'!$AM3='INVOCAÇÕES'!$Q$246,'DADOS_FORMAS'!$AM3='INVOCAÇÕES'!$R$246,'DADOS_FORMAS'!$AM3='INVOCAÇÕES'!$S$246,'DADOS_FORMAS'!$AM3='INVOCAÇÕES'!$O$248,'DADOS_FORMAS'!$AM3='INVOCAÇÕES'!$P$248,'DADOS_FORMAS'!$AM3='INVOCAÇÕES'!$Q$248,'DADOS_FORMAS'!$AM3='INVOCAÇÕES'!$R$248,'DADOS_FORMAS'!$AM3=""),'DADOS_FORMAS'!$AR3),'DADOS_FORMAS'!$AH3,"")</f>
        <v/>
      </c>
      <c r="IN3">
        <f>IF(OR('DADOS_FORMAS'!$AM3='INVOCAÇÕES'!$O$444,'DADOS_FORMAS'!$AM3='INVOCAÇÕES'!$P$444,'DADOS_FORMAS'!$AM3='INVOCAÇÕES'!$Q$444,'DADOS_FORMAS'!$AM3='INVOCAÇÕES'!$R$444,'DADOS_FORMAS'!$AM3='INVOCAÇÕES'!$S$444,'DADOS_FORMAS'!$AM3='INVOCAÇÕES'!$O$446,'DADOS_FORMAS'!$AM3='INVOCAÇÕES'!$P$446,'DADOS_FORMAS'!$AM3='INVOCAÇÕES'!$Q$446,'DADOS_FORMAS'!$AM3='INVOCAÇÕES'!$R$446,'DADOS_FORMAS'!$AM3=""),'DADOS_FORMAS'!$AH3,"")</f>
        <v/>
      </c>
      <c r="IO3">
        <f>IF(AND(OR('DADOS_FORMAS'!$AM3='INVOCAÇÕES'!$O$444,'DADOS_FORMAS'!$AM3='INVOCAÇÕES'!$P$444,'DADOS_FORMAS'!$AM3='INVOCAÇÕES'!$Q$444,'DADOS_FORMAS'!$AM3='INVOCAÇÕES'!$R$444,'DADOS_FORMAS'!$AM3='INVOCAÇÕES'!$S$444,'DADOS_FORMAS'!$AM3='INVOCAÇÕES'!$O$446,'DADOS_FORMAS'!$AM3='INVOCAÇÕES'!$P$446,'DADOS_FORMAS'!$AM3='INVOCAÇÕES'!$Q$446,'DADOS_FORMAS'!$AM3='INVOCAÇÕES'!$R$446,'DADOS_FORMAS'!$AM3=""),'DADOS_FORMAS'!$AR3),'DADOS_FORMAS'!$AH3,"")</f>
        <v/>
      </c>
      <c r="IQ3">
        <f>IF(OR('DADOS_FORMAS'!$AM3='INVOCAÇÕES'!$O$642,'DADOS_FORMAS'!$AM3='INVOCAÇÕES'!$P$642,'DADOS_FORMAS'!$AM3='INVOCAÇÕES'!$Q$642,'DADOS_FORMAS'!$AM3='INVOCAÇÕES'!$R$642,'DADOS_FORMAS'!$AM3='INVOCAÇÕES'!$S$642,'DADOS_FORMAS'!$AM3='INVOCAÇÕES'!$O$644,'DADOS_FORMAS'!$AM3='INVOCAÇÕES'!$P$644,'DADOS_FORMAS'!$AM3='INVOCAÇÕES'!$Q$644,'DADOS_FORMAS'!$AM3='INVOCAÇÕES'!$R$644,'DADOS_FORMAS'!$AM3=""),'DADOS_FORMAS'!$AH3,"")</f>
        <v/>
      </c>
      <c r="IR3">
        <f>IF(AND(OR('DADOS_FORMAS'!$AM3='INVOCAÇÕES'!$O$642,'DADOS_FORMAS'!$AM3='INVOCAÇÕES'!$P$642,'DADOS_FORMAS'!$AM3='INVOCAÇÕES'!$Q$642,'DADOS_FORMAS'!$AM3='INVOCAÇÕES'!$R$642,'DADOS_FORMAS'!$AM3='INVOCAÇÕES'!$S$642,'DADOS_FORMAS'!$AM3='INVOCAÇÕES'!$O$644,'DADOS_FORMAS'!$AM3='INVOCAÇÕES'!$P$644,'DADOS_FORMAS'!$AM3='INVOCAÇÕES'!$Q$644,'DADOS_FORMAS'!$AM3='INVOCAÇÕES'!$R$644,'DADOS_FORMAS'!$AM3=""),'DADOS_FORMAS'!$AR3),'DADOS_FORMAS'!$AH3,"")</f>
        <v/>
      </c>
      <c r="IT3">
        <f>IF(OR('DADOS_FORMAS'!$AM3='INVOCAÇÕES'!$O$840,'DADOS_FORMAS'!$AM3='INVOCAÇÕES'!$P$840,'DADOS_FORMAS'!$AM3='INVOCAÇÕES'!$Q$840,'DADOS_FORMAS'!$AM3='INVOCAÇÕES'!$R$840,'DADOS_FORMAS'!$AM3='INVOCAÇÕES'!$S$840,'DADOS_FORMAS'!$AM3='INVOCAÇÕES'!$O$842,'DADOS_FORMAS'!$AM3='INVOCAÇÕES'!$P$842,'DADOS_FORMAS'!$AM3='INVOCAÇÕES'!$Q$842,'DADOS_FORMAS'!$AM3='INVOCAÇÕES'!$R$842,'DADOS_FORMAS'!$AM3=""),'DADOS_FORMAS'!$AH3,"")</f>
        <v/>
      </c>
      <c r="IU3">
        <f>IF(AND(OR('DADOS_FORMAS'!$AM3='INVOCAÇÕES'!$O$840,'DADOS_FORMAS'!$AM3='INVOCAÇÕES'!$P$840,'DADOS_FORMAS'!$AM3='INVOCAÇÕES'!$Q$840,'DADOS_FORMAS'!$AM3='INVOCAÇÕES'!$R$840,'DADOS_FORMAS'!$AM3='INVOCAÇÕES'!$S$840,'DADOS_FORMAS'!$AM3='INVOCAÇÕES'!$O$842,'DADOS_FORMAS'!$AM3='INVOCAÇÕES'!$P$842,'DADOS_FORMAS'!$AM3='INVOCAÇÕES'!$Q$842,'DADOS_FORMAS'!$AM3='INVOCAÇÕES'!$R$842,'DADOS_FORMAS'!$AM3=""),'DADOS_FORMAS'!$AR3),'DADOS_FORMAS'!$AH3,"")</f>
        <v/>
      </c>
      <c r="IW3">
        <f>IF(OR('DADOS_FORMAS'!$AM3='INVOCAÇÕES'!$O$1038,'DADOS_FORMAS'!$AM3='INVOCAÇÕES'!$P$1038,'DADOS_FORMAS'!$AM3='INVOCAÇÕES'!$Q$1038,'DADOS_FORMAS'!$AM3='INVOCAÇÕES'!$R$1038,'DADOS_FORMAS'!$AM3='INVOCAÇÕES'!$S$1038,'DADOS_FORMAS'!$AM3='INVOCAÇÕES'!$O$1040,'DADOS_FORMAS'!$AM3='INVOCAÇÕES'!$P$1040,'DADOS_FORMAS'!$AM3='INVOCAÇÕES'!$Q$1040,'DADOS_FORMAS'!$AM3='INVOCAÇÕES'!$R$1040,'DADOS_FORMAS'!$AM3=""),'DADOS_FORMAS'!$AH3,"")</f>
        <v/>
      </c>
      <c r="IX3">
        <f>IF(AND(OR('DADOS_FORMAS'!$AM3='INVOCAÇÕES'!$O$1038,'DADOS_FORMAS'!$AM3='INVOCAÇÕES'!$P$1038,'DADOS_FORMAS'!$AM3='INVOCAÇÕES'!$Q$1038,'DADOS_FORMAS'!$AM3='INVOCAÇÕES'!$R$1038,'DADOS_FORMAS'!$AM3='INVOCAÇÕES'!$S$1038,'DADOS_FORMAS'!$AM3='INVOCAÇÕES'!$O$1040,'DADOS_FORMAS'!$AM3='INVOCAÇÕES'!$P$1040,'DADOS_FORMAS'!$AM3='INVOCAÇÕES'!$Q$1040,'DADOS_FORMAS'!$AM3='INVOCAÇÕES'!$R$1040,'DADOS_FORMAS'!$AM3=""),'DADOS_FORMAS'!$AR3),'DADOS_FORMAS'!$AH3,"")</f>
        <v/>
      </c>
      <c r="IZ3">
        <f>IF(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H3,"")</f>
        <v/>
      </c>
      <c r="JA3">
        <f>IF(AND(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R3),'DADOS_FORMAS'!$AH3,"")</f>
        <v/>
      </c>
      <c r="JC3">
        <f>IF(OR('DADOS_FORMAS'!$AM3='INVOCAÇÕES'!$AH$246,'DADOS_FORMAS'!$AM3='INVOCAÇÕES'!$AI$246,'DADOS_FORMAS'!$AM3='INVOCAÇÕES'!$AJ$246,'DADOS_FORMAS'!$AM3='INVOCAÇÕES'!$AK$246,'DADOS_FORMAS'!$AM3='INVOCAÇÕES'!$AL$246,'DADOS_FORMAS'!$AM3='INVOCAÇÕES'!$AH$248,'DADOS_FORMAS'!$AM3='INVOCAÇÕES'!$AI$248,'DADOS_FORMAS'!$AM3='INVOCAÇÕES'!$AJ$248,'DADOS_FORMAS'!$AM3='INVOCAÇÕES'!$AK$248,'DADOS_FORMAS'!$AM3=""),'DADOS_FORMAS'!$AH3,"")</f>
        <v/>
      </c>
      <c r="JD3">
        <f>IF(AND(OR('DADOS_FORMAS'!$AM3='INVOCAÇÕES'!$AH$246,'DADOS_FORMAS'!$AM3='INVOCAÇÕES'!$AI$246,'DADOS_FORMAS'!$AM3='INVOCAÇÕES'!$AJ$246,'DADOS_FORMAS'!$AM3='INVOCAÇÕES'!$AK$246,'DADOS_FORMAS'!$AM3='INVOCAÇÕES'!$AL$246,'DADOS_FORMAS'!$AM3='INVOCAÇÕES'!$AH$248,'DADOS_FORMAS'!$AM3='INVOCAÇÕES'!$AI$248,'DADOS_FORMAS'!$AM3='INVOCAÇÕES'!$AJ$248,'DADOS_FORMAS'!$AM3='INVOCAÇÕES'!$AK$248,'DADOS_FORMAS'!$AM3=""),'DADOS_FORMAS'!$AR3),'DADOS_FORMAS'!$AH3,"")</f>
        <v/>
      </c>
      <c r="JF3">
        <f>IF(OR('DADOS_FORMAS'!$AM3='INVOCAÇÕES'!$AH$444,'DADOS_FORMAS'!$AM3='INVOCAÇÕES'!$AI$444,'DADOS_FORMAS'!$AM3='INVOCAÇÕES'!$AJ$444,'DADOS_FORMAS'!$AM3='INVOCAÇÕES'!$AK$444,'DADOS_FORMAS'!$AM3='INVOCAÇÕES'!$AL$444,'DADOS_FORMAS'!$AM3='INVOCAÇÕES'!$AH$446,'DADOS_FORMAS'!$AM3='INVOCAÇÕES'!$AI$446,'DADOS_FORMAS'!$AM3='INVOCAÇÕES'!$AJ$446,'DADOS_FORMAS'!$AM3='INVOCAÇÕES'!$AK$446,'DADOS_FORMAS'!$AM3=""),'DADOS_FORMAS'!$AH3,"")</f>
        <v/>
      </c>
      <c r="JG3">
        <f>IF(AND(OR('DADOS_FORMAS'!$AM3='INVOCAÇÕES'!$AH$444,'DADOS_FORMAS'!$AM3='INVOCAÇÕES'!$AI$444,'DADOS_FORMAS'!$AM3='INVOCAÇÕES'!$AJ$444,'DADOS_FORMAS'!$AM3='INVOCAÇÕES'!$AK$444,'DADOS_FORMAS'!$AM3='INVOCAÇÕES'!$AL$444,'DADOS_FORMAS'!$AM3='INVOCAÇÕES'!$AH$446,'DADOS_FORMAS'!$AM3='INVOCAÇÕES'!$AI$446,'DADOS_FORMAS'!$AM3='INVOCAÇÕES'!$AJ$446,'DADOS_FORMAS'!$AM3='INVOCAÇÕES'!$AK$446,'DADOS_FORMAS'!$AM3=""),'DADOS_FORMAS'!$AR3),'DADOS_FORMAS'!$AH3,"")</f>
        <v/>
      </c>
      <c r="JI3">
        <f>IF(OR('DADOS_FORMAS'!$AM3='INVOCAÇÕES'!$AH$642,'DADOS_FORMAS'!$AM3='INVOCAÇÕES'!$AI$642,'DADOS_FORMAS'!$AM3='INVOCAÇÕES'!$AJ$642,'DADOS_FORMAS'!$AM3='INVOCAÇÕES'!$AK$642,'DADOS_FORMAS'!$AM3='INVOCAÇÕES'!$AL$642,'DADOS_FORMAS'!$AM3='INVOCAÇÕES'!$AH$644,'DADOS_FORMAS'!$AM3='INVOCAÇÕES'!$AI$644,'DADOS_FORMAS'!$AM3='INVOCAÇÕES'!$AJ$644,'DADOS_FORMAS'!$AM3='INVOCAÇÕES'!$AK$644,'DADOS_FORMAS'!$AM3=""),'DADOS_FORMAS'!$AH3,"")</f>
        <v/>
      </c>
      <c r="JJ3">
        <f>IF(AND(OR('DADOS_FORMAS'!$AM3='INVOCAÇÕES'!$AH$642,'DADOS_FORMAS'!$AM3='INVOCAÇÕES'!$AI$642,'DADOS_FORMAS'!$AM3='INVOCAÇÕES'!$AJ$642,'DADOS_FORMAS'!$AM3='INVOCAÇÕES'!$AK$642,'DADOS_FORMAS'!$AM3='INVOCAÇÕES'!$AL$642,'DADOS_FORMAS'!$AM3='INVOCAÇÕES'!$AH$644,'DADOS_FORMAS'!$AM3='INVOCAÇÕES'!$AI$644,'DADOS_FORMAS'!$AM3='INVOCAÇÕES'!$AJ$644,'DADOS_FORMAS'!$AM3='INVOCAÇÕES'!$AK$644,'DADOS_FORMAS'!$AM3=""),'DADOS_FORMAS'!$AR3),'DADOS_FORMAS'!$AH3,"")</f>
        <v/>
      </c>
      <c r="JL3">
        <f>IF(OR('DADOS_FORMAS'!$AM3='INVOCAÇÕES'!$AH$840,'DADOS_FORMAS'!$AM3='INVOCAÇÕES'!$AI$840,'DADOS_FORMAS'!$AM3='INVOCAÇÕES'!$AJ$840,'DADOS_FORMAS'!$AM3='INVOCAÇÕES'!$AK$840,'DADOS_FORMAS'!$AM3='INVOCAÇÕES'!$AL$840,'DADOS_FORMAS'!$AM3='INVOCAÇÕES'!$AH$842,'DADOS_FORMAS'!$AM3='INVOCAÇÕES'!$AI$842,'DADOS_FORMAS'!$AM3='INVOCAÇÕES'!$AJ$842,'DADOS_FORMAS'!$AM3='INVOCAÇÕES'!$AK$842,'DADOS_FORMAS'!$AM3=""),'DADOS_FORMAS'!$AH3,"")</f>
        <v/>
      </c>
      <c r="JM3">
        <f>IF(AND(OR('DADOS_FORMAS'!$AM3='INVOCAÇÕES'!$AH$840,'DADOS_FORMAS'!$AM3='INVOCAÇÕES'!$AI$840,'DADOS_FORMAS'!$AM3='INVOCAÇÕES'!$AJ$840,'DADOS_FORMAS'!$AM3='INVOCAÇÕES'!$AK$840,'DADOS_FORMAS'!$AM3='INVOCAÇÕES'!$AL$840,'DADOS_FORMAS'!$AM3='INVOCAÇÕES'!$AH$842,'DADOS_FORMAS'!$AM3='INVOCAÇÕES'!$AI$842,'DADOS_FORMAS'!$AM3='INVOCAÇÕES'!$AJ$842,'DADOS_FORMAS'!$AM3='INVOCAÇÕES'!$AK$842,'DADOS_FORMAS'!$AM3=""),'DADOS_FORMAS'!$AR3),'DADOS_FORMAS'!$AH3,"")</f>
        <v/>
      </c>
      <c r="JO3">
        <f>IF(OR('DADOS_FORMAS'!$AM3='INVOCAÇÕES'!$AH$1038,'DADOS_FORMAS'!$AM3='INVOCAÇÕES'!$AI$1038,'DADOS_FORMAS'!$AM3='INVOCAÇÕES'!$AJ$1038,'DADOS_FORMAS'!$AM3='INVOCAÇÕES'!$AK$1038,'DADOS_FORMAS'!$AM3='INVOCAÇÕES'!$AL$1038,'DADOS_FORMAS'!$AM3='INVOCAÇÕES'!$AH$1040,'DADOS_FORMAS'!$AM3='INVOCAÇÕES'!$AI$1040,'DADOS_FORMAS'!$AM3='INVOCAÇÕES'!$AJ$1040,'DADOS_FORMAS'!$AM3='INVOCAÇÕES'!$AK$1040,'DADOS_FORMAS'!$AM3=""),'DADOS_FORMAS'!$AH3,"")</f>
        <v/>
      </c>
      <c r="JP3">
        <f>IF(AND(OR('DADOS_FORMAS'!$AM3='INVOCAÇÕES'!$AH$1038,'DADOS_FORMAS'!$AM3='INVOCAÇÕES'!$AI$1038,'DADOS_FORMAS'!$AM3='INVOCAÇÕES'!$AJ$1038,'DADOS_FORMAS'!$AM3='INVOCAÇÕES'!$AK$1038,'DADOS_FORMAS'!$AM3='INVOCAÇÕES'!$AL$1038,'DADOS_FORMAS'!$AM3='INVOCAÇÕES'!$AH$1040,'DADOS_FORMAS'!$AM3='INVOCAÇÕES'!$AI$1040,'DADOS_FORMAS'!$AM3='INVOCAÇÕES'!$AJ$1040,'DADOS_FORMAS'!$AM3='INVOCAÇÕES'!$AK$1040,'DADOS_FORMAS'!$AM3=""),'DADOS_FORMAS'!$AR3),'DADOS_FORMAS'!$AH3,"")</f>
        <v/>
      </c>
      <c r="JR3" t="inlineStr">
        <is>
          <t>Projétil</t>
        </is>
      </c>
      <c r="JS3" t="inlineStr">
        <is>
          <t>Leve</t>
        </is>
      </c>
      <c r="JT3" t="inlineStr">
        <is>
          <t>TR, metade</t>
        </is>
      </c>
      <c r="JU3" t="inlineStr">
        <is>
          <t>Cura</t>
        </is>
      </c>
      <c r="JV3" t="inlineStr">
        <is>
          <t>Não</t>
        </is>
      </c>
      <c r="JW3" t="inlineStr">
        <is>
          <t>Não</t>
        </is>
      </c>
      <c r="JX3" t="inlineStr">
        <is>
          <t>alcance</t>
        </is>
      </c>
      <c r="JY3" t="inlineStr">
        <is>
          <t>raio</t>
        </is>
      </c>
      <c r="JZ3">
        <f>IFERROR(INDEX('DADOS_CRIACAO'!$H$2:$H$20,1),"")</f>
        <v/>
      </c>
      <c r="KA3">
        <f>IFERROR(INDEX(INDEX('DADOS_RESTRICOES'!$M$2:$Q$54,0,1),1),"")</f>
        <v/>
      </c>
    </row>
    <row r="4">
      <c r="A4">
        <f>IF(ISBLANK('CONFIGURAÇÃO'!$B$1928),"",'CONFIGURAÇÃO'!$B$1928)</f>
        <v/>
      </c>
      <c r="B4">
        <f>IF(ISBLANK('CONFIGURAÇÃO'!$B$1930),"",'CONFIGURAÇÃO'!$B$1930)</f>
        <v/>
      </c>
      <c r="C4">
        <f>IF(ISBLANK('CONFIGURAÇÃO'!$E$1931),"",'CONFIGURAÇÃO'!$E$1931)</f>
        <v/>
      </c>
      <c r="D4">
        <f>IF(ISBLANK('CONFIGURAÇÃO'!$F$1928),"",'CONFIGURAÇÃO'!$F$1928)</f>
        <v/>
      </c>
      <c r="E4">
        <f>IF(ISBLANK('CONFIGURAÇÃO'!$B$1957),"",'CONFIGURAÇÃO'!$B$1957)</f>
        <v/>
      </c>
      <c r="F4">
        <f>IF(ISBLANK('CONFIGURAÇÃO'!$B$1963),"",'CONFIGURAÇÃO'!$B$1963)</f>
        <v/>
      </c>
      <c r="G4">
        <f>IF(ISBLANK('CONFIGURAÇÃO'!$E$1932),"",'CONFIGURAÇÃO'!$E$1932)</f>
        <v/>
      </c>
      <c r="H4">
        <f>IF(ISBLANK('CONFIGURAÇÃO'!$E$1933),"",'CONFIGURAÇÃO'!$E$1933)</f>
        <v/>
      </c>
      <c r="I4">
        <f>IF(ISBLANK('CONFIGURAÇÃO'!$E$1934),"",'CONFIGURAÇÃO'!$E$1934)</f>
        <v/>
      </c>
      <c r="J4">
        <f>IF(ISBLANK('CONFIGURAÇÃO'!$E$1935),"",'CONFIGURAÇÃO'!$E$1935)</f>
        <v/>
      </c>
      <c r="K4">
        <f>IF(ISBLANK('CONFIGURAÇÃO'!$E$1936),"",'CONFIGURAÇÃO'!$E$1936)</f>
        <v/>
      </c>
      <c r="L4">
        <f>IF(ISBLANK('CONFIGURAÇÃO'!$E$1937),"",'CONFIGURAÇÃO'!$E$1937)</f>
        <v/>
      </c>
      <c r="M4">
        <f>IF(ISBLANK('CONFIGURAÇÃO'!$E$1938),"",'CONFIGURAÇÃO'!$E$1938)</f>
        <v/>
      </c>
      <c r="N4">
        <f>IF(ISBLANK('CONFIGURAÇÃO'!$E$1939),"",'CONFIGURAÇÃO'!$E$1939)</f>
        <v/>
      </c>
      <c r="O4">
        <f>IF(ISBLANK('CONFIGURAÇÃO'!$E$1940),"",'CONFIGURAÇÃO'!$E$1940)</f>
        <v/>
      </c>
      <c r="P4">
        <f>IF(ISBLANK('CONFIGURAÇÃO'!$E$1941),"",'CONFIGURAÇÃO'!$E$1941)</f>
        <v/>
      </c>
      <c r="Q4">
        <f>IF(ISBLANK('CONFIGURAÇÃO'!$E$1942),"",'CONFIGURAÇÃO'!$E$1942)</f>
        <v/>
      </c>
      <c r="R4">
        <f>IF(ISBLANK('CONFIGURAÇÃO'!$E$1943),"",'CONFIGURAÇÃO'!$E$1943)</f>
        <v/>
      </c>
      <c r="S4">
        <f>IF(ISBLANK('CONFIGURAÇÃO'!$E$1944),"",'CONFIGURAÇÃO'!$E$1944)</f>
        <v/>
      </c>
      <c r="T4">
        <f>IF(ISBLANK('CONFIGURAÇÃO'!$E$1945),"",'CONFIGURAÇÃO'!$E$1945)</f>
        <v/>
      </c>
      <c r="U4">
        <f>IF(ISBLANK('CONFIGURAÇÃO'!$E$1946),"",'CONFIGURAÇÃO'!$E$1946)</f>
        <v/>
      </c>
      <c r="V4">
        <f>IF(ISBLANK('CONFIGURAÇÃO'!$E$1947),"",'CONFIGURAÇÃO'!$E$1947)</f>
        <v/>
      </c>
      <c r="W4">
        <f>IF(ISBLANK('CONFIGURAÇÃO'!$E$1948),"",'CONFIGURAÇÃO'!$E$1948)</f>
        <v/>
      </c>
      <c r="X4">
        <f>IF(ISBLANK('CONFIGURAÇÃO'!$E$1949),"",'CONFIGURAÇÃO'!$E$1949)</f>
        <v/>
      </c>
      <c r="Y4">
        <f>IF(ISBLANK('CONFIGURAÇÃO'!$E$1950),"",'CONFIGURAÇÃO'!$E$1950)</f>
        <v/>
      </c>
      <c r="Z4">
        <f>IF(ISBLANK('CONFIGURAÇÃO'!$E$1951),"",'CONFIGURAÇÃO'!$E$1951)</f>
        <v/>
      </c>
      <c r="AA4">
        <f>IF(ISBLANK('CONFIGURAÇÃO'!$E$1952),"",'CONFIGURAÇÃO'!$E$1952)</f>
        <v/>
      </c>
      <c r="AB4">
        <f>IF(ISBLANK('CONFIGURAÇÃO'!$E$1953),"",'CONFIGURAÇÃO'!$E$1953)</f>
        <v/>
      </c>
      <c r="AC4">
        <f>IF(ISBLANK('CONFIGURAÇÃO'!$E$1954),"",'CONFIGURAÇÃO'!$E$1954)</f>
        <v/>
      </c>
      <c r="AD4">
        <f>IF($AF4,TEXTJOIN(" · ",TRUE,$DJ4:$FH4),"")</f>
        <v/>
      </c>
      <c r="AE4">
        <f>IF(OR($C4="",$C4="Nenhuma"),0,IFERROR(MATCH(SUBSTITUTE(SUBSTITUTE(SUBSTITUTE($C4,"~","~~"),"*","~*"),"?","~?"),'DADOS_FORMAS'!$AH$2:$AH$11,0),-1))</f>
        <v/>
      </c>
      <c r="AF4">
        <f>OR($B4&lt;&gt;"",$C4&lt;&gt;"",$E4&lt;&gt;"",$F4&lt;&gt;"",$G4&lt;&gt;"",$H4&lt;&gt;"",$I4&lt;&gt;"",$J4&lt;&gt;"",$K4&lt;&gt;"",$L4&lt;&gt;"",$M4&lt;&gt;"",$N4&lt;&gt;"",$O4&lt;&gt;"",$P4&lt;&gt;"",$Q4&lt;&gt;"",$R4&lt;&gt;"",$S4&lt;&gt;"",$T4&lt;&gt;"",$U4&lt;&gt;"",$V4&lt;&gt;"",$W4&lt;&gt;"",$X4&lt;&gt;"",$Y4&lt;&gt;"",$Z4&lt;&gt;"",$AA4&lt;&gt;"",$AB4&lt;&gt;"",$AC4&lt;&gt;"",AND($D4&lt;&gt;"",$D4&lt;&gt;FALSE),AND($A4&lt;&gt;"",$A4&lt;&gt;"Forma"))</f>
        <v/>
      </c>
      <c r="AG4" t="inlineStr">
        <is>
          <t>Forma</t>
        </is>
      </c>
      <c r="AH4" t="inlineStr">
        <is>
          <t>Explosão</t>
        </is>
      </c>
      <c r="AI4">
        <f>""</f>
        <v/>
      </c>
      <c r="AJ4" t="b">
        <v>0</v>
      </c>
      <c r="AK4">
        <f>""</f>
        <v/>
      </c>
      <c r="AL4" t="inlineStr">
        <is>
          <t>Esfera de raio 3 m, num ponto a até 18 m.</t>
        </is>
      </c>
      <c r="AM4" t="inlineStr">
        <is>
          <t>Área</t>
        </is>
      </c>
      <c r="AN4" t="n">
        <v>1</v>
      </c>
      <c r="AO4" t="inlineStr">
        <is>
          <t>TR, metade</t>
        </is>
      </c>
      <c r="AP4" t="n">
        <v>0</v>
      </c>
      <c r="AQ4" t="b">
        <v>1</v>
      </c>
      <c r="AR4" t="b">
        <v>1</v>
      </c>
      <c r="AS4">
        <f>""</f>
        <v/>
      </c>
      <c r="AT4" t="inlineStr">
        <is>
          <t>alcance</t>
        </is>
      </c>
      <c r="AU4" t="inlineStr">
        <is>
          <t>raio</t>
        </is>
      </c>
      <c r="AV4" t="inlineStr">
        <is>
          <t>9 m</t>
        </is>
      </c>
      <c r="AW4" t="inlineStr">
        <is>
          <t>18 m</t>
        </is>
      </c>
      <c r="AX4" t="inlineStr">
        <is>
          <t>36 m</t>
        </is>
      </c>
      <c r="AY4" t="inlineStr">
        <is>
          <t>9 m</t>
        </is>
      </c>
      <c r="AZ4" t="inlineStr">
        <is>
          <t>18 m</t>
        </is>
      </c>
      <c r="BA4" t="inlineStr">
        <is>
          <t>36 m</t>
        </is>
      </c>
      <c r="BB4" t="inlineStr">
        <is>
          <t>36 m</t>
        </is>
      </c>
      <c r="BC4" t="inlineStr">
        <is>
          <t>3 m</t>
        </is>
      </c>
      <c r="BD4" t="inlineStr">
        <is>
          <t>3 m</t>
        </is>
      </c>
      <c r="BE4" t="inlineStr">
        <is>
          <t>4,5 m</t>
        </is>
      </c>
      <c r="BF4" t="inlineStr">
        <is>
          <t>3 m</t>
        </is>
      </c>
      <c r="BG4" t="inlineStr">
        <is>
          <t>3 m</t>
        </is>
      </c>
      <c r="BH4" t="inlineStr">
        <is>
          <t>3 m</t>
        </is>
      </c>
      <c r="BI4" t="inlineStr">
        <is>
          <t>4,5 m</t>
        </is>
      </c>
      <c r="BJ4" t="inlineStr">
        <is>
          <t>Explosão</t>
        </is>
      </c>
      <c r="BK4" t="n">
        <v>0</v>
      </c>
      <c r="BL4" t="inlineStr">
        <is>
          <t>area</t>
        </is>
      </c>
      <c r="BM4" t="inlineStr">
        <is>
          <t xml:space="preserve">raio </t>
        </is>
      </c>
      <c r="BN4">
        <f>""</f>
        <v/>
      </c>
      <c r="BO4" t="n">
        <v>2</v>
      </c>
      <c r="BP4" t="inlineStr">
        <is>
          <t>alcance</t>
        </is>
      </c>
      <c r="BQ4" t="inlineStr">
        <is>
          <t xml:space="preserve">, a </t>
        </is>
      </c>
      <c r="BR4">
        <f>""</f>
        <v/>
      </c>
      <c r="BS4" t="n">
        <v>1</v>
      </c>
      <c r="BV4">
        <f>IF($A4="",IF($AE4&gt;0,INDEX('DADOS_FORMAS'!$AG$2:$AG$11,MAX(1,$AE4)),"Forma"),$A4)</f>
        <v/>
      </c>
      <c r="BW4">
        <f>IF($B4="",IF($AE4&gt;0,INDEX('DADOS_FORMAS'!$AH$2:$AH$11,MAX(1,$AE4)),""),$B4)</f>
        <v/>
      </c>
      <c r="BX4">
        <f>IF($C4="",IF($AE4&gt;0,INDEX('DADOS_FORMAS'!$AI$2:$AI$11,MAX(1,$AE4)),""),$C4)</f>
        <v/>
      </c>
      <c r="BY4">
        <f>IF($D4="",IF($AE4&gt;0,INDEX('DADOS_FORMAS'!$AJ$2:$AJ$11,MAX(1,$AE4)),FALSE),$D4)</f>
        <v/>
      </c>
      <c r="BZ4">
        <f>IF($E4="",IF($AE4&gt;0,INDEX('DADOS_FORMAS'!$AK$2:$AK$11,MAX(1,$AE4)),""),$E4)</f>
        <v/>
      </c>
      <c r="CA4">
        <f>IF($F4="",IF($AE4&gt;0,INDEX('DADOS_FORMAS'!$AL$2:$AL$11,MAX(1,$AE4)),""),$F4)</f>
        <v/>
      </c>
      <c r="CB4">
        <f>IF($G4="Nenhuma","",IF($G4="",IF($AE4&gt;0,INDEX('DADOS_FORMAS'!$AM$2:$AM$11,MAX(1,$AE4)),""),$G4))</f>
        <v/>
      </c>
      <c r="CC4">
        <f>IF($H4="",IF($AE4&gt;0,INDEX('DADOS_FORMAS'!$AN$2:$AN$11,MAX(1,$AE4)),""),IF($H4="Sem custo",0,IF($H4="Leve",1,IF($H4="Média",2,IF($H4="Pesada",3,$H4)))))</f>
        <v/>
      </c>
      <c r="CD4">
        <f>IF($I4="",IF($AE4&gt;0,INDEX('DADOS_FORMAS'!$AO$2:$AO$11,MAX(1,$AE4)),""),$I4)</f>
        <v/>
      </c>
      <c r="CE4">
        <f>IF($J4="",IF($AE4&gt;0,INDEX('DADOS_FORMAS'!$AP$2:$AP$11,MAX(1,$AE4)),""),IF($J4="Dano",0,IF($J4="Cura",1,IF($J4="Vida temporária",2,IF($J4="Efeito",3,$J4)))))</f>
        <v/>
      </c>
      <c r="CF4">
        <f>IF($K4="",IF($AE4&gt;0,INDEX('DADOS_FORMAS'!$AQ$2:$AQ$11,MAX(1,$AE4)),""),IF($K4="Sim",TRUE,IF($K4="Não",FALSE,$K4)))</f>
        <v/>
      </c>
      <c r="CG4">
        <f>IF($L4="",IF($AE4&gt;0,INDEX('DADOS_FORMAS'!$AR$2:$AR$11,MAX(1,$AE4)),""),IF($L4="Sim",TRUE,IF($L4="Não",FALSE,$L4)))</f>
        <v/>
      </c>
      <c r="CH4">
        <f>IF($M4="Nenhuma","",IF($M4="",IF($AE4&gt;0,INDEX('DADOS_FORMAS'!$AS$2:$AS$11,MAX(1,$AE4)),""),$M4))</f>
        <v/>
      </c>
      <c r="CI4">
        <f>IF($N4="",IF($AE4&gt;0,INDEX('DADOS_FORMAS'!$AT$2:$AT$11,MAX(1,$AE4)),"Fixo"),$N4)</f>
        <v/>
      </c>
      <c r="CJ4">
        <f>IF($O4="",IF($AE4&gt;0,INDEX('DADOS_FORMAS'!$AU$2:$AU$11,MAX(1,$AE4)),"Fixo"),$O4)</f>
        <v/>
      </c>
      <c r="CK4">
        <f>IF($P4="",IF($AE4&gt;0,INDEX('DADOS_FORMAS'!$AV$2:$AV$11,MAX(1,$AE4)),""),$P4)</f>
        <v/>
      </c>
      <c r="CL4">
        <f>IF($Q4="",IF($AE4&gt;0,INDEX('DADOS_FORMAS'!$AW$2:$AW$11,MAX(1,$AE4)),""),$Q4)</f>
        <v/>
      </c>
      <c r="CM4">
        <f>IF($R4="",IF($AE4&gt;0,INDEX('DADOS_FORMAS'!$AX$2:$AX$11,MAX(1,$AE4)),""),$R4)</f>
        <v/>
      </c>
      <c r="CN4">
        <f>IF($S4="",IF($AE4&gt;0,INDEX('DADOS_FORMAS'!$AY$2:$AY$11,MAX(1,$AE4)),""),$S4)</f>
        <v/>
      </c>
      <c r="CO4">
        <f>IF($T4="",IF($AE4&gt;0,INDEX('DADOS_FORMAS'!$AZ$2:$AZ$11,MAX(1,$AE4)),""),$T4)</f>
        <v/>
      </c>
      <c r="CP4">
        <f>IF($U4="",IF($AE4&gt;0,INDEX('DADOS_FORMAS'!$BA$2:$BA$11,MAX(1,$AE4)),""),$U4)</f>
        <v/>
      </c>
      <c r="CQ4">
        <f>IF($V4="",IF($AE4&gt;0,INDEX('DADOS_FORMAS'!$BB$2:$BB$11,MAX(1,$AE4)),""),$V4)</f>
        <v/>
      </c>
      <c r="CR4">
        <f>IF($W4="",IF($AE4&gt;0,INDEX('DADOS_FORMAS'!$BC$2:$BC$11,MAX(1,$AE4)),""),$W4)</f>
        <v/>
      </c>
      <c r="CS4">
        <f>IF($X4="",IF($AE4&gt;0,INDEX('DADOS_FORMAS'!$BD$2:$BD$11,MAX(1,$AE4)),""),$X4)</f>
        <v/>
      </c>
      <c r="CT4">
        <f>IF($Y4="",IF($AE4&gt;0,INDEX('DADOS_FORMAS'!$BE$2:$BE$11,MAX(1,$AE4)),""),$Y4)</f>
        <v/>
      </c>
      <c r="CU4">
        <f>IF($Z4="",IF($AE4&gt;0,INDEX('DADOS_FORMAS'!$BF$2:$BF$11,MAX(1,$AE4)),""),$Z4)</f>
        <v/>
      </c>
      <c r="CV4">
        <f>IF($AA4="",IF($AE4&gt;0,INDEX('DADOS_FORMAS'!$BG$2:$BG$11,MAX(1,$AE4)),""),$AA4)</f>
        <v/>
      </c>
      <c r="CW4">
        <f>IF($AB4="",IF($AE4&gt;0,INDEX('DADOS_FORMAS'!$BH$2:$BH$11,MAX(1,$AE4)),""),$AB4)</f>
        <v/>
      </c>
      <c r="CX4">
        <f>IF($AC4="",IF($AE4&gt;0,INDEX('DADOS_FORMAS'!$BI$2:$BI$11,MAX(1,$AE4)),""),$AC4)</f>
        <v/>
      </c>
      <c r="CY4">
        <f>IF($AE4&gt;0,INDEX('DADOS_FORMAS'!$BJ$2:$BJ$11,MAX(1,$AE4)),"")</f>
        <v/>
      </c>
      <c r="CZ4">
        <f>IF($AE4&gt;0,INDEX('DADOS_FORMAS'!$BK$2:$BK$11,MAX(1,$AE4)),0)</f>
        <v/>
      </c>
      <c r="DA4">
        <f>IF($AE4&gt;0,INDEX('DADOS_FORMAS'!$BL$2:$BL$11,MAX(1,$AE4)),"alcance")</f>
        <v/>
      </c>
      <c r="DB4">
        <f>IF($AE4&gt;0,INDEX('DADOS_FORMAS'!$BM$2:$BM$11,MAX(1,$AE4)),"")</f>
        <v/>
      </c>
      <c r="DC4">
        <f>IF($AE4&gt;0,INDEX('DADOS_FORMAS'!$BN$2:$BN$11,MAX(1,$AE4)),"")</f>
        <v/>
      </c>
      <c r="DD4">
        <f>IF($AE4&gt;0,INDEX('DADOS_FORMAS'!$BO$2:$BO$11,MAX(1,$AE4)),1)</f>
        <v/>
      </c>
      <c r="DE4">
        <f>IF(AND($AE4&gt;0,INDEX('DADOS_FORMAS'!$BP$2:$BP$11,MAX(1,$AE4))=""),IF(AND(INDEX('DADOS_FORMAS'!$BL$2:$BL$11,MAX(1,$AE4))="alcance",OR($W4&lt;&gt;"",$X4&lt;&gt;"",$Y4&lt;&gt;"",$Z4&lt;&gt;"",$AA4&lt;&gt;"",$AB4&lt;&gt;"",$AC4&lt;&gt;"")),"area",IF(AND(INDEX('DADOS_FORMAS'!$BL$2:$BL$11,MAX(1,$AE4))="area",OR($P4&lt;&gt;"",$Q4&lt;&gt;"",$R4&lt;&gt;"",$S4&lt;&gt;"",$T4&lt;&gt;"",$U4&lt;&gt;"",$V4&lt;&gt;"")),"alcance","")),IF($AE4&gt;0,INDEX('DADOS_FORMAS'!$BP$2:$BP$11,MAX(1,$AE4)),"area"))</f>
        <v/>
      </c>
      <c r="DF4">
        <f>IF(AND($AE4&gt;0,INDEX('DADOS_FORMAS'!$BP$2:$BP$11,MAX(1,$AE4))=""),IF(IF(AND(INDEX('DADOS_FORMAS'!$BL$2:$BL$11,MAX(1,$AE4))="alcance",OR($W4&lt;&gt;"",$X4&lt;&gt;"",$Y4&lt;&gt;"",$Z4&lt;&gt;"",$AA4&lt;&gt;"",$AB4&lt;&gt;"",$AC4&lt;&gt;"")),"area",IF(AND(INDEX('DADOS_FORMAS'!$BL$2:$BL$11,MAX(1,$AE4))="area",OR($P4&lt;&gt;"",$Q4&lt;&gt;"",$R4&lt;&gt;"",$S4&lt;&gt;"",$T4&lt;&gt;"",$U4&lt;&gt;"",$V4&lt;&gt;"")),"alcance",""))="alcance"," · alcance ",IF(IF(AND(INDEX('DADOS_FORMAS'!$BL$2:$BL$11,MAX(1,$AE4))="alcance",OR($W4&lt;&gt;"",$X4&lt;&gt;"",$Y4&lt;&gt;"",$Z4&lt;&gt;"",$AA4&lt;&gt;"",$AB4&lt;&gt;"",$AC4&lt;&gt;"")),"area",IF(AND(INDEX('DADOS_FORMAS'!$BL$2:$BL$11,MAX(1,$AE4))="area",OR($P4&lt;&gt;"",$Q4&lt;&gt;"",$R4&lt;&gt;"",$S4&lt;&gt;"",$T4&lt;&gt;"",$U4&lt;&gt;"",$V4&lt;&gt;"")),"alcance",""))="area"," · área ","")),IF($AE4&gt;0,INDEX('DADOS_FORMAS'!$BQ$2:$BQ$11,MAX(1,$AE4))," · área "))</f>
        <v/>
      </c>
      <c r="DG4">
        <f>IF(AND($AE4&gt;0,INDEX('DADOS_FORMAS'!$BP$2:$BP$11,MAX(1,$AE4))=""),"",IF($AE4&gt;0,INDEX('DADOS_FORMAS'!$BR$2:$BR$11,MAX(1,$AE4)),""))</f>
        <v/>
      </c>
      <c r="DH4">
        <f>IF(AND($AE4&gt;0,INDEX('DADOS_FORMAS'!$BP$2:$BP$11,MAX(1,$AE4))=""),IF(IF(AND(INDEX('DADOS_FORMAS'!$BL$2:$BL$11,MAX(1,$AE4))="alcance",OR($W4&lt;&gt;"",$X4&lt;&gt;"",$Y4&lt;&gt;"",$Z4&lt;&gt;"",$AA4&lt;&gt;"",$AB4&lt;&gt;"",$AC4&lt;&gt;"")),"area",IF(AND(INDEX('DADOS_FORMAS'!$BL$2:$BL$11,MAX(1,$AE4))="area",OR($P4&lt;&gt;"",$Q4&lt;&gt;"",$R4&lt;&gt;"",$S4&lt;&gt;"",$T4&lt;&gt;"",$U4&lt;&gt;"",$V4&lt;&gt;"")),"alcance",""))="",0,IF(IF(AND(INDEX('DADOS_FORMAS'!$BL$2:$BL$11,MAX(1,$AE4))="alcance",OR($W4&lt;&gt;"",$X4&lt;&gt;"",$Y4&lt;&gt;"",$Z4&lt;&gt;"",$AA4&lt;&gt;"",$AB4&lt;&gt;"",$AC4&lt;&gt;"")),"area",IF(AND(INDEX('DADOS_FORMAS'!$BL$2:$BL$11,MAX(1,$AE4))="area",OR($P4&lt;&gt;"",$Q4&lt;&gt;"",$R4&lt;&gt;"",$S4&lt;&gt;"",$T4&lt;&gt;"",$U4&lt;&gt;"",$V4&lt;&gt;"")),"alcance",""))="alcance",1,IF($O4="comprimento",3,2))),IF($AE4&gt;0,INDEX('DADOS_FORMAS'!$BS$2:$BS$11,MAX(1,$AE4)),IF($O4="comprimento",3,2)))</f>
        <v/>
      </c>
      <c r="DJ4">
        <f>IF(AND(ISTEXT($B4),$B4&lt;&gt;"",TRIM($B4)=$B4),"","NOME precisa ser texto sem espaços nas pontas")</f>
        <v/>
      </c>
      <c r="DK4">
        <f>IF(COUNTIF('DADOS_FORMAS'!$B$2:$B$11,SUBSTITUTE(SUBSTITUTE(SUBSTITUTE($B4,"~","~~"),"*","~*"),"?","~?"))+COUNTIF('DADOS_FORMAS'!$AH$2:$AH$11,SUBSTITUTE(SUBSTITUTE(SUBSTITUTE($B4,"~","~~"),"*","~*"),"?","~?"))=1,"","Nome repetido no livro ou custom")</f>
        <v/>
      </c>
      <c r="DL4">
        <f>IF($AE4&gt;=0,"","BASE DO LIVRO inválida para o grupo")</f>
        <v/>
      </c>
      <c r="DM4">
        <f>IF(OR($BV4="Forma"),"","TIPO inválido para o grupo")</f>
        <v/>
      </c>
      <c r="DN4">
        <f>IF(ISLOGICAL($BY4),"","MESTRE VIU precisa ser caixa de seleção")</f>
        <v/>
      </c>
      <c r="DO4">
        <f>IF(ISTEXT($CA4),"","EFEITO precisa ser texto")</f>
        <v/>
      </c>
      <c r="DP4">
        <f>IF(ISTEXT($BZ4),"","REQUISITOS precisa ser texto")</f>
        <v/>
      </c>
      <c r="DQ4">
        <f>IF(IFERROR(AND(ISNUMBER($CC4),NOT(ISLOGICAL($CC4)),$CC4=INT($CC4),$CC4&gt;=0,$CC4&lt;=3),FALSE),"","PESO exige 0/1/2/3")</f>
        <v/>
      </c>
      <c r="DR4">
        <f>IF(IFERROR(AND(ISNUMBER($CE4),NOT(ISLOGICAL($CE4)),$CE4=INT($CE4),$CE4&gt;=0,$CE4&lt;=3),FALSE),"","RESULTADO exige 0/1/2/3")</f>
        <v/>
      </c>
      <c r="DS4">
        <f>IF(ISLOGICAL($CF4),"","EXIGE_TR exige Sim/Não")</f>
        <v/>
      </c>
      <c r="DT4">
        <f>IF(ISLOGICAL($CG4),"","CLASSE_0 exige Sim/Não")</f>
        <v/>
      </c>
      <c r="DU4">
        <f>IF(OR($CD4="Acerto",$CD4="TR, metade",$CD4="Automático"),"","RESOLUÇÃO inválida")</f>
        <v/>
      </c>
      <c r="DV4">
        <f>IF(OR($CB4="",COUNTIF('DADOS_CRIACAO'!$H$2:$H$20,SUBSTITUTE(SUBSTITUTE(SUBSTITUTE($CB4,"~","~~"),"*","~*"),"?","~?"))&gt;0),"","FAMÍLIA não cadastrada ou inválida")</f>
        <v/>
      </c>
      <c r="DW4">
        <f>IF(OR($CH4="",IFERROR(MATCH(SUBSTITUTE(SUBSTITUTE(SUBSTITUTE($CH4,"~","~~"),"*","~*"),"?","~?"),INDEX('DADOS_RESTRICOES'!$M$2:$Q$54,0,1),0),0)&gt;0),"","RESTRIÇÃO EMBUTIDA inválida")</f>
        <v/>
      </c>
      <c r="DX4">
        <f>IF(OR($CI4="Fixo",$CI4="alcance"),"","ESCADA inválida para alcance")</f>
        <v/>
      </c>
      <c r="DY4">
        <f>IF(OR(NOT(AND($CG4,OR($DA4="alcance",$DE4="alcance"))),$CK4&lt;&gt;""),"","Base de alcance ausente: personagem/classe_0")</f>
        <v/>
      </c>
      <c r="DZ4">
        <f>IF(ISTEXT($CK4),"","Base precisa ser texto: alcance/personagem/classe_0")</f>
        <v/>
      </c>
      <c r="EA4">
        <f>IF(OR(NOT(AND($CG4,OR($DA4="alcance",$DE4="alcance"))),$CI4="Fixo",$CK4="",$CK4="—",AND(RIGHT($CK4,2)=" m",IFERROR(VALUE(SUBSTITUTE(LEFT($CK4,MAX(0,LEN($CK4)-2)),",",""))/10^IFERROR(LEN(LEFT($CK4,MAX(0,LEN($CK4)-2)))-FIND(",",LEFT($CK4,MAX(0,LEN($CK4)-2))),0),-1)&gt;0)),"","Base incompatível com escada: alcance/personagem/classe_0")</f>
        <v/>
      </c>
      <c r="EB4">
        <f>IF(OR(NOT(OR($DA4="alcance",$DE4="alcance")),$CL4&lt;&gt;""),"","Base de alcance ausente: personagem/classes_1_a_5")</f>
        <v/>
      </c>
      <c r="EC4">
        <f>IF(ISTEXT($CL4),"","Base precisa ser texto: alcance/personagem/classes_1_a_5")</f>
        <v/>
      </c>
      <c r="ED4">
        <f>IF(OR(NOT(OR($DA4="alcance",$DE4="alcance")),$CI4="Fixo",$CL4="",$CL4="—",AND(RIGHT($CL4,2)=" m",IFERROR(VALUE(SUBSTITUTE(LEFT($CL4,MAX(0,LEN($CL4)-2)),",",""))/10^IFERROR(LEN(LEFT($CL4,MAX(0,LEN($CL4)-2)))-FIND(",",LEFT($CL4,MAX(0,LEN($CL4)-2))),0),-1)&gt;0)),"","Base incompatível com escada: alcance/personagem/classes_1_a_5")</f>
        <v/>
      </c>
      <c r="EE4">
        <f>IF(OR(NOT(OR($DA4="alcance",$DE4="alcance")),$CM4&lt;&gt;""),"","Base de alcance ausente: personagem/classes_6_e_7")</f>
        <v/>
      </c>
      <c r="EF4">
        <f>IF(ISTEXT($CM4),"","Base precisa ser texto: alcance/personagem/classes_6_e_7")</f>
        <v/>
      </c>
      <c r="EG4">
        <f>IF(OR(NOT(OR($DA4="alcance",$DE4="alcance")),$CI4="Fixo",$CM4="",$CM4="—",AND(RIGHT($CM4,2)=" m",IFERROR(VALUE(SUBSTITUTE(LEFT($CM4,MAX(0,LEN($CM4)-2)),",",""))/10^IFERROR(LEN(LEFT($CM4,MAX(0,LEN($CM4)-2)))-FIND(",",LEFT($CM4,MAX(0,LEN($CM4)-2))),0),-1)&gt;0)),"","Base incompatível com escada: alcance/personagem/classes_6_e_7")</f>
        <v/>
      </c>
      <c r="EH4">
        <f>IF(OR(NOT(AND($CG4,OR($DA4="alcance",$DE4="alcance"))),$CN4&lt;&gt;""),"","Base de alcance ausente: entidade/classe_0")</f>
        <v/>
      </c>
      <c r="EI4">
        <f>IF(ISTEXT($CN4),"","Base precisa ser texto: alcance/entidade/classe_0")</f>
        <v/>
      </c>
      <c r="EJ4">
        <f>IF(OR(NOT(AND($CG4,OR($DA4="alcance",$DE4="alcance"))),$CI4="Fixo",$CN4="",$CN4="—",AND(RIGHT($CN4,2)=" m",IFERROR(VALUE(SUBSTITUTE(LEFT($CN4,MAX(0,LEN($CN4)-2)),",",""))/10^IFERROR(LEN(LEFT($CN4,MAX(0,LEN($CN4)-2)))-FIND(",",LEFT($CN4,MAX(0,LEN($CN4)-2))),0),-1)&gt;0)),"","Base incompatível com escada: alcance/entidade/classe_0")</f>
        <v/>
      </c>
      <c r="EK4">
        <f>IF(OR(NOT(OR($DA4="alcance",$DE4="alcance")),$CO4&lt;&gt;""),"","Base de alcance ausente: entidade/classes_1_a_5")</f>
        <v/>
      </c>
      <c r="EL4">
        <f>IF(ISTEXT($CO4),"","Base precisa ser texto: alcance/entidade/classes_1_a_5")</f>
        <v/>
      </c>
      <c r="EM4">
        <f>IF(OR(NOT(OR($DA4="alcance",$DE4="alcance")),$CI4="Fixo",$CO4="",$CO4="—",AND(RIGHT($CO4,2)=" m",IFERROR(VALUE(SUBSTITUTE(LEFT($CO4,MAX(0,LEN($CO4)-2)),",",""))/10^IFERROR(LEN(LEFT($CO4,MAX(0,LEN($CO4)-2)))-FIND(",",LEFT($CO4,MAX(0,LEN($CO4)-2))),0),-1)&gt;0)),"","Base incompatível com escada: alcance/entidade/classes_1_a_5")</f>
        <v/>
      </c>
      <c r="EN4">
        <f>IF(OR(NOT(OR($DA4="alcance",$DE4="alcance")),$CP4&lt;&gt;""),"","Base de alcance ausente: entidade/classe_6")</f>
        <v/>
      </c>
      <c r="EO4">
        <f>IF(ISTEXT($CP4),"","Base precisa ser texto: alcance/entidade/classe_6")</f>
        <v/>
      </c>
      <c r="EP4">
        <f>IF(OR(NOT(OR($DA4="alcance",$DE4="alcance")),$CI4="Fixo",$CP4="",$CP4="—",AND(RIGHT($CP4,2)=" m",IFERROR(VALUE(SUBSTITUTE(LEFT($CP4,MAX(0,LEN($CP4)-2)),",",""))/10^IFERROR(LEN(LEFT($CP4,MAX(0,LEN($CP4)-2)))-FIND(",",LEFT($CP4,MAX(0,LEN($CP4)-2))),0),-1)&gt;0)),"","Base incompatível com escada: alcance/entidade/classe_6")</f>
        <v/>
      </c>
      <c r="EQ4">
        <f>IF(OR(NOT(OR($DA4="alcance",$DE4="alcance")),$CQ4&lt;&gt;""),"","Base de alcance ausente: entidade/classe_7")</f>
        <v/>
      </c>
      <c r="ER4">
        <f>IF(ISTEXT($CQ4),"","Base precisa ser texto: alcance/entidade/classe_7")</f>
        <v/>
      </c>
      <c r="ES4">
        <f>IF(OR(NOT(OR($DA4="alcance",$DE4="alcance")),$CI4="Fixo",$CQ4="",$CQ4="—",AND(RIGHT($CQ4,2)=" m",IFERROR(VALUE(SUBSTITUTE(LEFT($CQ4,MAX(0,LEN($CQ4)-2)),",",""))/10^IFERROR(LEN(LEFT($CQ4,MAX(0,LEN($CQ4)-2)))-FIND(",",LEFT($CQ4,MAX(0,LEN($CQ4)-2))),0),-1)&gt;0)),"","Base incompatível com escada: alcance/entidade/classe_7")</f>
        <v/>
      </c>
      <c r="ET4">
        <f>IF(OR($CJ4="Fixo",$CJ4="raio",$CJ4="comprimento"),"","ESCADA inválida para area")</f>
        <v/>
      </c>
      <c r="EU4">
        <f>IF(ISTEXT($CR4),"","Base precisa ser texto: area/personagem/classe_0")</f>
        <v/>
      </c>
      <c r="EV4">
        <f>IF(OR(NOT(AND($CG4,OR($DA4="area",$DE4="area"))),$CJ4="Fixo",$CR4="",$CR4="—",AND(AND(AND(RIGHT($CR4,2)=" m",IFERROR(VALUE(SUBSTITUTE(LEFT($CR4,MAX(0,LEN($CR4)-2)),",",""))/10^IFERROR(LEN(LEFT($CR4,MAX(0,LEN($CR4)-2)))-FIND(",",LEFT($CR4,MAX(0,LEN($CR4)-2))),0),-1)&gt;0),OR($CJ4&lt;&gt;"raio",IFERROR(VALUE(SUBSTITUTE(LEFT($CR4,MAX(0,LEN($CR4)-2)),",",""))/10^IFERROR(LEN(LEFT($CR4,MAX(0,LEN($CR4)-2)))-FIND(",",LEFT($CR4,MAX(0,LEN($CR4)-2))),0),-1)&lt;=15.0)),OR($CJ4&lt;&gt;"comprimento",IFERROR(VALUE(SUBSTITUTE(LEFT($CR4,MAX(0,LEN($CR4)-2)),",",""))/10^IFERROR(LEN(LEFT($CR4,MAX(0,LEN($CR4)-2)))-FIND(",",LEFT($CR4,MAX(0,LEN($CR4)-2))),0),-1)&lt;=60.0))),"","Base incompatível com escada: area/personagem/classe_0")</f>
        <v/>
      </c>
      <c r="EW4">
        <f>IF(ISTEXT($CS4),"","Base precisa ser texto: area/personagem/classes_1_a_5")</f>
        <v/>
      </c>
      <c r="EX4">
        <f>IF(OR(NOT(OR($DA4="area",$DE4="area")),$CJ4="Fixo",$CS4="",$CS4="—",AND(AND(AND(RIGHT($CS4,2)=" m",IFERROR(VALUE(SUBSTITUTE(LEFT($CS4,MAX(0,LEN($CS4)-2)),",",""))/10^IFERROR(LEN(LEFT($CS4,MAX(0,LEN($CS4)-2)))-FIND(",",LEFT($CS4,MAX(0,LEN($CS4)-2))),0),-1)&gt;0),OR($CJ4&lt;&gt;"raio",IFERROR(VALUE(SUBSTITUTE(LEFT($CS4,MAX(0,LEN($CS4)-2)),",",""))/10^IFERROR(LEN(LEFT($CS4,MAX(0,LEN($CS4)-2)))-FIND(",",LEFT($CS4,MAX(0,LEN($CS4)-2))),0),-1)&lt;=15.0)),OR($CJ4&lt;&gt;"comprimento",IFERROR(VALUE(SUBSTITUTE(LEFT($CS4,MAX(0,LEN($CS4)-2)),",",""))/10^IFERROR(LEN(LEFT($CS4,MAX(0,LEN($CS4)-2)))-FIND(",",LEFT($CS4,MAX(0,LEN($CS4)-2))),0),-1)&lt;=60.0))),"","Base incompatível com escada: area/personagem/classes_1_a_5")</f>
        <v/>
      </c>
      <c r="EY4">
        <f>IF(ISTEXT($CT4),"","Base precisa ser texto: area/personagem/classes_6_e_7")</f>
        <v/>
      </c>
      <c r="EZ4">
        <f>IF(OR(NOT(OR($DA4="area",$DE4="area")),$CJ4="Fixo",$CT4="",$CT4="—",AND(AND(AND(RIGHT($CT4,2)=" m",IFERROR(VALUE(SUBSTITUTE(LEFT($CT4,MAX(0,LEN($CT4)-2)),",",""))/10^IFERROR(LEN(LEFT($CT4,MAX(0,LEN($CT4)-2)))-FIND(",",LEFT($CT4,MAX(0,LEN($CT4)-2))),0),-1)&gt;0),OR($CJ4&lt;&gt;"raio",IFERROR(VALUE(SUBSTITUTE(LEFT($CT4,MAX(0,LEN($CT4)-2)),",",""))/10^IFERROR(LEN(LEFT($CT4,MAX(0,LEN($CT4)-2)))-FIND(",",LEFT($CT4,MAX(0,LEN($CT4)-2))),0),-1)&lt;=15.0)),OR($CJ4&lt;&gt;"comprimento",IFERROR(VALUE(SUBSTITUTE(LEFT($CT4,MAX(0,LEN($CT4)-2)),",",""))/10^IFERROR(LEN(LEFT($CT4,MAX(0,LEN($CT4)-2)))-FIND(",",LEFT($CT4,MAX(0,LEN($CT4)-2))),0),-1)&lt;=60.0))),"","Base incompatível com escada: area/personagem/classes_6_e_7")</f>
        <v/>
      </c>
      <c r="FA4">
        <f>IF(ISTEXT($CU4),"","Base precisa ser texto: area/entidade/classe_0")</f>
        <v/>
      </c>
      <c r="FB4">
        <f>IF(OR(NOT(AND($CG4,OR($DA4="area",$DE4="area"))),$CJ4="Fixo",$CU4="",$CU4="—",AND(AND(AND(RIGHT($CU4,2)=" m",IFERROR(VALUE(SUBSTITUTE(LEFT($CU4,MAX(0,LEN($CU4)-2)),",",""))/10^IFERROR(LEN(LEFT($CU4,MAX(0,LEN($CU4)-2)))-FIND(",",LEFT($CU4,MAX(0,LEN($CU4)-2))),0),-1)&gt;0),OR($CJ4&lt;&gt;"raio",IFERROR(VALUE(SUBSTITUTE(LEFT($CU4,MAX(0,LEN($CU4)-2)),",",""))/10^IFERROR(LEN(LEFT($CU4,MAX(0,LEN($CU4)-2)))-FIND(",",LEFT($CU4,MAX(0,LEN($CU4)-2))),0),-1)&lt;=15.0)),OR($CJ4&lt;&gt;"comprimento",IFERROR(VALUE(SUBSTITUTE(LEFT($CU4,MAX(0,LEN($CU4)-2)),",",""))/10^IFERROR(LEN(LEFT($CU4,MAX(0,LEN($CU4)-2)))-FIND(",",LEFT($CU4,MAX(0,LEN($CU4)-2))),0),-1)&lt;=60.0))),"","Base incompatível com escada: area/entidade/classe_0")</f>
        <v/>
      </c>
      <c r="FC4">
        <f>IF(ISTEXT($CV4),"","Base precisa ser texto: area/entidade/classes_1_a_5")</f>
        <v/>
      </c>
      <c r="FD4">
        <f>IF(OR(NOT(OR($DA4="area",$DE4="area")),$CJ4="Fixo",$CV4="",$CV4="—",AND(AND(AND(RIGHT($CV4,2)=" m",IFERROR(VALUE(SUBSTITUTE(LEFT($CV4,MAX(0,LEN($CV4)-2)),",",""))/10^IFERROR(LEN(LEFT($CV4,MAX(0,LEN($CV4)-2)))-FIND(",",LEFT($CV4,MAX(0,LEN($CV4)-2))),0),-1)&gt;0),OR($CJ4&lt;&gt;"raio",IFERROR(VALUE(SUBSTITUTE(LEFT($CV4,MAX(0,LEN($CV4)-2)),",",""))/10^IFERROR(LEN(LEFT($CV4,MAX(0,LEN($CV4)-2)))-FIND(",",LEFT($CV4,MAX(0,LEN($CV4)-2))),0),-1)&lt;=15.0)),OR($CJ4&lt;&gt;"comprimento",IFERROR(VALUE(SUBSTITUTE(LEFT($CV4,MAX(0,LEN($CV4)-2)),",",""))/10^IFERROR(LEN(LEFT($CV4,MAX(0,LEN($CV4)-2)))-FIND(",",LEFT($CV4,MAX(0,LEN($CV4)-2))),0),-1)&lt;=60.0))),"","Base incompatível com escada: area/entidade/classes_1_a_5")</f>
        <v/>
      </c>
      <c r="FE4">
        <f>IF(ISTEXT($CW4),"","Base precisa ser texto: area/entidade/classe_6")</f>
        <v/>
      </c>
      <c r="FF4">
        <f>IF(OR(NOT(OR($DA4="area",$DE4="area")),$CJ4="Fixo",$CW4="",$CW4="—",AND(AND(AND(RIGHT($CW4,2)=" m",IFERROR(VALUE(SUBSTITUTE(LEFT($CW4,MAX(0,LEN($CW4)-2)),",",""))/10^IFERROR(LEN(LEFT($CW4,MAX(0,LEN($CW4)-2)))-FIND(",",LEFT($CW4,MAX(0,LEN($CW4)-2))),0),-1)&gt;0),OR($CJ4&lt;&gt;"raio",IFERROR(VALUE(SUBSTITUTE(LEFT($CW4,MAX(0,LEN($CW4)-2)),",",""))/10^IFERROR(LEN(LEFT($CW4,MAX(0,LEN($CW4)-2)))-FIND(",",LEFT($CW4,MAX(0,LEN($CW4)-2))),0),-1)&lt;=15.0)),OR($CJ4&lt;&gt;"comprimento",IFERROR(VALUE(SUBSTITUTE(LEFT($CW4,MAX(0,LEN($CW4)-2)),",",""))/10^IFERROR(LEN(LEFT($CW4,MAX(0,LEN($CW4)-2)))-FIND(",",LEFT($CW4,MAX(0,LEN($CW4)-2))),0),-1)&lt;=60.0))),"","Base incompatível com escada: area/entidade/classe_6")</f>
        <v/>
      </c>
      <c r="FG4">
        <f>IF(ISTEXT($CX4),"","Base precisa ser texto: area/entidade/classe_7")</f>
        <v/>
      </c>
      <c r="FH4">
        <f>IF(OR(NOT(OR($DA4="area",$DE4="area")),$CJ4="Fixo",$CX4="",$CX4="—",AND(AND(AND(RIGHT($CX4,2)=" m",IFERROR(VALUE(SUBSTITUTE(LEFT($CX4,MAX(0,LEN($CX4)-2)),",",""))/10^IFERROR(LEN(LEFT($CX4,MAX(0,LEN($CX4)-2)))-FIND(",",LEFT($CX4,MAX(0,LEN($CX4)-2))),0),-1)&gt;0),OR($CJ4&lt;&gt;"raio",IFERROR(VALUE(SUBSTITUTE(LEFT($CX4,MAX(0,LEN($CX4)-2)),",",""))/10^IFERROR(LEN(LEFT($CX4,MAX(0,LEN($CX4)-2)))-FIND(",",LEFT($CX4,MAX(0,LEN($CX4)-2))),0),-1)&lt;=15.0)),OR($CJ4&lt;&gt;"comprimento",IFERROR(VALUE(SUBSTITUTE(LEFT($CX4,MAX(0,LEN($CX4)-2)),",",""))/10^IFERROR(LEN(LEFT($CX4,MAX(0,LEN($CX4)-2)))-FIND(",",LEFT($CX4,MAX(0,LEN($CX4)-2))),0),-1)&lt;=60.0))),"","Base incompatível com escada: area/entidade/classe_7")</f>
        <v/>
      </c>
      <c r="FJ4">
        <f>'DADOS_FORMAS'!$AH4</f>
        <v/>
      </c>
      <c r="FK4">
        <f>'DADOS_FORMAS'!$AM4</f>
        <v/>
      </c>
      <c r="FL4">
        <f>'DADOS_FORMAS'!$AN4</f>
        <v/>
      </c>
      <c r="FM4">
        <f>IF('DADOS_FORMAS'!$AN4=0,0,'DADOS_FORMAS'!$AN4+3*IFERROR(VLOOKUP(SUBSTITUTE(SUBSTITUTE(SUBSTITUTE('DADOS_FORMAS'!$AM4,"~","~~"),"*","~*"),"?","~?"),'DADOS_CRIACAO'!$H$2:$K$20,3,FALSE),0))</f>
        <v/>
      </c>
      <c r="FN4">
        <f>IFERROR(VLOOKUP(SUBSTITUTE(SUBSTITUTE(SUBSTITUTE('DADOS_FORMAS'!$AM4,"~","~~"),"*","~*"),"?","~?"),'DADOS_CRIACAO'!$H$2:$K$20,4,FALSE),0)</f>
        <v/>
      </c>
      <c r="FO4">
        <f>IF('DADOS_FORMAS'!$AS4="",0,1)</f>
        <v/>
      </c>
      <c r="FP4">
        <f>'DADOS_FORMAS'!$AP4</f>
        <v/>
      </c>
      <c r="FQ4">
        <f>IF(AND('DADOS_FORMAS'!$AO4="Acerto",'DADOS_FORMAS'!$AQ4),"Acerto + TR",'DADOS_FORMAS'!$AO4)</f>
        <v/>
      </c>
      <c r="FR4">
        <f>N(OR('DADOS_FORMAS'!$AQ4,'DADOS_FORMAS'!$AO4="TR, metade"))</f>
        <v/>
      </c>
      <c r="FS4">
        <f>'DADOS_FORMAS'!$BO4</f>
        <v/>
      </c>
      <c r="FT4">
        <f>'DADOS_FORMAS'!$BS4</f>
        <v/>
      </c>
      <c r="FU4">
        <f>'DADOS_FORMAS'!$BK4</f>
        <v/>
      </c>
      <c r="FV4">
        <f>N('DADOS_FORMAS'!$AR4)</f>
        <v/>
      </c>
      <c r="FW4">
        <f>IF(IFERROR(VLOOKUP(SUBSTITUTE(SUBSTITUTE(SUBSTITUTE('DADOS_FORMAS'!$AM4,"~","~~"),"*","~*"),"?","~?"),'DADOS_CRIACAO'!$H$2:$K$20,4,FALSE),0)=1,"",'DADOS_FORMAS'!$AH4)</f>
        <v/>
      </c>
      <c r="FX4">
        <f>IF(AND('DADOS_FORMAS'!$AR4,IFERROR(VLOOKUP(SUBSTITUTE(SUBSTITUTE(SUBSTITUTE('DADOS_FORMAS'!$AM4,"~","~~"),"*","~*"),"?","~?"),'DADOS_CRIACAO'!$H$2:$K$20,4,FALSE),0)=0),'DADOS_FORMAS'!$AH4,"")</f>
        <v/>
      </c>
      <c r="FZ4">
        <f>'DADOS_FORMAS'!$AH4</f>
        <v/>
      </c>
      <c r="GA4">
        <f>'DADOS_FORMAS'!$AM4</f>
        <v/>
      </c>
      <c r="GB4">
        <f>'DADOS_FORMAS'!$AN4</f>
        <v/>
      </c>
      <c r="GC4">
        <f>IF('DADOS_FORMAS'!$AS4="",0,1)</f>
        <v/>
      </c>
      <c r="GD4">
        <f>'DADOS_FORMAS'!$AP4</f>
        <v/>
      </c>
      <c r="GE4">
        <f>IF('DADOS_FORMAS'!$AO4="Acerto","Ataque",IF('DADOS_FORMAS'!$AQ4,"TR","—"))</f>
        <v/>
      </c>
      <c r="GF4">
        <f>N(OR('DADOS_FORMAS'!$AQ4,'DADOS_FORMAS'!$AO4="TR, metade"))</f>
        <v/>
      </c>
      <c r="GG4">
        <f>'DADOS_FORMAS'!$BO4</f>
        <v/>
      </c>
      <c r="GH4">
        <f>'DADOS_FORMAS'!$BS4</f>
        <v/>
      </c>
      <c r="GI4">
        <f>'DADOS_FORMAS'!$BK4</f>
        <v/>
      </c>
      <c r="GJ4">
        <f>N('DADOS_FORMAS'!$AR4)</f>
        <v/>
      </c>
      <c r="GL4" t="inlineStr">
        <is>
          <t>18 m</t>
        </is>
      </c>
      <c r="GN4" t="inlineStr">
        <is>
          <t>6 m</t>
        </is>
      </c>
      <c r="GP4" t="inlineStr">
        <is>
          <t>18 m</t>
        </is>
      </c>
      <c r="GR4">
        <f>'DADOS_FORMAS'!$BL12</f>
        <v/>
      </c>
      <c r="GS4">
        <f>IF('DADOS_FORMAS'!$BL12="area",'DADOS_FORMAS'!$AU12,'DADOS_FORMAS'!$AT12)</f>
        <v/>
      </c>
      <c r="GT4">
        <f>IF('DADOS_FORMAS'!$BL12="area",'DADOS_FORMAS'!$BD12,'DADOS_FORMAS'!$AW12)</f>
        <v/>
      </c>
      <c r="GU4">
        <f>'DADOS_FORMAS'!$BM12</f>
        <v/>
      </c>
      <c r="GV4">
        <f>'DADOS_FORMAS'!$BN12</f>
        <v/>
      </c>
      <c r="GW4">
        <f>LET(base,'DADOS_FORMAS'!$GT4,escada,'DADOS_FORMAS'!$GS4,medida,LEFT(base,MAX(0,LEN(base)-2)),valor,IFERROR(VALUE(SUBSTITUTE(medida,",",""))/10^IFERROR(LEN(medida)-FIND(",",medida),0),1E99),IF(OR(escada="Fixo",base="—"),base,IF(escada="alcance",IFERROR(MATCH(base,{"1,5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 t="inlineStr">
        <is>
          <t>Projétil · classes 6 e 7</t>
        </is>
      </c>
      <c r="GZ4" t="inlineStr">
        <is>
          <t>36 m, um alvo</t>
        </is>
      </c>
      <c r="HA4" t="inlineStr">
        <is>
          <t>90 m, um alvo</t>
        </is>
      </c>
      <c r="HB4" t="inlineStr">
        <is>
          <t>Visão a olho nu, um alvo</t>
        </is>
      </c>
      <c r="HC4" t="inlineStr">
        <is>
          <t>Visão a olho nu, um alvo</t>
        </is>
      </c>
      <c r="HD4" t="inlineStr">
        <is>
          <t>Visão a olho nu, um alvo</t>
        </is>
      </c>
      <c r="HE4" t="inlineStr">
        <is>
          <t>Visão a olho nu, um alvo</t>
        </is>
      </c>
      <c r="HF4" t="inlineStr"/>
      <c r="HG4" t="inlineStr"/>
      <c r="HH4" t="inlineStr"/>
      <c r="HI4" t="inlineStr"/>
      <c r="HJ4" t="inlineStr"/>
      <c r="HK4" t="inlineStr"/>
      <c r="HM4">
        <f>'DADOS_FORMAS'!$BL12</f>
        <v/>
      </c>
      <c r="HN4">
        <f>IF('DADOS_FORMAS'!$BL12="area",'DADOS_FORMAS'!$AU12,'DADOS_FORMAS'!$AT12)</f>
        <v/>
      </c>
      <c r="HO4">
        <f>IF('DADOS_FORMAS'!$BL12="area",'DADOS_FORMAS'!$BG12,'DADOS_FORMAS'!$AZ12)</f>
        <v/>
      </c>
      <c r="HP4">
        <f>'DADOS_FORMAS'!$BM12</f>
        <v/>
      </c>
      <c r="HQ4">
        <f>'DADOS_FORMAS'!$BN12</f>
        <v/>
      </c>
      <c r="HR4">
        <f>LET(base,'DADOS_FORMAS'!$HO4,escada,'DADOS_FORMAS'!$HN4,medida,LEFT(base,MAX(0,LEN(base)-2)),valor,IFERROR(VALUE(SUBSTITUTE(medida,",",""))/10^IFERROR(LEN(medida)-FIND(",",medida),0),1E99),IF(OR(escada="Fixo",base="—"),base,IF(escada="alcance",IFERROR(MATCH(base,{"1,5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 t="inlineStr">
        <is>
          <t>Projétil · classe 6</t>
        </is>
      </c>
      <c r="HU4" t="inlineStr">
        <is>
          <t>36 m, um alvo</t>
        </is>
      </c>
      <c r="HV4" t="inlineStr">
        <is>
          <t>90 m, um alvo</t>
        </is>
      </c>
      <c r="HW4" t="inlineStr">
        <is>
          <t>Visão a olho nu, um alvo</t>
        </is>
      </c>
      <c r="HX4" t="inlineStr">
        <is>
          <t>Visão a olho nu, um alvo</t>
        </is>
      </c>
      <c r="HY4" t="inlineStr">
        <is>
          <t>Visão a olho nu, um alvo</t>
        </is>
      </c>
      <c r="HZ4" t="inlineStr">
        <is>
          <t>Visão a olho nu, um alvo</t>
        </is>
      </c>
      <c r="IA4" t="inlineStr"/>
      <c r="IB4" t="inlineStr"/>
      <c r="IC4" t="inlineStr"/>
      <c r="ID4" t="inlineStr"/>
      <c r="IE4" t="inlineStr"/>
      <c r="IF4" t="inlineStr"/>
      <c r="IH4">
        <f>IF(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H4,"")</f>
        <v/>
      </c>
      <c r="II4">
        <f>IF(AND(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R4),'DADOS_FORMAS'!$AH4,"")</f>
        <v/>
      </c>
      <c r="IK4">
        <f>IF(OR('DADOS_FORMAS'!$AM4='INVOCAÇÕES'!$O$246,'DADOS_FORMAS'!$AM4='INVOCAÇÕES'!$P$246,'DADOS_FORMAS'!$AM4='INVOCAÇÕES'!$Q$246,'DADOS_FORMAS'!$AM4='INVOCAÇÕES'!$R$246,'DADOS_FORMAS'!$AM4='INVOCAÇÕES'!$S$246,'DADOS_FORMAS'!$AM4='INVOCAÇÕES'!$O$248,'DADOS_FORMAS'!$AM4='INVOCAÇÕES'!$P$248,'DADOS_FORMAS'!$AM4='INVOCAÇÕES'!$Q$248,'DADOS_FORMAS'!$AM4='INVOCAÇÕES'!$R$248,'DADOS_FORMAS'!$AM4=""),'DADOS_FORMAS'!$AH4,"")</f>
        <v/>
      </c>
      <c r="IL4">
        <f>IF(AND(OR('DADOS_FORMAS'!$AM4='INVOCAÇÕES'!$O$246,'DADOS_FORMAS'!$AM4='INVOCAÇÕES'!$P$246,'DADOS_FORMAS'!$AM4='INVOCAÇÕES'!$Q$246,'DADOS_FORMAS'!$AM4='INVOCAÇÕES'!$R$246,'DADOS_FORMAS'!$AM4='INVOCAÇÕES'!$S$246,'DADOS_FORMAS'!$AM4='INVOCAÇÕES'!$O$248,'DADOS_FORMAS'!$AM4='INVOCAÇÕES'!$P$248,'DADOS_FORMAS'!$AM4='INVOCAÇÕES'!$Q$248,'DADOS_FORMAS'!$AM4='INVOCAÇÕES'!$R$248,'DADOS_FORMAS'!$AM4=""),'DADOS_FORMAS'!$AR4),'DADOS_FORMAS'!$AH4,"")</f>
        <v/>
      </c>
      <c r="IN4">
        <f>IF(OR('DADOS_FORMAS'!$AM4='INVOCAÇÕES'!$O$444,'DADOS_FORMAS'!$AM4='INVOCAÇÕES'!$P$444,'DADOS_FORMAS'!$AM4='INVOCAÇÕES'!$Q$444,'DADOS_FORMAS'!$AM4='INVOCAÇÕES'!$R$444,'DADOS_FORMAS'!$AM4='INVOCAÇÕES'!$S$444,'DADOS_FORMAS'!$AM4='INVOCAÇÕES'!$O$446,'DADOS_FORMAS'!$AM4='INVOCAÇÕES'!$P$446,'DADOS_FORMAS'!$AM4='INVOCAÇÕES'!$Q$446,'DADOS_FORMAS'!$AM4='INVOCAÇÕES'!$R$446,'DADOS_FORMAS'!$AM4=""),'DADOS_FORMAS'!$AH4,"")</f>
        <v/>
      </c>
      <c r="IO4">
        <f>IF(AND(OR('DADOS_FORMAS'!$AM4='INVOCAÇÕES'!$O$444,'DADOS_FORMAS'!$AM4='INVOCAÇÕES'!$P$444,'DADOS_FORMAS'!$AM4='INVOCAÇÕES'!$Q$444,'DADOS_FORMAS'!$AM4='INVOCAÇÕES'!$R$444,'DADOS_FORMAS'!$AM4='INVOCAÇÕES'!$S$444,'DADOS_FORMAS'!$AM4='INVOCAÇÕES'!$O$446,'DADOS_FORMAS'!$AM4='INVOCAÇÕES'!$P$446,'DADOS_FORMAS'!$AM4='INVOCAÇÕES'!$Q$446,'DADOS_FORMAS'!$AM4='INVOCAÇÕES'!$R$446,'DADOS_FORMAS'!$AM4=""),'DADOS_FORMAS'!$AR4),'DADOS_FORMAS'!$AH4,"")</f>
        <v/>
      </c>
      <c r="IQ4">
        <f>IF(OR('DADOS_FORMAS'!$AM4='INVOCAÇÕES'!$O$642,'DADOS_FORMAS'!$AM4='INVOCAÇÕES'!$P$642,'DADOS_FORMAS'!$AM4='INVOCAÇÕES'!$Q$642,'DADOS_FORMAS'!$AM4='INVOCAÇÕES'!$R$642,'DADOS_FORMAS'!$AM4='INVOCAÇÕES'!$S$642,'DADOS_FORMAS'!$AM4='INVOCAÇÕES'!$O$644,'DADOS_FORMAS'!$AM4='INVOCAÇÕES'!$P$644,'DADOS_FORMAS'!$AM4='INVOCAÇÕES'!$Q$644,'DADOS_FORMAS'!$AM4='INVOCAÇÕES'!$R$644,'DADOS_FORMAS'!$AM4=""),'DADOS_FORMAS'!$AH4,"")</f>
        <v/>
      </c>
      <c r="IR4">
        <f>IF(AND(OR('DADOS_FORMAS'!$AM4='INVOCAÇÕES'!$O$642,'DADOS_FORMAS'!$AM4='INVOCAÇÕES'!$P$642,'DADOS_FORMAS'!$AM4='INVOCAÇÕES'!$Q$642,'DADOS_FORMAS'!$AM4='INVOCAÇÕES'!$R$642,'DADOS_FORMAS'!$AM4='INVOCAÇÕES'!$S$642,'DADOS_FORMAS'!$AM4='INVOCAÇÕES'!$O$644,'DADOS_FORMAS'!$AM4='INVOCAÇÕES'!$P$644,'DADOS_FORMAS'!$AM4='INVOCAÇÕES'!$Q$644,'DADOS_FORMAS'!$AM4='INVOCAÇÕES'!$R$644,'DADOS_FORMAS'!$AM4=""),'DADOS_FORMAS'!$AR4),'DADOS_FORMAS'!$AH4,"")</f>
        <v/>
      </c>
      <c r="IT4">
        <f>IF(OR('DADOS_FORMAS'!$AM4='INVOCAÇÕES'!$O$840,'DADOS_FORMAS'!$AM4='INVOCAÇÕES'!$P$840,'DADOS_FORMAS'!$AM4='INVOCAÇÕES'!$Q$840,'DADOS_FORMAS'!$AM4='INVOCAÇÕES'!$R$840,'DADOS_FORMAS'!$AM4='INVOCAÇÕES'!$S$840,'DADOS_FORMAS'!$AM4='INVOCAÇÕES'!$O$842,'DADOS_FORMAS'!$AM4='INVOCAÇÕES'!$P$842,'DADOS_FORMAS'!$AM4='INVOCAÇÕES'!$Q$842,'DADOS_FORMAS'!$AM4='INVOCAÇÕES'!$R$842,'DADOS_FORMAS'!$AM4=""),'DADOS_FORMAS'!$AH4,"")</f>
        <v/>
      </c>
      <c r="IU4">
        <f>IF(AND(OR('DADOS_FORMAS'!$AM4='INVOCAÇÕES'!$O$840,'DADOS_FORMAS'!$AM4='INVOCAÇÕES'!$P$840,'DADOS_FORMAS'!$AM4='INVOCAÇÕES'!$Q$840,'DADOS_FORMAS'!$AM4='INVOCAÇÕES'!$R$840,'DADOS_FORMAS'!$AM4='INVOCAÇÕES'!$S$840,'DADOS_FORMAS'!$AM4='INVOCAÇÕES'!$O$842,'DADOS_FORMAS'!$AM4='INVOCAÇÕES'!$P$842,'DADOS_FORMAS'!$AM4='INVOCAÇÕES'!$Q$842,'DADOS_FORMAS'!$AM4='INVOCAÇÕES'!$R$842,'DADOS_FORMAS'!$AM4=""),'DADOS_FORMAS'!$AR4),'DADOS_FORMAS'!$AH4,"")</f>
        <v/>
      </c>
      <c r="IW4">
        <f>IF(OR('DADOS_FORMAS'!$AM4='INVOCAÇÕES'!$O$1038,'DADOS_FORMAS'!$AM4='INVOCAÇÕES'!$P$1038,'DADOS_FORMAS'!$AM4='INVOCAÇÕES'!$Q$1038,'DADOS_FORMAS'!$AM4='INVOCAÇÕES'!$R$1038,'DADOS_FORMAS'!$AM4='INVOCAÇÕES'!$S$1038,'DADOS_FORMAS'!$AM4='INVOCAÇÕES'!$O$1040,'DADOS_FORMAS'!$AM4='INVOCAÇÕES'!$P$1040,'DADOS_FORMAS'!$AM4='INVOCAÇÕES'!$Q$1040,'DADOS_FORMAS'!$AM4='INVOCAÇÕES'!$R$1040,'DADOS_FORMAS'!$AM4=""),'DADOS_FORMAS'!$AH4,"")</f>
        <v/>
      </c>
      <c r="IX4">
        <f>IF(AND(OR('DADOS_FORMAS'!$AM4='INVOCAÇÕES'!$O$1038,'DADOS_FORMAS'!$AM4='INVOCAÇÕES'!$P$1038,'DADOS_FORMAS'!$AM4='INVOCAÇÕES'!$Q$1038,'DADOS_FORMAS'!$AM4='INVOCAÇÕES'!$R$1038,'DADOS_FORMAS'!$AM4='INVOCAÇÕES'!$S$1038,'DADOS_FORMAS'!$AM4='INVOCAÇÕES'!$O$1040,'DADOS_FORMAS'!$AM4='INVOCAÇÕES'!$P$1040,'DADOS_FORMAS'!$AM4='INVOCAÇÕES'!$Q$1040,'DADOS_FORMAS'!$AM4='INVOCAÇÕES'!$R$1040,'DADOS_FORMAS'!$AM4=""),'DADOS_FORMAS'!$AR4),'DADOS_FORMAS'!$AH4,"")</f>
        <v/>
      </c>
      <c r="IZ4">
        <f>IF(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H4,"")</f>
        <v/>
      </c>
      <c r="JA4">
        <f>IF(AND(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R4),'DADOS_FORMAS'!$AH4,"")</f>
        <v/>
      </c>
      <c r="JC4">
        <f>IF(OR('DADOS_FORMAS'!$AM4='INVOCAÇÕES'!$AH$246,'DADOS_FORMAS'!$AM4='INVOCAÇÕES'!$AI$246,'DADOS_FORMAS'!$AM4='INVOCAÇÕES'!$AJ$246,'DADOS_FORMAS'!$AM4='INVOCAÇÕES'!$AK$246,'DADOS_FORMAS'!$AM4='INVOCAÇÕES'!$AL$246,'DADOS_FORMAS'!$AM4='INVOCAÇÕES'!$AH$248,'DADOS_FORMAS'!$AM4='INVOCAÇÕES'!$AI$248,'DADOS_FORMAS'!$AM4='INVOCAÇÕES'!$AJ$248,'DADOS_FORMAS'!$AM4='INVOCAÇÕES'!$AK$248,'DADOS_FORMAS'!$AM4=""),'DADOS_FORMAS'!$AH4,"")</f>
        <v/>
      </c>
      <c r="JD4">
        <f>IF(AND(OR('DADOS_FORMAS'!$AM4='INVOCAÇÕES'!$AH$246,'DADOS_FORMAS'!$AM4='INVOCAÇÕES'!$AI$246,'DADOS_FORMAS'!$AM4='INVOCAÇÕES'!$AJ$246,'DADOS_FORMAS'!$AM4='INVOCAÇÕES'!$AK$246,'DADOS_FORMAS'!$AM4='INVOCAÇÕES'!$AL$246,'DADOS_FORMAS'!$AM4='INVOCAÇÕES'!$AH$248,'DADOS_FORMAS'!$AM4='INVOCAÇÕES'!$AI$248,'DADOS_FORMAS'!$AM4='INVOCAÇÕES'!$AJ$248,'DADOS_FORMAS'!$AM4='INVOCAÇÕES'!$AK$248,'DADOS_FORMAS'!$AM4=""),'DADOS_FORMAS'!$AR4),'DADOS_FORMAS'!$AH4,"")</f>
        <v/>
      </c>
      <c r="JF4">
        <f>IF(OR('DADOS_FORMAS'!$AM4='INVOCAÇÕES'!$AH$444,'DADOS_FORMAS'!$AM4='INVOCAÇÕES'!$AI$444,'DADOS_FORMAS'!$AM4='INVOCAÇÕES'!$AJ$444,'DADOS_FORMAS'!$AM4='INVOCAÇÕES'!$AK$444,'DADOS_FORMAS'!$AM4='INVOCAÇÕES'!$AL$444,'DADOS_FORMAS'!$AM4='INVOCAÇÕES'!$AH$446,'DADOS_FORMAS'!$AM4='INVOCAÇÕES'!$AI$446,'DADOS_FORMAS'!$AM4='INVOCAÇÕES'!$AJ$446,'DADOS_FORMAS'!$AM4='INVOCAÇÕES'!$AK$446,'DADOS_FORMAS'!$AM4=""),'DADOS_FORMAS'!$AH4,"")</f>
        <v/>
      </c>
      <c r="JG4">
        <f>IF(AND(OR('DADOS_FORMAS'!$AM4='INVOCAÇÕES'!$AH$444,'DADOS_FORMAS'!$AM4='INVOCAÇÕES'!$AI$444,'DADOS_FORMAS'!$AM4='INVOCAÇÕES'!$AJ$444,'DADOS_FORMAS'!$AM4='INVOCAÇÕES'!$AK$444,'DADOS_FORMAS'!$AM4='INVOCAÇÕES'!$AL$444,'DADOS_FORMAS'!$AM4='INVOCAÇÕES'!$AH$446,'DADOS_FORMAS'!$AM4='INVOCAÇÕES'!$AI$446,'DADOS_FORMAS'!$AM4='INVOCAÇÕES'!$AJ$446,'DADOS_FORMAS'!$AM4='INVOCAÇÕES'!$AK$446,'DADOS_FORMAS'!$AM4=""),'DADOS_FORMAS'!$AR4),'DADOS_FORMAS'!$AH4,"")</f>
        <v/>
      </c>
      <c r="JI4">
        <f>IF(OR('DADOS_FORMAS'!$AM4='INVOCAÇÕES'!$AH$642,'DADOS_FORMAS'!$AM4='INVOCAÇÕES'!$AI$642,'DADOS_FORMAS'!$AM4='INVOCAÇÕES'!$AJ$642,'DADOS_FORMAS'!$AM4='INVOCAÇÕES'!$AK$642,'DADOS_FORMAS'!$AM4='INVOCAÇÕES'!$AL$642,'DADOS_FORMAS'!$AM4='INVOCAÇÕES'!$AH$644,'DADOS_FORMAS'!$AM4='INVOCAÇÕES'!$AI$644,'DADOS_FORMAS'!$AM4='INVOCAÇÕES'!$AJ$644,'DADOS_FORMAS'!$AM4='INVOCAÇÕES'!$AK$644,'DADOS_FORMAS'!$AM4=""),'DADOS_FORMAS'!$AH4,"")</f>
        <v/>
      </c>
      <c r="JJ4">
        <f>IF(AND(OR('DADOS_FORMAS'!$AM4='INVOCAÇÕES'!$AH$642,'DADOS_FORMAS'!$AM4='INVOCAÇÕES'!$AI$642,'DADOS_FORMAS'!$AM4='INVOCAÇÕES'!$AJ$642,'DADOS_FORMAS'!$AM4='INVOCAÇÕES'!$AK$642,'DADOS_FORMAS'!$AM4='INVOCAÇÕES'!$AL$642,'DADOS_FORMAS'!$AM4='INVOCAÇÕES'!$AH$644,'DADOS_FORMAS'!$AM4='INVOCAÇÕES'!$AI$644,'DADOS_FORMAS'!$AM4='INVOCAÇÕES'!$AJ$644,'DADOS_FORMAS'!$AM4='INVOCAÇÕES'!$AK$644,'DADOS_FORMAS'!$AM4=""),'DADOS_FORMAS'!$AR4),'DADOS_FORMAS'!$AH4,"")</f>
        <v/>
      </c>
      <c r="JL4">
        <f>IF(OR('DADOS_FORMAS'!$AM4='INVOCAÇÕES'!$AH$840,'DADOS_FORMAS'!$AM4='INVOCAÇÕES'!$AI$840,'DADOS_FORMAS'!$AM4='INVOCAÇÕES'!$AJ$840,'DADOS_FORMAS'!$AM4='INVOCAÇÕES'!$AK$840,'DADOS_FORMAS'!$AM4='INVOCAÇÕES'!$AL$840,'DADOS_FORMAS'!$AM4='INVOCAÇÕES'!$AH$842,'DADOS_FORMAS'!$AM4='INVOCAÇÕES'!$AI$842,'DADOS_FORMAS'!$AM4='INVOCAÇÕES'!$AJ$842,'DADOS_FORMAS'!$AM4='INVOCAÇÕES'!$AK$842,'DADOS_FORMAS'!$AM4=""),'DADOS_FORMAS'!$AH4,"")</f>
        <v/>
      </c>
      <c r="JM4">
        <f>IF(AND(OR('DADOS_FORMAS'!$AM4='INVOCAÇÕES'!$AH$840,'DADOS_FORMAS'!$AM4='INVOCAÇÕES'!$AI$840,'DADOS_FORMAS'!$AM4='INVOCAÇÕES'!$AJ$840,'DADOS_FORMAS'!$AM4='INVOCAÇÕES'!$AK$840,'DADOS_FORMAS'!$AM4='INVOCAÇÕES'!$AL$840,'DADOS_FORMAS'!$AM4='INVOCAÇÕES'!$AH$842,'DADOS_FORMAS'!$AM4='INVOCAÇÕES'!$AI$842,'DADOS_FORMAS'!$AM4='INVOCAÇÕES'!$AJ$842,'DADOS_FORMAS'!$AM4='INVOCAÇÕES'!$AK$842,'DADOS_FORMAS'!$AM4=""),'DADOS_FORMAS'!$AR4),'DADOS_FORMAS'!$AH4,"")</f>
        <v/>
      </c>
      <c r="JO4">
        <f>IF(OR('DADOS_FORMAS'!$AM4='INVOCAÇÕES'!$AH$1038,'DADOS_FORMAS'!$AM4='INVOCAÇÕES'!$AI$1038,'DADOS_FORMAS'!$AM4='INVOCAÇÕES'!$AJ$1038,'DADOS_FORMAS'!$AM4='INVOCAÇÕES'!$AK$1038,'DADOS_FORMAS'!$AM4='INVOCAÇÕES'!$AL$1038,'DADOS_FORMAS'!$AM4='INVOCAÇÕES'!$AH$1040,'DADOS_FORMAS'!$AM4='INVOCAÇÕES'!$AI$1040,'DADOS_FORMAS'!$AM4='INVOCAÇÕES'!$AJ$1040,'DADOS_FORMAS'!$AM4='INVOCAÇÕES'!$AK$1040,'DADOS_FORMAS'!$AM4=""),'DADOS_FORMAS'!$AH4,"")</f>
        <v/>
      </c>
      <c r="JP4">
        <f>IF(AND(OR('DADOS_FORMAS'!$AM4='INVOCAÇÕES'!$AH$1038,'DADOS_FORMAS'!$AM4='INVOCAÇÕES'!$AI$1038,'DADOS_FORMAS'!$AM4='INVOCAÇÕES'!$AJ$1038,'DADOS_FORMAS'!$AM4='INVOCAÇÕES'!$AK$1038,'DADOS_FORMAS'!$AM4='INVOCAÇÕES'!$AL$1038,'DADOS_FORMAS'!$AM4='INVOCAÇÕES'!$AH$1040,'DADOS_FORMAS'!$AM4='INVOCAÇÕES'!$AI$1040,'DADOS_FORMAS'!$AM4='INVOCAÇÕES'!$AJ$1040,'DADOS_FORMAS'!$AM4='INVOCAÇÕES'!$AK$1040,'DADOS_FORMAS'!$AM4=""),'DADOS_FORMAS'!$AR4),'DADOS_FORMAS'!$AH4,"")</f>
        <v/>
      </c>
      <c r="JR4" t="inlineStr">
        <is>
          <t>Toque</t>
        </is>
      </c>
      <c r="JS4" t="inlineStr">
        <is>
          <t>Média</t>
        </is>
      </c>
      <c r="JT4" t="inlineStr">
        <is>
          <t>Automático</t>
        </is>
      </c>
      <c r="JU4" t="inlineStr">
        <is>
          <t>Vida temporária</t>
        </is>
      </c>
      <c r="JY4" t="inlineStr">
        <is>
          <t>comprimento</t>
        </is>
      </c>
      <c r="JZ4">
        <f>IFERROR(INDEX('DADOS_CRIACAO'!$H$2:$H$20,2),"")</f>
        <v/>
      </c>
      <c r="KA4">
        <f>IFERROR(INDEX(INDEX('DADOS_RESTRICOES'!$M$2:$Q$54,0,1),2),"")</f>
        <v/>
      </c>
    </row>
    <row r="5">
      <c r="A5">
        <f>IF(ISBLANK('CONFIGURAÇÃO'!$J$1928),"",'CONFIGURAÇÃO'!$J$1928)</f>
        <v/>
      </c>
      <c r="B5">
        <f>IF(ISBLANK('CONFIGURAÇÃO'!$J$1930),"",'CONFIGURAÇÃO'!$J$1930)</f>
        <v/>
      </c>
      <c r="C5">
        <f>IF(ISBLANK('CONFIGURAÇÃO'!$M$1931),"",'CONFIGURAÇÃO'!$M$1931)</f>
        <v/>
      </c>
      <c r="D5">
        <f>IF(ISBLANK('CONFIGURAÇÃO'!$N$1928),"",'CONFIGURAÇÃO'!$N$1928)</f>
        <v/>
      </c>
      <c r="E5">
        <f>IF(ISBLANK('CONFIGURAÇÃO'!$J$1957),"",'CONFIGURAÇÃO'!$J$1957)</f>
        <v/>
      </c>
      <c r="F5">
        <f>IF(ISBLANK('CONFIGURAÇÃO'!$J$1963),"",'CONFIGURAÇÃO'!$J$1963)</f>
        <v/>
      </c>
      <c r="G5">
        <f>IF(ISBLANK('CONFIGURAÇÃO'!$M$1932),"",'CONFIGURAÇÃO'!$M$1932)</f>
        <v/>
      </c>
      <c r="H5">
        <f>IF(ISBLANK('CONFIGURAÇÃO'!$M$1933),"",'CONFIGURAÇÃO'!$M$1933)</f>
        <v/>
      </c>
      <c r="I5">
        <f>IF(ISBLANK('CONFIGURAÇÃO'!$M$1934),"",'CONFIGURAÇÃO'!$M$1934)</f>
        <v/>
      </c>
      <c r="J5">
        <f>IF(ISBLANK('CONFIGURAÇÃO'!$M$1935),"",'CONFIGURAÇÃO'!$M$1935)</f>
        <v/>
      </c>
      <c r="K5">
        <f>IF(ISBLANK('CONFIGURAÇÃO'!$M$1936),"",'CONFIGURAÇÃO'!$M$1936)</f>
        <v/>
      </c>
      <c r="L5">
        <f>IF(ISBLANK('CONFIGURAÇÃO'!$M$1937),"",'CONFIGURAÇÃO'!$M$1937)</f>
        <v/>
      </c>
      <c r="M5">
        <f>IF(ISBLANK('CONFIGURAÇÃO'!$M$1938),"",'CONFIGURAÇÃO'!$M$1938)</f>
        <v/>
      </c>
      <c r="N5">
        <f>IF(ISBLANK('CONFIGURAÇÃO'!$M$1939),"",'CONFIGURAÇÃO'!$M$1939)</f>
        <v/>
      </c>
      <c r="O5">
        <f>IF(ISBLANK('CONFIGURAÇÃO'!$M$1940),"",'CONFIGURAÇÃO'!$M$1940)</f>
        <v/>
      </c>
      <c r="P5">
        <f>IF(ISBLANK('CONFIGURAÇÃO'!$M$1941),"",'CONFIGURAÇÃO'!$M$1941)</f>
        <v/>
      </c>
      <c r="Q5">
        <f>IF(ISBLANK('CONFIGURAÇÃO'!$M$1942),"",'CONFIGURAÇÃO'!$M$1942)</f>
        <v/>
      </c>
      <c r="R5">
        <f>IF(ISBLANK('CONFIGURAÇÃO'!$M$1943),"",'CONFIGURAÇÃO'!$M$1943)</f>
        <v/>
      </c>
      <c r="S5">
        <f>IF(ISBLANK('CONFIGURAÇÃO'!$M$1944),"",'CONFIGURAÇÃO'!$M$1944)</f>
        <v/>
      </c>
      <c r="T5">
        <f>IF(ISBLANK('CONFIGURAÇÃO'!$M$1945),"",'CONFIGURAÇÃO'!$M$1945)</f>
        <v/>
      </c>
      <c r="U5">
        <f>IF(ISBLANK('CONFIGURAÇÃO'!$M$1946),"",'CONFIGURAÇÃO'!$M$1946)</f>
        <v/>
      </c>
      <c r="V5">
        <f>IF(ISBLANK('CONFIGURAÇÃO'!$M$1947),"",'CONFIGURAÇÃO'!$M$1947)</f>
        <v/>
      </c>
      <c r="W5">
        <f>IF(ISBLANK('CONFIGURAÇÃO'!$M$1948),"",'CONFIGURAÇÃO'!$M$1948)</f>
        <v/>
      </c>
      <c r="X5">
        <f>IF(ISBLANK('CONFIGURAÇÃO'!$M$1949),"",'CONFIGURAÇÃO'!$M$1949)</f>
        <v/>
      </c>
      <c r="Y5">
        <f>IF(ISBLANK('CONFIGURAÇÃO'!$M$1950),"",'CONFIGURAÇÃO'!$M$1950)</f>
        <v/>
      </c>
      <c r="Z5">
        <f>IF(ISBLANK('CONFIGURAÇÃO'!$M$1951),"",'CONFIGURAÇÃO'!$M$1951)</f>
        <v/>
      </c>
      <c r="AA5">
        <f>IF(ISBLANK('CONFIGURAÇÃO'!$M$1952),"",'CONFIGURAÇÃO'!$M$1952)</f>
        <v/>
      </c>
      <c r="AB5">
        <f>IF(ISBLANK('CONFIGURAÇÃO'!$M$1953),"",'CONFIGURAÇÃO'!$M$1953)</f>
        <v/>
      </c>
      <c r="AC5">
        <f>IF(ISBLANK('CONFIGURAÇÃO'!$M$1954),"",'CONFIGURAÇÃO'!$M$1954)</f>
        <v/>
      </c>
      <c r="AD5">
        <f>IF($AF5,TEXTJOIN(" · ",TRUE,$DJ5:$FH5),"")</f>
        <v/>
      </c>
      <c r="AE5">
        <f>IF(OR($C5="",$C5="Nenhuma"),0,IFERROR(MATCH(SUBSTITUTE(SUBSTITUTE(SUBSTITUTE($C5,"~","~~"),"*","~*"),"?","~?"),'DADOS_FORMAS'!$AH$2:$AH$11,0),-1))</f>
        <v/>
      </c>
      <c r="AF5">
        <f>OR($B5&lt;&gt;"",$C5&lt;&gt;"",$E5&lt;&gt;"",$F5&lt;&gt;"",$G5&lt;&gt;"",$H5&lt;&gt;"",$I5&lt;&gt;"",$J5&lt;&gt;"",$K5&lt;&gt;"",$L5&lt;&gt;"",$M5&lt;&gt;"",$N5&lt;&gt;"",$O5&lt;&gt;"",$P5&lt;&gt;"",$Q5&lt;&gt;"",$R5&lt;&gt;"",$S5&lt;&gt;"",$T5&lt;&gt;"",$U5&lt;&gt;"",$V5&lt;&gt;"",$W5&lt;&gt;"",$X5&lt;&gt;"",$Y5&lt;&gt;"",$Z5&lt;&gt;"",$AA5&lt;&gt;"",$AB5&lt;&gt;"",$AC5&lt;&gt;"",AND($D5&lt;&gt;"",$D5&lt;&gt;FALSE),AND($A5&lt;&gt;"",$A5&lt;&gt;"Forma"))</f>
        <v/>
      </c>
      <c r="AG5" t="inlineStr">
        <is>
          <t>Forma</t>
        </is>
      </c>
      <c r="AH5" t="inlineStr">
        <is>
          <t>Aura</t>
        </is>
      </c>
      <c r="AI5">
        <f>""</f>
        <v/>
      </c>
      <c r="AJ5" t="b">
        <v>0</v>
      </c>
      <c r="AK5">
        <f>""</f>
        <v/>
      </c>
      <c r="AL5" t="inlineStr">
        <is>
          <t>Esfera de raio 3 m, centrada em você.</t>
        </is>
      </c>
      <c r="AM5" t="inlineStr">
        <is>
          <t>Área</t>
        </is>
      </c>
      <c r="AN5" t="n">
        <v>1</v>
      </c>
      <c r="AO5" t="inlineStr">
        <is>
          <t>TR, metade</t>
        </is>
      </c>
      <c r="AP5" t="n">
        <v>0</v>
      </c>
      <c r="AQ5" t="b">
        <v>1</v>
      </c>
      <c r="AR5" t="b">
        <v>1</v>
      </c>
      <c r="AS5" t="inlineStr">
        <is>
          <t>Corpo a Corpo</t>
        </is>
      </c>
      <c r="AT5" t="inlineStr">
        <is>
          <t>Fixo</t>
        </is>
      </c>
      <c r="AU5" t="inlineStr">
        <is>
          <t>raio</t>
        </is>
      </c>
      <c r="AV5">
        <f>""</f>
        <v/>
      </c>
      <c r="AW5">
        <f>""</f>
        <v/>
      </c>
      <c r="AX5">
        <f>""</f>
        <v/>
      </c>
      <c r="AY5">
        <f>""</f>
        <v/>
      </c>
      <c r="AZ5">
        <f>""</f>
        <v/>
      </c>
      <c r="BA5">
        <f>""</f>
        <v/>
      </c>
      <c r="BB5">
        <f>""</f>
        <v/>
      </c>
      <c r="BC5" t="inlineStr">
        <is>
          <t>3 m</t>
        </is>
      </c>
      <c r="BD5" t="inlineStr">
        <is>
          <t>3 m</t>
        </is>
      </c>
      <c r="BE5" t="inlineStr">
        <is>
          <t>4,5 m</t>
        </is>
      </c>
      <c r="BF5" t="inlineStr">
        <is>
          <t>3 m</t>
        </is>
      </c>
      <c r="BG5" t="inlineStr">
        <is>
          <t>3 m</t>
        </is>
      </c>
      <c r="BH5" t="inlineStr">
        <is>
          <t>3 m</t>
        </is>
      </c>
      <c r="BI5" t="inlineStr">
        <is>
          <t>4,5 m</t>
        </is>
      </c>
      <c r="BJ5" t="inlineStr">
        <is>
          <t>Aura</t>
        </is>
      </c>
      <c r="BK5" t="n">
        <v>0</v>
      </c>
      <c r="BL5" t="inlineStr">
        <is>
          <t>area</t>
        </is>
      </c>
      <c r="BM5" t="inlineStr">
        <is>
          <t xml:space="preserve">raio </t>
        </is>
      </c>
      <c r="BN5" t="inlineStr">
        <is>
          <t>, em você</t>
        </is>
      </c>
      <c r="BO5" t="n">
        <v>2</v>
      </c>
      <c r="BP5">
        <f>""</f>
        <v/>
      </c>
      <c r="BQ5">
        <f>""</f>
        <v/>
      </c>
      <c r="BR5">
        <f>""</f>
        <v/>
      </c>
      <c r="BS5" t="n">
        <v>0</v>
      </c>
      <c r="BV5">
        <f>IF($A5="",IF($AE5&gt;0,INDEX('DADOS_FORMAS'!$AG$2:$AG$11,MAX(1,$AE5)),"Forma"),$A5)</f>
        <v/>
      </c>
      <c r="BW5">
        <f>IF($B5="",IF($AE5&gt;0,INDEX('DADOS_FORMAS'!$AH$2:$AH$11,MAX(1,$AE5)),""),$B5)</f>
        <v/>
      </c>
      <c r="BX5">
        <f>IF($C5="",IF($AE5&gt;0,INDEX('DADOS_FORMAS'!$AI$2:$AI$11,MAX(1,$AE5)),""),$C5)</f>
        <v/>
      </c>
      <c r="BY5">
        <f>IF($D5="",IF($AE5&gt;0,INDEX('DADOS_FORMAS'!$AJ$2:$AJ$11,MAX(1,$AE5)),FALSE),$D5)</f>
        <v/>
      </c>
      <c r="BZ5">
        <f>IF($E5="",IF($AE5&gt;0,INDEX('DADOS_FORMAS'!$AK$2:$AK$11,MAX(1,$AE5)),""),$E5)</f>
        <v/>
      </c>
      <c r="CA5">
        <f>IF($F5="",IF($AE5&gt;0,INDEX('DADOS_FORMAS'!$AL$2:$AL$11,MAX(1,$AE5)),""),$F5)</f>
        <v/>
      </c>
      <c r="CB5">
        <f>IF($G5="Nenhuma","",IF($G5="",IF($AE5&gt;0,INDEX('DADOS_FORMAS'!$AM$2:$AM$11,MAX(1,$AE5)),""),$G5))</f>
        <v/>
      </c>
      <c r="CC5">
        <f>IF($H5="",IF($AE5&gt;0,INDEX('DADOS_FORMAS'!$AN$2:$AN$11,MAX(1,$AE5)),""),IF($H5="Sem custo",0,IF($H5="Leve",1,IF($H5="Média",2,IF($H5="Pesada",3,$H5)))))</f>
        <v/>
      </c>
      <c r="CD5">
        <f>IF($I5="",IF($AE5&gt;0,INDEX('DADOS_FORMAS'!$AO$2:$AO$11,MAX(1,$AE5)),""),$I5)</f>
        <v/>
      </c>
      <c r="CE5">
        <f>IF($J5="",IF($AE5&gt;0,INDEX('DADOS_FORMAS'!$AP$2:$AP$11,MAX(1,$AE5)),""),IF($J5="Dano",0,IF($J5="Cura",1,IF($J5="Vida temporária",2,IF($J5="Efeito",3,$J5)))))</f>
        <v/>
      </c>
      <c r="CF5">
        <f>IF($K5="",IF($AE5&gt;0,INDEX('DADOS_FORMAS'!$AQ$2:$AQ$11,MAX(1,$AE5)),""),IF($K5="Sim",TRUE,IF($K5="Não",FALSE,$K5)))</f>
        <v/>
      </c>
      <c r="CG5">
        <f>IF($L5="",IF($AE5&gt;0,INDEX('DADOS_FORMAS'!$AR$2:$AR$11,MAX(1,$AE5)),""),IF($L5="Sim",TRUE,IF($L5="Não",FALSE,$L5)))</f>
        <v/>
      </c>
      <c r="CH5">
        <f>IF($M5="Nenhuma","",IF($M5="",IF($AE5&gt;0,INDEX('DADOS_FORMAS'!$AS$2:$AS$11,MAX(1,$AE5)),""),$M5))</f>
        <v/>
      </c>
      <c r="CI5">
        <f>IF($N5="",IF($AE5&gt;0,INDEX('DADOS_FORMAS'!$AT$2:$AT$11,MAX(1,$AE5)),"Fixo"),$N5)</f>
        <v/>
      </c>
      <c r="CJ5">
        <f>IF($O5="",IF($AE5&gt;0,INDEX('DADOS_FORMAS'!$AU$2:$AU$11,MAX(1,$AE5)),"Fixo"),$O5)</f>
        <v/>
      </c>
      <c r="CK5">
        <f>IF($P5="",IF($AE5&gt;0,INDEX('DADOS_FORMAS'!$AV$2:$AV$11,MAX(1,$AE5)),""),$P5)</f>
        <v/>
      </c>
      <c r="CL5">
        <f>IF($Q5="",IF($AE5&gt;0,INDEX('DADOS_FORMAS'!$AW$2:$AW$11,MAX(1,$AE5)),""),$Q5)</f>
        <v/>
      </c>
      <c r="CM5">
        <f>IF($R5="",IF($AE5&gt;0,INDEX('DADOS_FORMAS'!$AX$2:$AX$11,MAX(1,$AE5)),""),$R5)</f>
        <v/>
      </c>
      <c r="CN5">
        <f>IF($S5="",IF($AE5&gt;0,INDEX('DADOS_FORMAS'!$AY$2:$AY$11,MAX(1,$AE5)),""),$S5)</f>
        <v/>
      </c>
      <c r="CO5">
        <f>IF($T5="",IF($AE5&gt;0,INDEX('DADOS_FORMAS'!$AZ$2:$AZ$11,MAX(1,$AE5)),""),$T5)</f>
        <v/>
      </c>
      <c r="CP5">
        <f>IF($U5="",IF($AE5&gt;0,INDEX('DADOS_FORMAS'!$BA$2:$BA$11,MAX(1,$AE5)),""),$U5)</f>
        <v/>
      </c>
      <c r="CQ5">
        <f>IF($V5="",IF($AE5&gt;0,INDEX('DADOS_FORMAS'!$BB$2:$BB$11,MAX(1,$AE5)),""),$V5)</f>
        <v/>
      </c>
      <c r="CR5">
        <f>IF($W5="",IF($AE5&gt;0,INDEX('DADOS_FORMAS'!$BC$2:$BC$11,MAX(1,$AE5)),""),$W5)</f>
        <v/>
      </c>
      <c r="CS5">
        <f>IF($X5="",IF($AE5&gt;0,INDEX('DADOS_FORMAS'!$BD$2:$BD$11,MAX(1,$AE5)),""),$X5)</f>
        <v/>
      </c>
      <c r="CT5">
        <f>IF($Y5="",IF($AE5&gt;0,INDEX('DADOS_FORMAS'!$BE$2:$BE$11,MAX(1,$AE5)),""),$Y5)</f>
        <v/>
      </c>
      <c r="CU5">
        <f>IF($Z5="",IF($AE5&gt;0,INDEX('DADOS_FORMAS'!$BF$2:$BF$11,MAX(1,$AE5)),""),$Z5)</f>
        <v/>
      </c>
      <c r="CV5">
        <f>IF($AA5="",IF($AE5&gt;0,INDEX('DADOS_FORMAS'!$BG$2:$BG$11,MAX(1,$AE5)),""),$AA5)</f>
        <v/>
      </c>
      <c r="CW5">
        <f>IF($AB5="",IF($AE5&gt;0,INDEX('DADOS_FORMAS'!$BH$2:$BH$11,MAX(1,$AE5)),""),$AB5)</f>
        <v/>
      </c>
      <c r="CX5">
        <f>IF($AC5="",IF($AE5&gt;0,INDEX('DADOS_FORMAS'!$BI$2:$BI$11,MAX(1,$AE5)),""),$AC5)</f>
        <v/>
      </c>
      <c r="CY5">
        <f>IF($AE5&gt;0,INDEX('DADOS_FORMAS'!$BJ$2:$BJ$11,MAX(1,$AE5)),"")</f>
        <v/>
      </c>
      <c r="CZ5">
        <f>IF($AE5&gt;0,INDEX('DADOS_FORMAS'!$BK$2:$BK$11,MAX(1,$AE5)),0)</f>
        <v/>
      </c>
      <c r="DA5">
        <f>IF($AE5&gt;0,INDEX('DADOS_FORMAS'!$BL$2:$BL$11,MAX(1,$AE5)),"alcance")</f>
        <v/>
      </c>
      <c r="DB5">
        <f>IF($AE5&gt;0,INDEX('DADOS_FORMAS'!$BM$2:$BM$11,MAX(1,$AE5)),"")</f>
        <v/>
      </c>
      <c r="DC5">
        <f>IF($AE5&gt;0,INDEX('DADOS_FORMAS'!$BN$2:$BN$11,MAX(1,$AE5)),"")</f>
        <v/>
      </c>
      <c r="DD5">
        <f>IF($AE5&gt;0,INDEX('DADOS_FORMAS'!$BO$2:$BO$11,MAX(1,$AE5)),1)</f>
        <v/>
      </c>
      <c r="DE5">
        <f>IF(AND($AE5&gt;0,INDEX('DADOS_FORMAS'!$BP$2:$BP$11,MAX(1,$AE5))=""),IF(AND(INDEX('DADOS_FORMAS'!$BL$2:$BL$11,MAX(1,$AE5))="alcance",OR($W5&lt;&gt;"",$X5&lt;&gt;"",$Y5&lt;&gt;"",$Z5&lt;&gt;"",$AA5&lt;&gt;"",$AB5&lt;&gt;"",$AC5&lt;&gt;"")),"area",IF(AND(INDEX('DADOS_FORMAS'!$BL$2:$BL$11,MAX(1,$AE5))="area",OR($P5&lt;&gt;"",$Q5&lt;&gt;"",$R5&lt;&gt;"",$S5&lt;&gt;"",$T5&lt;&gt;"",$U5&lt;&gt;"",$V5&lt;&gt;"")),"alcance","")),IF($AE5&gt;0,INDEX('DADOS_FORMAS'!$BP$2:$BP$11,MAX(1,$AE5)),"area"))</f>
        <v/>
      </c>
      <c r="DF5">
        <f>IF(AND($AE5&gt;0,INDEX('DADOS_FORMAS'!$BP$2:$BP$11,MAX(1,$AE5))=""),IF(IF(AND(INDEX('DADOS_FORMAS'!$BL$2:$BL$11,MAX(1,$AE5))="alcance",OR($W5&lt;&gt;"",$X5&lt;&gt;"",$Y5&lt;&gt;"",$Z5&lt;&gt;"",$AA5&lt;&gt;"",$AB5&lt;&gt;"",$AC5&lt;&gt;"")),"area",IF(AND(INDEX('DADOS_FORMAS'!$BL$2:$BL$11,MAX(1,$AE5))="area",OR($P5&lt;&gt;"",$Q5&lt;&gt;"",$R5&lt;&gt;"",$S5&lt;&gt;"",$T5&lt;&gt;"",$U5&lt;&gt;"",$V5&lt;&gt;"")),"alcance",""))="alcance"," · alcance ",IF(IF(AND(INDEX('DADOS_FORMAS'!$BL$2:$BL$11,MAX(1,$AE5))="alcance",OR($W5&lt;&gt;"",$X5&lt;&gt;"",$Y5&lt;&gt;"",$Z5&lt;&gt;"",$AA5&lt;&gt;"",$AB5&lt;&gt;"",$AC5&lt;&gt;"")),"area",IF(AND(INDEX('DADOS_FORMAS'!$BL$2:$BL$11,MAX(1,$AE5))="area",OR($P5&lt;&gt;"",$Q5&lt;&gt;"",$R5&lt;&gt;"",$S5&lt;&gt;"",$T5&lt;&gt;"",$U5&lt;&gt;"",$V5&lt;&gt;"")),"alcance",""))="area"," · área ","")),IF($AE5&gt;0,INDEX('DADOS_FORMAS'!$BQ$2:$BQ$11,MAX(1,$AE5))," · área "))</f>
        <v/>
      </c>
      <c r="DG5">
        <f>IF(AND($AE5&gt;0,INDEX('DADOS_FORMAS'!$BP$2:$BP$11,MAX(1,$AE5))=""),"",IF($AE5&gt;0,INDEX('DADOS_FORMAS'!$BR$2:$BR$11,MAX(1,$AE5)),""))</f>
        <v/>
      </c>
      <c r="DH5">
        <f>IF(AND($AE5&gt;0,INDEX('DADOS_FORMAS'!$BP$2:$BP$11,MAX(1,$AE5))=""),IF(IF(AND(INDEX('DADOS_FORMAS'!$BL$2:$BL$11,MAX(1,$AE5))="alcance",OR($W5&lt;&gt;"",$X5&lt;&gt;"",$Y5&lt;&gt;"",$Z5&lt;&gt;"",$AA5&lt;&gt;"",$AB5&lt;&gt;"",$AC5&lt;&gt;"")),"area",IF(AND(INDEX('DADOS_FORMAS'!$BL$2:$BL$11,MAX(1,$AE5))="area",OR($P5&lt;&gt;"",$Q5&lt;&gt;"",$R5&lt;&gt;"",$S5&lt;&gt;"",$T5&lt;&gt;"",$U5&lt;&gt;"",$V5&lt;&gt;"")),"alcance",""))="",0,IF(IF(AND(INDEX('DADOS_FORMAS'!$BL$2:$BL$11,MAX(1,$AE5))="alcance",OR($W5&lt;&gt;"",$X5&lt;&gt;"",$Y5&lt;&gt;"",$Z5&lt;&gt;"",$AA5&lt;&gt;"",$AB5&lt;&gt;"",$AC5&lt;&gt;"")),"area",IF(AND(INDEX('DADOS_FORMAS'!$BL$2:$BL$11,MAX(1,$AE5))="area",OR($P5&lt;&gt;"",$Q5&lt;&gt;"",$R5&lt;&gt;"",$S5&lt;&gt;"",$T5&lt;&gt;"",$U5&lt;&gt;"",$V5&lt;&gt;"")),"alcance",""))="alcance",1,IF($O5="comprimento",3,2))),IF($AE5&gt;0,INDEX('DADOS_FORMAS'!$BS$2:$BS$11,MAX(1,$AE5)),IF($O5="comprimento",3,2)))</f>
        <v/>
      </c>
      <c r="DJ5">
        <f>IF(AND(ISTEXT($B5),$B5&lt;&gt;"",TRIM($B5)=$B5),"","NOME precisa ser texto sem espaços nas pontas")</f>
        <v/>
      </c>
      <c r="DK5">
        <f>IF(COUNTIF('DADOS_FORMAS'!$B$2:$B$11,SUBSTITUTE(SUBSTITUTE(SUBSTITUTE($B5,"~","~~"),"*","~*"),"?","~?"))+COUNTIF('DADOS_FORMAS'!$AH$2:$AH$11,SUBSTITUTE(SUBSTITUTE(SUBSTITUTE($B5,"~","~~"),"*","~*"),"?","~?"))=1,"","Nome repetido no livro ou custom")</f>
        <v/>
      </c>
      <c r="DL5">
        <f>IF($AE5&gt;=0,"","BASE DO LIVRO inválida para o grupo")</f>
        <v/>
      </c>
      <c r="DM5">
        <f>IF(OR($BV5="Forma"),"","TIPO inválido para o grupo")</f>
        <v/>
      </c>
      <c r="DN5">
        <f>IF(ISLOGICAL($BY5),"","MESTRE VIU precisa ser caixa de seleção")</f>
        <v/>
      </c>
      <c r="DO5">
        <f>IF(ISTEXT($CA5),"","EFEITO precisa ser texto")</f>
        <v/>
      </c>
      <c r="DP5">
        <f>IF(ISTEXT($BZ5),"","REQUISITOS precisa ser texto")</f>
        <v/>
      </c>
      <c r="DQ5">
        <f>IF(IFERROR(AND(ISNUMBER($CC5),NOT(ISLOGICAL($CC5)),$CC5=INT($CC5),$CC5&gt;=0,$CC5&lt;=3),FALSE),"","PESO exige 0/1/2/3")</f>
        <v/>
      </c>
      <c r="DR5">
        <f>IF(IFERROR(AND(ISNUMBER($CE5),NOT(ISLOGICAL($CE5)),$CE5=INT($CE5),$CE5&gt;=0,$CE5&lt;=3),FALSE),"","RESULTADO exige 0/1/2/3")</f>
        <v/>
      </c>
      <c r="DS5">
        <f>IF(ISLOGICAL($CF5),"","EXIGE_TR exige Sim/Não")</f>
        <v/>
      </c>
      <c r="DT5">
        <f>IF(ISLOGICAL($CG5),"","CLASSE_0 exige Sim/Não")</f>
        <v/>
      </c>
      <c r="DU5">
        <f>IF(OR($CD5="Acerto",$CD5="TR, metade",$CD5="Automático"),"","RESOLUÇÃO inválida")</f>
        <v/>
      </c>
      <c r="DV5">
        <f>IF(OR($CB5="",COUNTIF('DADOS_CRIACAO'!$H$2:$H$20,SUBSTITUTE(SUBSTITUTE(SUBSTITUTE($CB5,"~","~~"),"*","~*"),"?","~?"))&gt;0),"","FAMÍLIA não cadastrada ou inválida")</f>
        <v/>
      </c>
      <c r="DW5">
        <f>IF(OR($CH5="",IFERROR(MATCH(SUBSTITUTE(SUBSTITUTE(SUBSTITUTE($CH5,"~","~~"),"*","~*"),"?","~?"),INDEX('DADOS_RESTRICOES'!$M$2:$Q$54,0,1),0),0)&gt;0),"","RESTRIÇÃO EMBUTIDA inválida")</f>
        <v/>
      </c>
      <c r="DX5">
        <f>IF(OR($CI5="Fixo",$CI5="alcance"),"","ESCADA inválida para alcance")</f>
        <v/>
      </c>
      <c r="DY5">
        <f>IF(OR(NOT(AND($CG5,OR($DA5="alcance",$DE5="alcance"))),$CK5&lt;&gt;""),"","Base de alcance ausente: personagem/classe_0")</f>
        <v/>
      </c>
      <c r="DZ5">
        <f>IF(ISTEXT($CK5),"","Base precisa ser texto: alcance/personagem/classe_0")</f>
        <v/>
      </c>
      <c r="EA5">
        <f>IF(OR(NOT(AND($CG5,OR($DA5="alcance",$DE5="alcance"))),$CI5="Fixo",$CK5="",$CK5="—",AND(RIGHT($CK5,2)=" m",IFERROR(VALUE(SUBSTITUTE(LEFT($CK5,MAX(0,LEN($CK5)-2)),",",""))/10^IFERROR(LEN(LEFT($CK5,MAX(0,LEN($CK5)-2)))-FIND(",",LEFT($CK5,MAX(0,LEN($CK5)-2))),0),-1)&gt;0)),"","Base incompatível com escada: alcance/personagem/classe_0")</f>
        <v/>
      </c>
      <c r="EB5">
        <f>IF(OR(NOT(OR($DA5="alcance",$DE5="alcance")),$CL5&lt;&gt;""),"","Base de alcance ausente: personagem/classes_1_a_5")</f>
        <v/>
      </c>
      <c r="EC5">
        <f>IF(ISTEXT($CL5),"","Base precisa ser texto: alcance/personagem/classes_1_a_5")</f>
        <v/>
      </c>
      <c r="ED5">
        <f>IF(OR(NOT(OR($DA5="alcance",$DE5="alcance")),$CI5="Fixo",$CL5="",$CL5="—",AND(RIGHT($CL5,2)=" m",IFERROR(VALUE(SUBSTITUTE(LEFT($CL5,MAX(0,LEN($CL5)-2)),",",""))/10^IFERROR(LEN(LEFT($CL5,MAX(0,LEN($CL5)-2)))-FIND(",",LEFT($CL5,MAX(0,LEN($CL5)-2))),0),-1)&gt;0)),"","Base incompatível com escada: alcance/personagem/classes_1_a_5")</f>
        <v/>
      </c>
      <c r="EE5">
        <f>IF(OR(NOT(OR($DA5="alcance",$DE5="alcance")),$CM5&lt;&gt;""),"","Base de alcance ausente: personagem/classes_6_e_7")</f>
        <v/>
      </c>
      <c r="EF5">
        <f>IF(ISTEXT($CM5),"","Base precisa ser texto: alcance/personagem/classes_6_e_7")</f>
        <v/>
      </c>
      <c r="EG5">
        <f>IF(OR(NOT(OR($DA5="alcance",$DE5="alcance")),$CI5="Fixo",$CM5="",$CM5="—",AND(RIGHT($CM5,2)=" m",IFERROR(VALUE(SUBSTITUTE(LEFT($CM5,MAX(0,LEN($CM5)-2)),",",""))/10^IFERROR(LEN(LEFT($CM5,MAX(0,LEN($CM5)-2)))-FIND(",",LEFT($CM5,MAX(0,LEN($CM5)-2))),0),-1)&gt;0)),"","Base incompatível com escada: alcance/personagem/classes_6_e_7")</f>
        <v/>
      </c>
      <c r="EH5">
        <f>IF(OR(NOT(AND($CG5,OR($DA5="alcance",$DE5="alcance"))),$CN5&lt;&gt;""),"","Base de alcance ausente: entidade/classe_0")</f>
        <v/>
      </c>
      <c r="EI5">
        <f>IF(ISTEXT($CN5),"","Base precisa ser texto: alcance/entidade/classe_0")</f>
        <v/>
      </c>
      <c r="EJ5">
        <f>IF(OR(NOT(AND($CG5,OR($DA5="alcance",$DE5="alcance"))),$CI5="Fixo",$CN5="",$CN5="—",AND(RIGHT($CN5,2)=" m",IFERROR(VALUE(SUBSTITUTE(LEFT($CN5,MAX(0,LEN($CN5)-2)),",",""))/10^IFERROR(LEN(LEFT($CN5,MAX(0,LEN($CN5)-2)))-FIND(",",LEFT($CN5,MAX(0,LEN($CN5)-2))),0),-1)&gt;0)),"","Base incompatível com escada: alcance/entidade/classe_0")</f>
        <v/>
      </c>
      <c r="EK5">
        <f>IF(OR(NOT(OR($DA5="alcance",$DE5="alcance")),$CO5&lt;&gt;""),"","Base de alcance ausente: entidade/classes_1_a_5")</f>
        <v/>
      </c>
      <c r="EL5">
        <f>IF(ISTEXT($CO5),"","Base precisa ser texto: alcance/entidade/classes_1_a_5")</f>
        <v/>
      </c>
      <c r="EM5">
        <f>IF(OR(NOT(OR($DA5="alcance",$DE5="alcance")),$CI5="Fixo",$CO5="",$CO5="—",AND(RIGHT($CO5,2)=" m",IFERROR(VALUE(SUBSTITUTE(LEFT($CO5,MAX(0,LEN($CO5)-2)),",",""))/10^IFERROR(LEN(LEFT($CO5,MAX(0,LEN($CO5)-2)))-FIND(",",LEFT($CO5,MAX(0,LEN($CO5)-2))),0),-1)&gt;0)),"","Base incompatível com escada: alcance/entidade/classes_1_a_5")</f>
        <v/>
      </c>
      <c r="EN5">
        <f>IF(OR(NOT(OR($DA5="alcance",$DE5="alcance")),$CP5&lt;&gt;""),"","Base de alcance ausente: entidade/classe_6")</f>
        <v/>
      </c>
      <c r="EO5">
        <f>IF(ISTEXT($CP5),"","Base precisa ser texto: alcance/entidade/classe_6")</f>
        <v/>
      </c>
      <c r="EP5">
        <f>IF(OR(NOT(OR($DA5="alcance",$DE5="alcance")),$CI5="Fixo",$CP5="",$CP5="—",AND(RIGHT($CP5,2)=" m",IFERROR(VALUE(SUBSTITUTE(LEFT($CP5,MAX(0,LEN($CP5)-2)),",",""))/10^IFERROR(LEN(LEFT($CP5,MAX(0,LEN($CP5)-2)))-FIND(",",LEFT($CP5,MAX(0,LEN($CP5)-2))),0),-1)&gt;0)),"","Base incompatível com escada: alcance/entidade/classe_6")</f>
        <v/>
      </c>
      <c r="EQ5">
        <f>IF(OR(NOT(OR($DA5="alcance",$DE5="alcance")),$CQ5&lt;&gt;""),"","Base de alcance ausente: entidade/classe_7")</f>
        <v/>
      </c>
      <c r="ER5">
        <f>IF(ISTEXT($CQ5),"","Base precisa ser texto: alcance/entidade/classe_7")</f>
        <v/>
      </c>
      <c r="ES5">
        <f>IF(OR(NOT(OR($DA5="alcance",$DE5="alcance")),$CI5="Fixo",$CQ5="",$CQ5="—",AND(RIGHT($CQ5,2)=" m",IFERROR(VALUE(SUBSTITUTE(LEFT($CQ5,MAX(0,LEN($CQ5)-2)),",",""))/10^IFERROR(LEN(LEFT($CQ5,MAX(0,LEN($CQ5)-2)))-FIND(",",LEFT($CQ5,MAX(0,LEN($CQ5)-2))),0),-1)&gt;0)),"","Base incompatível com escada: alcance/entidade/classe_7")</f>
        <v/>
      </c>
      <c r="ET5">
        <f>IF(OR($CJ5="Fixo",$CJ5="raio",$CJ5="comprimento"),"","ESCADA inválida para area")</f>
        <v/>
      </c>
      <c r="EU5">
        <f>IF(ISTEXT($CR5),"","Base precisa ser texto: area/personagem/classe_0")</f>
        <v/>
      </c>
      <c r="EV5">
        <f>IF(OR(NOT(AND($CG5,OR($DA5="area",$DE5="area"))),$CJ5="Fixo",$CR5="",$CR5="—",AND(AND(AND(RIGHT($CR5,2)=" m",IFERROR(VALUE(SUBSTITUTE(LEFT($CR5,MAX(0,LEN($CR5)-2)),",",""))/10^IFERROR(LEN(LEFT($CR5,MAX(0,LEN($CR5)-2)))-FIND(",",LEFT($CR5,MAX(0,LEN($CR5)-2))),0),-1)&gt;0),OR($CJ5&lt;&gt;"raio",IFERROR(VALUE(SUBSTITUTE(LEFT($CR5,MAX(0,LEN($CR5)-2)),",",""))/10^IFERROR(LEN(LEFT($CR5,MAX(0,LEN($CR5)-2)))-FIND(",",LEFT($CR5,MAX(0,LEN($CR5)-2))),0),-1)&lt;=15.0)),OR($CJ5&lt;&gt;"comprimento",IFERROR(VALUE(SUBSTITUTE(LEFT($CR5,MAX(0,LEN($CR5)-2)),",",""))/10^IFERROR(LEN(LEFT($CR5,MAX(0,LEN($CR5)-2)))-FIND(",",LEFT($CR5,MAX(0,LEN($CR5)-2))),0),-1)&lt;=60.0))),"","Base incompatível com escada: area/personagem/classe_0")</f>
        <v/>
      </c>
      <c r="EW5">
        <f>IF(ISTEXT($CS5),"","Base precisa ser texto: area/personagem/classes_1_a_5")</f>
        <v/>
      </c>
      <c r="EX5">
        <f>IF(OR(NOT(OR($DA5="area",$DE5="area")),$CJ5="Fixo",$CS5="",$CS5="—",AND(AND(AND(RIGHT($CS5,2)=" m",IFERROR(VALUE(SUBSTITUTE(LEFT($CS5,MAX(0,LEN($CS5)-2)),",",""))/10^IFERROR(LEN(LEFT($CS5,MAX(0,LEN($CS5)-2)))-FIND(",",LEFT($CS5,MAX(0,LEN($CS5)-2))),0),-1)&gt;0),OR($CJ5&lt;&gt;"raio",IFERROR(VALUE(SUBSTITUTE(LEFT($CS5,MAX(0,LEN($CS5)-2)),",",""))/10^IFERROR(LEN(LEFT($CS5,MAX(0,LEN($CS5)-2)))-FIND(",",LEFT($CS5,MAX(0,LEN($CS5)-2))),0),-1)&lt;=15.0)),OR($CJ5&lt;&gt;"comprimento",IFERROR(VALUE(SUBSTITUTE(LEFT($CS5,MAX(0,LEN($CS5)-2)),",",""))/10^IFERROR(LEN(LEFT($CS5,MAX(0,LEN($CS5)-2)))-FIND(",",LEFT($CS5,MAX(0,LEN($CS5)-2))),0),-1)&lt;=60.0))),"","Base incompatível com escada: area/personagem/classes_1_a_5")</f>
        <v/>
      </c>
      <c r="EY5">
        <f>IF(ISTEXT($CT5),"","Base precisa ser texto: area/personagem/classes_6_e_7")</f>
        <v/>
      </c>
      <c r="EZ5">
        <f>IF(OR(NOT(OR($DA5="area",$DE5="area")),$CJ5="Fixo",$CT5="",$CT5="—",AND(AND(AND(RIGHT($CT5,2)=" m",IFERROR(VALUE(SUBSTITUTE(LEFT($CT5,MAX(0,LEN($CT5)-2)),",",""))/10^IFERROR(LEN(LEFT($CT5,MAX(0,LEN($CT5)-2)))-FIND(",",LEFT($CT5,MAX(0,LEN($CT5)-2))),0),-1)&gt;0),OR($CJ5&lt;&gt;"raio",IFERROR(VALUE(SUBSTITUTE(LEFT($CT5,MAX(0,LEN($CT5)-2)),",",""))/10^IFERROR(LEN(LEFT($CT5,MAX(0,LEN($CT5)-2)))-FIND(",",LEFT($CT5,MAX(0,LEN($CT5)-2))),0),-1)&lt;=15.0)),OR($CJ5&lt;&gt;"comprimento",IFERROR(VALUE(SUBSTITUTE(LEFT($CT5,MAX(0,LEN($CT5)-2)),",",""))/10^IFERROR(LEN(LEFT($CT5,MAX(0,LEN($CT5)-2)))-FIND(",",LEFT($CT5,MAX(0,LEN($CT5)-2))),0),-1)&lt;=60.0))),"","Base incompatível com escada: area/personagem/classes_6_e_7")</f>
        <v/>
      </c>
      <c r="FA5">
        <f>IF(ISTEXT($CU5),"","Base precisa ser texto: area/entidade/classe_0")</f>
        <v/>
      </c>
      <c r="FB5">
        <f>IF(OR(NOT(AND($CG5,OR($DA5="area",$DE5="area"))),$CJ5="Fixo",$CU5="",$CU5="—",AND(AND(AND(RIGHT($CU5,2)=" m",IFERROR(VALUE(SUBSTITUTE(LEFT($CU5,MAX(0,LEN($CU5)-2)),",",""))/10^IFERROR(LEN(LEFT($CU5,MAX(0,LEN($CU5)-2)))-FIND(",",LEFT($CU5,MAX(0,LEN($CU5)-2))),0),-1)&gt;0),OR($CJ5&lt;&gt;"raio",IFERROR(VALUE(SUBSTITUTE(LEFT($CU5,MAX(0,LEN($CU5)-2)),",",""))/10^IFERROR(LEN(LEFT($CU5,MAX(0,LEN($CU5)-2)))-FIND(",",LEFT($CU5,MAX(0,LEN($CU5)-2))),0),-1)&lt;=15.0)),OR($CJ5&lt;&gt;"comprimento",IFERROR(VALUE(SUBSTITUTE(LEFT($CU5,MAX(0,LEN($CU5)-2)),",",""))/10^IFERROR(LEN(LEFT($CU5,MAX(0,LEN($CU5)-2)))-FIND(",",LEFT($CU5,MAX(0,LEN($CU5)-2))),0),-1)&lt;=60.0))),"","Base incompatível com escada: area/entidade/classe_0")</f>
        <v/>
      </c>
      <c r="FC5">
        <f>IF(ISTEXT($CV5),"","Base precisa ser texto: area/entidade/classes_1_a_5")</f>
        <v/>
      </c>
      <c r="FD5">
        <f>IF(OR(NOT(OR($DA5="area",$DE5="area")),$CJ5="Fixo",$CV5="",$CV5="—",AND(AND(AND(RIGHT($CV5,2)=" m",IFERROR(VALUE(SUBSTITUTE(LEFT($CV5,MAX(0,LEN($CV5)-2)),",",""))/10^IFERROR(LEN(LEFT($CV5,MAX(0,LEN($CV5)-2)))-FIND(",",LEFT($CV5,MAX(0,LEN($CV5)-2))),0),-1)&gt;0),OR($CJ5&lt;&gt;"raio",IFERROR(VALUE(SUBSTITUTE(LEFT($CV5,MAX(0,LEN($CV5)-2)),",",""))/10^IFERROR(LEN(LEFT($CV5,MAX(0,LEN($CV5)-2)))-FIND(",",LEFT($CV5,MAX(0,LEN($CV5)-2))),0),-1)&lt;=15.0)),OR($CJ5&lt;&gt;"comprimento",IFERROR(VALUE(SUBSTITUTE(LEFT($CV5,MAX(0,LEN($CV5)-2)),",",""))/10^IFERROR(LEN(LEFT($CV5,MAX(0,LEN($CV5)-2)))-FIND(",",LEFT($CV5,MAX(0,LEN($CV5)-2))),0),-1)&lt;=60.0))),"","Base incompatível com escada: area/entidade/classes_1_a_5")</f>
        <v/>
      </c>
      <c r="FE5">
        <f>IF(ISTEXT($CW5),"","Base precisa ser texto: area/entidade/classe_6")</f>
        <v/>
      </c>
      <c r="FF5">
        <f>IF(OR(NOT(OR($DA5="area",$DE5="area")),$CJ5="Fixo",$CW5="",$CW5="—",AND(AND(AND(RIGHT($CW5,2)=" m",IFERROR(VALUE(SUBSTITUTE(LEFT($CW5,MAX(0,LEN($CW5)-2)),",",""))/10^IFERROR(LEN(LEFT($CW5,MAX(0,LEN($CW5)-2)))-FIND(",",LEFT($CW5,MAX(0,LEN($CW5)-2))),0),-1)&gt;0),OR($CJ5&lt;&gt;"raio",IFERROR(VALUE(SUBSTITUTE(LEFT($CW5,MAX(0,LEN($CW5)-2)),",",""))/10^IFERROR(LEN(LEFT($CW5,MAX(0,LEN($CW5)-2)))-FIND(",",LEFT($CW5,MAX(0,LEN($CW5)-2))),0),-1)&lt;=15.0)),OR($CJ5&lt;&gt;"comprimento",IFERROR(VALUE(SUBSTITUTE(LEFT($CW5,MAX(0,LEN($CW5)-2)),",",""))/10^IFERROR(LEN(LEFT($CW5,MAX(0,LEN($CW5)-2)))-FIND(",",LEFT($CW5,MAX(0,LEN($CW5)-2))),0),-1)&lt;=60.0))),"","Base incompatível com escada: area/entidade/classe_6")</f>
        <v/>
      </c>
      <c r="FG5">
        <f>IF(ISTEXT($CX5),"","Base precisa ser texto: area/entidade/classe_7")</f>
        <v/>
      </c>
      <c r="FH5">
        <f>IF(OR(NOT(OR($DA5="area",$DE5="area")),$CJ5="Fixo",$CX5="",$CX5="—",AND(AND(AND(RIGHT($CX5,2)=" m",IFERROR(VALUE(SUBSTITUTE(LEFT($CX5,MAX(0,LEN($CX5)-2)),",",""))/10^IFERROR(LEN(LEFT($CX5,MAX(0,LEN($CX5)-2)))-FIND(",",LEFT($CX5,MAX(0,LEN($CX5)-2))),0),-1)&gt;0),OR($CJ5&lt;&gt;"raio",IFERROR(VALUE(SUBSTITUTE(LEFT($CX5,MAX(0,LEN($CX5)-2)),",",""))/10^IFERROR(LEN(LEFT($CX5,MAX(0,LEN($CX5)-2)))-FIND(",",LEFT($CX5,MAX(0,LEN($CX5)-2))),0),-1)&lt;=15.0)),OR($CJ5&lt;&gt;"comprimento",IFERROR(VALUE(SUBSTITUTE(LEFT($CX5,MAX(0,LEN($CX5)-2)),",",""))/10^IFERROR(LEN(LEFT($CX5,MAX(0,LEN($CX5)-2)))-FIND(",",LEFT($CX5,MAX(0,LEN($CX5)-2))),0),-1)&lt;=60.0))),"","Base incompatível com escada: area/entidade/classe_7")</f>
        <v/>
      </c>
      <c r="FJ5">
        <f>'DADOS_FORMAS'!$AH5</f>
        <v/>
      </c>
      <c r="FK5">
        <f>'DADOS_FORMAS'!$AM5</f>
        <v/>
      </c>
      <c r="FL5">
        <f>'DADOS_FORMAS'!$AN5</f>
        <v/>
      </c>
      <c r="FM5">
        <f>IF('DADOS_FORMAS'!$AN5=0,0,'DADOS_FORMAS'!$AN5+3*IFERROR(VLOOKUP(SUBSTITUTE(SUBSTITUTE(SUBSTITUTE('DADOS_FORMAS'!$AM5,"~","~~"),"*","~*"),"?","~?"),'DADOS_CRIACAO'!$H$2:$K$20,3,FALSE),0))</f>
        <v/>
      </c>
      <c r="FN5">
        <f>IFERROR(VLOOKUP(SUBSTITUTE(SUBSTITUTE(SUBSTITUTE('DADOS_FORMAS'!$AM5,"~","~~"),"*","~*"),"?","~?"),'DADOS_CRIACAO'!$H$2:$K$20,4,FALSE),0)</f>
        <v/>
      </c>
      <c r="FO5">
        <f>IF('DADOS_FORMAS'!$AS5="",0,1)</f>
        <v/>
      </c>
      <c r="FP5">
        <f>'DADOS_FORMAS'!$AP5</f>
        <v/>
      </c>
      <c r="FQ5">
        <f>IF(AND('DADOS_FORMAS'!$AO5="Acerto",'DADOS_FORMAS'!$AQ5),"Acerto + TR",'DADOS_FORMAS'!$AO5)</f>
        <v/>
      </c>
      <c r="FR5">
        <f>N(OR('DADOS_FORMAS'!$AQ5,'DADOS_FORMAS'!$AO5="TR, metade"))</f>
        <v/>
      </c>
      <c r="FS5">
        <f>'DADOS_FORMAS'!$BO5</f>
        <v/>
      </c>
      <c r="FT5">
        <f>'DADOS_FORMAS'!$BS5</f>
        <v/>
      </c>
      <c r="FU5">
        <f>'DADOS_FORMAS'!$BK5</f>
        <v/>
      </c>
      <c r="FV5">
        <f>N('DADOS_FORMAS'!$AR5)</f>
        <v/>
      </c>
      <c r="FW5">
        <f>IF(IFERROR(VLOOKUP(SUBSTITUTE(SUBSTITUTE(SUBSTITUTE('DADOS_FORMAS'!$AM5,"~","~~"),"*","~*"),"?","~?"),'DADOS_CRIACAO'!$H$2:$K$20,4,FALSE),0)=1,"",'DADOS_FORMAS'!$AH5)</f>
        <v/>
      </c>
      <c r="FX5">
        <f>IF(AND('DADOS_FORMAS'!$AR5,IFERROR(VLOOKUP(SUBSTITUTE(SUBSTITUTE(SUBSTITUTE('DADOS_FORMAS'!$AM5,"~","~~"),"*","~*"),"?","~?"),'DADOS_CRIACAO'!$H$2:$K$20,4,FALSE),0)=0),'DADOS_FORMAS'!$AH5,"")</f>
        <v/>
      </c>
      <c r="FZ5">
        <f>'DADOS_FORMAS'!$AH5</f>
        <v/>
      </c>
      <c r="GA5">
        <f>'DADOS_FORMAS'!$AM5</f>
        <v/>
      </c>
      <c r="GB5">
        <f>'DADOS_FORMAS'!$AN5</f>
        <v/>
      </c>
      <c r="GC5">
        <f>IF('DADOS_FORMAS'!$AS5="",0,1)</f>
        <v/>
      </c>
      <c r="GD5">
        <f>'DADOS_FORMAS'!$AP5</f>
        <v/>
      </c>
      <c r="GE5">
        <f>IF('DADOS_FORMAS'!$AO5="Acerto","Ataque",IF('DADOS_FORMAS'!$AQ5,"TR","—"))</f>
        <v/>
      </c>
      <c r="GF5">
        <f>N(OR('DADOS_FORMAS'!$AQ5,'DADOS_FORMAS'!$AO5="TR, metade"))</f>
        <v/>
      </c>
      <c r="GG5">
        <f>'DADOS_FORMAS'!$BO5</f>
        <v/>
      </c>
      <c r="GH5">
        <f>'DADOS_FORMAS'!$BS5</f>
        <v/>
      </c>
      <c r="GI5">
        <f>'DADOS_FORMAS'!$BK5</f>
        <v/>
      </c>
      <c r="GJ5">
        <f>N('DADOS_FORMAS'!$AR5)</f>
        <v/>
      </c>
      <c r="GL5" t="inlineStr">
        <is>
          <t>36 m</t>
        </is>
      </c>
      <c r="GN5" t="inlineStr">
        <is>
          <t>9 m</t>
        </is>
      </c>
      <c r="GP5" t="inlineStr">
        <is>
          <t>30 m</t>
        </is>
      </c>
      <c r="GR5">
        <f>'DADOS_FORMAS'!$BP12</f>
        <v/>
      </c>
      <c r="GS5">
        <f>IF('DADOS_FORMAS'!$BP12="area",'DADOS_FORMAS'!$AU12,'DADOS_FORMAS'!$AT12)</f>
        <v/>
      </c>
      <c r="GT5">
        <f>IF('DADOS_FORMAS'!$BP12="area",'DADOS_FORMAS'!$BD12,'DADOS_FORMAS'!$AW12)</f>
        <v/>
      </c>
      <c r="GU5">
        <f>'DADOS_FORMAS'!$BQ12</f>
        <v/>
      </c>
      <c r="GV5">
        <f>'DADOS_FORMAS'!$BR12</f>
        <v/>
      </c>
      <c r="GW5">
        <f>LET(base,'DADOS_FORMAS'!$GT5,escada,'DADOS_FORMAS'!$GS5,medida,LEFT(base,MAX(0,LEN(base)-2)),valor,IFERROR(VALUE(SUBSTITUTE(medida,",",""))/10^IFERROR(LEN(medida)-FIND(",",medida),0),1E99),IF(OR(escada="Fixo",base="—"),base,IF(escada="alcance",IFERROR(MATCH(base,{"1,5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 t="inlineStr">
        <is>
          <t>Toque · classe 0</t>
        </is>
      </c>
      <c r="GZ5" t="inlineStr">
        <is>
          <t>1,5 m, um alvo</t>
        </is>
      </c>
      <c r="HA5" t="inlineStr">
        <is>
          <t>1,5 m, um alvo</t>
        </is>
      </c>
      <c r="HB5" t="inlineStr">
        <is>
          <t>1,5 m, um alvo</t>
        </is>
      </c>
      <c r="HC5" t="inlineStr">
        <is>
          <t>1,5 m, um alvo</t>
        </is>
      </c>
      <c r="HD5" t="inlineStr">
        <is>
          <t>1,5 m, um alvo</t>
        </is>
      </c>
      <c r="HE5" t="inlineStr">
        <is>
          <t>1,5 m, um alvo</t>
        </is>
      </c>
      <c r="HF5" t="inlineStr"/>
      <c r="HG5" t="inlineStr"/>
      <c r="HH5" t="inlineStr"/>
      <c r="HI5" t="inlineStr"/>
      <c r="HJ5" t="inlineStr"/>
      <c r="HK5" t="inlineStr"/>
      <c r="HM5">
        <f>'DADOS_FORMAS'!$BP12</f>
        <v/>
      </c>
      <c r="HN5">
        <f>IF('DADOS_FORMAS'!$BP12="area",'DADOS_FORMAS'!$AU12,'DADOS_FORMAS'!$AT12)</f>
        <v/>
      </c>
      <c r="HO5">
        <f>IF('DADOS_FORMAS'!$BP12="area",'DADOS_FORMAS'!$BG12,'DADOS_FORMAS'!$AZ12)</f>
        <v/>
      </c>
      <c r="HP5">
        <f>'DADOS_FORMAS'!$BQ12</f>
        <v/>
      </c>
      <c r="HQ5">
        <f>'DADOS_FORMAS'!$BR12</f>
        <v/>
      </c>
      <c r="HR5">
        <f>LET(base,'DADOS_FORMAS'!$HO5,escada,'DADOS_FORMAS'!$HN5,medida,LEFT(base,MAX(0,LEN(base)-2)),valor,IFERROR(VALUE(SUBSTITUTE(medida,",",""))/10^IFERROR(LEN(medida)-FIND(",",medida),0),1E99),IF(OR(escada="Fixo",base="—"),base,IF(escada="alcance",IFERROR(MATCH(base,{"1,5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 t="inlineStr">
        <is>
          <t>Projétil · classe 7</t>
        </is>
      </c>
      <c r="HU5" t="inlineStr">
        <is>
          <t>36 m, um alvo</t>
        </is>
      </c>
      <c r="HV5" t="inlineStr">
        <is>
          <t>90 m, um alvo</t>
        </is>
      </c>
      <c r="HW5" t="inlineStr">
        <is>
          <t>Visão a olho nu, um alvo</t>
        </is>
      </c>
      <c r="HX5" t="inlineStr">
        <is>
          <t>Visão a olho nu, um alvo</t>
        </is>
      </c>
      <c r="HY5" t="inlineStr">
        <is>
          <t>Visão a olho nu, um alvo</t>
        </is>
      </c>
      <c r="HZ5" t="inlineStr">
        <is>
          <t>Visão a olho nu, um alvo</t>
        </is>
      </c>
      <c r="IA5" t="inlineStr"/>
      <c r="IB5" t="inlineStr"/>
      <c r="IC5" t="inlineStr"/>
      <c r="ID5" t="inlineStr"/>
      <c r="IE5" t="inlineStr"/>
      <c r="IF5" t="inlineStr"/>
      <c r="IH5">
        <f>IF(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H5,"")</f>
        <v/>
      </c>
      <c r="II5">
        <f>IF(AND(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R5),'DADOS_FORMAS'!$AH5,"")</f>
        <v/>
      </c>
      <c r="IK5">
        <f>IF(OR('DADOS_FORMAS'!$AM5='INVOCAÇÕES'!$O$246,'DADOS_FORMAS'!$AM5='INVOCAÇÕES'!$P$246,'DADOS_FORMAS'!$AM5='INVOCAÇÕES'!$Q$246,'DADOS_FORMAS'!$AM5='INVOCAÇÕES'!$R$246,'DADOS_FORMAS'!$AM5='INVOCAÇÕES'!$S$246,'DADOS_FORMAS'!$AM5='INVOCAÇÕES'!$O$248,'DADOS_FORMAS'!$AM5='INVOCAÇÕES'!$P$248,'DADOS_FORMAS'!$AM5='INVOCAÇÕES'!$Q$248,'DADOS_FORMAS'!$AM5='INVOCAÇÕES'!$R$248,'DADOS_FORMAS'!$AM5=""),'DADOS_FORMAS'!$AH5,"")</f>
        <v/>
      </c>
      <c r="IL5">
        <f>IF(AND(OR('DADOS_FORMAS'!$AM5='INVOCAÇÕES'!$O$246,'DADOS_FORMAS'!$AM5='INVOCAÇÕES'!$P$246,'DADOS_FORMAS'!$AM5='INVOCAÇÕES'!$Q$246,'DADOS_FORMAS'!$AM5='INVOCAÇÕES'!$R$246,'DADOS_FORMAS'!$AM5='INVOCAÇÕES'!$S$246,'DADOS_FORMAS'!$AM5='INVOCAÇÕES'!$O$248,'DADOS_FORMAS'!$AM5='INVOCAÇÕES'!$P$248,'DADOS_FORMAS'!$AM5='INVOCAÇÕES'!$Q$248,'DADOS_FORMAS'!$AM5='INVOCAÇÕES'!$R$248,'DADOS_FORMAS'!$AM5=""),'DADOS_FORMAS'!$AR5),'DADOS_FORMAS'!$AH5,"")</f>
        <v/>
      </c>
      <c r="IN5">
        <f>IF(OR('DADOS_FORMAS'!$AM5='INVOCAÇÕES'!$O$444,'DADOS_FORMAS'!$AM5='INVOCAÇÕES'!$P$444,'DADOS_FORMAS'!$AM5='INVOCAÇÕES'!$Q$444,'DADOS_FORMAS'!$AM5='INVOCAÇÕES'!$R$444,'DADOS_FORMAS'!$AM5='INVOCAÇÕES'!$S$444,'DADOS_FORMAS'!$AM5='INVOCAÇÕES'!$O$446,'DADOS_FORMAS'!$AM5='INVOCAÇÕES'!$P$446,'DADOS_FORMAS'!$AM5='INVOCAÇÕES'!$Q$446,'DADOS_FORMAS'!$AM5='INVOCAÇÕES'!$R$446,'DADOS_FORMAS'!$AM5=""),'DADOS_FORMAS'!$AH5,"")</f>
        <v/>
      </c>
      <c r="IO5">
        <f>IF(AND(OR('DADOS_FORMAS'!$AM5='INVOCAÇÕES'!$O$444,'DADOS_FORMAS'!$AM5='INVOCAÇÕES'!$P$444,'DADOS_FORMAS'!$AM5='INVOCAÇÕES'!$Q$444,'DADOS_FORMAS'!$AM5='INVOCAÇÕES'!$R$444,'DADOS_FORMAS'!$AM5='INVOCAÇÕES'!$S$444,'DADOS_FORMAS'!$AM5='INVOCAÇÕES'!$O$446,'DADOS_FORMAS'!$AM5='INVOCAÇÕES'!$P$446,'DADOS_FORMAS'!$AM5='INVOCAÇÕES'!$Q$446,'DADOS_FORMAS'!$AM5='INVOCAÇÕES'!$R$446,'DADOS_FORMAS'!$AM5=""),'DADOS_FORMAS'!$AR5),'DADOS_FORMAS'!$AH5,"")</f>
        <v/>
      </c>
      <c r="IQ5">
        <f>IF(OR('DADOS_FORMAS'!$AM5='INVOCAÇÕES'!$O$642,'DADOS_FORMAS'!$AM5='INVOCAÇÕES'!$P$642,'DADOS_FORMAS'!$AM5='INVOCAÇÕES'!$Q$642,'DADOS_FORMAS'!$AM5='INVOCAÇÕES'!$R$642,'DADOS_FORMAS'!$AM5='INVOCAÇÕES'!$S$642,'DADOS_FORMAS'!$AM5='INVOCAÇÕES'!$O$644,'DADOS_FORMAS'!$AM5='INVOCAÇÕES'!$P$644,'DADOS_FORMAS'!$AM5='INVOCAÇÕES'!$Q$644,'DADOS_FORMAS'!$AM5='INVOCAÇÕES'!$R$644,'DADOS_FORMAS'!$AM5=""),'DADOS_FORMAS'!$AH5,"")</f>
        <v/>
      </c>
      <c r="IR5">
        <f>IF(AND(OR('DADOS_FORMAS'!$AM5='INVOCAÇÕES'!$O$642,'DADOS_FORMAS'!$AM5='INVOCAÇÕES'!$P$642,'DADOS_FORMAS'!$AM5='INVOCAÇÕES'!$Q$642,'DADOS_FORMAS'!$AM5='INVOCAÇÕES'!$R$642,'DADOS_FORMAS'!$AM5='INVOCAÇÕES'!$S$642,'DADOS_FORMAS'!$AM5='INVOCAÇÕES'!$O$644,'DADOS_FORMAS'!$AM5='INVOCAÇÕES'!$P$644,'DADOS_FORMAS'!$AM5='INVOCAÇÕES'!$Q$644,'DADOS_FORMAS'!$AM5='INVOCAÇÕES'!$R$644,'DADOS_FORMAS'!$AM5=""),'DADOS_FORMAS'!$AR5),'DADOS_FORMAS'!$AH5,"")</f>
        <v/>
      </c>
      <c r="IT5">
        <f>IF(OR('DADOS_FORMAS'!$AM5='INVOCAÇÕES'!$O$840,'DADOS_FORMAS'!$AM5='INVOCAÇÕES'!$P$840,'DADOS_FORMAS'!$AM5='INVOCAÇÕES'!$Q$840,'DADOS_FORMAS'!$AM5='INVOCAÇÕES'!$R$840,'DADOS_FORMAS'!$AM5='INVOCAÇÕES'!$S$840,'DADOS_FORMAS'!$AM5='INVOCAÇÕES'!$O$842,'DADOS_FORMAS'!$AM5='INVOCAÇÕES'!$P$842,'DADOS_FORMAS'!$AM5='INVOCAÇÕES'!$Q$842,'DADOS_FORMAS'!$AM5='INVOCAÇÕES'!$R$842,'DADOS_FORMAS'!$AM5=""),'DADOS_FORMAS'!$AH5,"")</f>
        <v/>
      </c>
      <c r="IU5">
        <f>IF(AND(OR('DADOS_FORMAS'!$AM5='INVOCAÇÕES'!$O$840,'DADOS_FORMAS'!$AM5='INVOCAÇÕES'!$P$840,'DADOS_FORMAS'!$AM5='INVOCAÇÕES'!$Q$840,'DADOS_FORMAS'!$AM5='INVOCAÇÕES'!$R$840,'DADOS_FORMAS'!$AM5='INVOCAÇÕES'!$S$840,'DADOS_FORMAS'!$AM5='INVOCAÇÕES'!$O$842,'DADOS_FORMAS'!$AM5='INVOCAÇÕES'!$P$842,'DADOS_FORMAS'!$AM5='INVOCAÇÕES'!$Q$842,'DADOS_FORMAS'!$AM5='INVOCAÇÕES'!$R$842,'DADOS_FORMAS'!$AM5=""),'DADOS_FORMAS'!$AR5),'DADOS_FORMAS'!$AH5,"")</f>
        <v/>
      </c>
      <c r="IW5">
        <f>IF(OR('DADOS_FORMAS'!$AM5='INVOCAÇÕES'!$O$1038,'DADOS_FORMAS'!$AM5='INVOCAÇÕES'!$P$1038,'DADOS_FORMAS'!$AM5='INVOCAÇÕES'!$Q$1038,'DADOS_FORMAS'!$AM5='INVOCAÇÕES'!$R$1038,'DADOS_FORMAS'!$AM5='INVOCAÇÕES'!$S$1038,'DADOS_FORMAS'!$AM5='INVOCAÇÕES'!$O$1040,'DADOS_FORMAS'!$AM5='INVOCAÇÕES'!$P$1040,'DADOS_FORMAS'!$AM5='INVOCAÇÕES'!$Q$1040,'DADOS_FORMAS'!$AM5='INVOCAÇÕES'!$R$1040,'DADOS_FORMAS'!$AM5=""),'DADOS_FORMAS'!$AH5,"")</f>
        <v/>
      </c>
      <c r="IX5">
        <f>IF(AND(OR('DADOS_FORMAS'!$AM5='INVOCAÇÕES'!$O$1038,'DADOS_FORMAS'!$AM5='INVOCAÇÕES'!$P$1038,'DADOS_FORMAS'!$AM5='INVOCAÇÕES'!$Q$1038,'DADOS_FORMAS'!$AM5='INVOCAÇÕES'!$R$1038,'DADOS_FORMAS'!$AM5='INVOCAÇÕES'!$S$1038,'DADOS_FORMAS'!$AM5='INVOCAÇÕES'!$O$1040,'DADOS_FORMAS'!$AM5='INVOCAÇÕES'!$P$1040,'DADOS_FORMAS'!$AM5='INVOCAÇÕES'!$Q$1040,'DADOS_FORMAS'!$AM5='INVOCAÇÕES'!$R$1040,'DADOS_FORMAS'!$AM5=""),'DADOS_FORMAS'!$AR5),'DADOS_FORMAS'!$AH5,"")</f>
        <v/>
      </c>
      <c r="IZ5">
        <f>IF(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H5,"")</f>
        <v/>
      </c>
      <c r="JA5">
        <f>IF(AND(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R5),'DADOS_FORMAS'!$AH5,"")</f>
        <v/>
      </c>
      <c r="JC5">
        <f>IF(OR('DADOS_FORMAS'!$AM5='INVOCAÇÕES'!$AH$246,'DADOS_FORMAS'!$AM5='INVOCAÇÕES'!$AI$246,'DADOS_FORMAS'!$AM5='INVOCAÇÕES'!$AJ$246,'DADOS_FORMAS'!$AM5='INVOCAÇÕES'!$AK$246,'DADOS_FORMAS'!$AM5='INVOCAÇÕES'!$AL$246,'DADOS_FORMAS'!$AM5='INVOCAÇÕES'!$AH$248,'DADOS_FORMAS'!$AM5='INVOCAÇÕES'!$AI$248,'DADOS_FORMAS'!$AM5='INVOCAÇÕES'!$AJ$248,'DADOS_FORMAS'!$AM5='INVOCAÇÕES'!$AK$248,'DADOS_FORMAS'!$AM5=""),'DADOS_FORMAS'!$AH5,"")</f>
        <v/>
      </c>
      <c r="JD5">
        <f>IF(AND(OR('DADOS_FORMAS'!$AM5='INVOCAÇÕES'!$AH$246,'DADOS_FORMAS'!$AM5='INVOCAÇÕES'!$AI$246,'DADOS_FORMAS'!$AM5='INVOCAÇÕES'!$AJ$246,'DADOS_FORMAS'!$AM5='INVOCAÇÕES'!$AK$246,'DADOS_FORMAS'!$AM5='INVOCAÇÕES'!$AL$246,'DADOS_FORMAS'!$AM5='INVOCAÇÕES'!$AH$248,'DADOS_FORMAS'!$AM5='INVOCAÇÕES'!$AI$248,'DADOS_FORMAS'!$AM5='INVOCAÇÕES'!$AJ$248,'DADOS_FORMAS'!$AM5='INVOCAÇÕES'!$AK$248,'DADOS_FORMAS'!$AM5=""),'DADOS_FORMAS'!$AR5),'DADOS_FORMAS'!$AH5,"")</f>
        <v/>
      </c>
      <c r="JF5">
        <f>IF(OR('DADOS_FORMAS'!$AM5='INVOCAÇÕES'!$AH$444,'DADOS_FORMAS'!$AM5='INVOCAÇÕES'!$AI$444,'DADOS_FORMAS'!$AM5='INVOCAÇÕES'!$AJ$444,'DADOS_FORMAS'!$AM5='INVOCAÇÕES'!$AK$444,'DADOS_FORMAS'!$AM5='INVOCAÇÕES'!$AL$444,'DADOS_FORMAS'!$AM5='INVOCAÇÕES'!$AH$446,'DADOS_FORMAS'!$AM5='INVOCAÇÕES'!$AI$446,'DADOS_FORMAS'!$AM5='INVOCAÇÕES'!$AJ$446,'DADOS_FORMAS'!$AM5='INVOCAÇÕES'!$AK$446,'DADOS_FORMAS'!$AM5=""),'DADOS_FORMAS'!$AH5,"")</f>
        <v/>
      </c>
      <c r="JG5">
        <f>IF(AND(OR('DADOS_FORMAS'!$AM5='INVOCAÇÕES'!$AH$444,'DADOS_FORMAS'!$AM5='INVOCAÇÕES'!$AI$444,'DADOS_FORMAS'!$AM5='INVOCAÇÕES'!$AJ$444,'DADOS_FORMAS'!$AM5='INVOCAÇÕES'!$AK$444,'DADOS_FORMAS'!$AM5='INVOCAÇÕES'!$AL$444,'DADOS_FORMAS'!$AM5='INVOCAÇÕES'!$AH$446,'DADOS_FORMAS'!$AM5='INVOCAÇÕES'!$AI$446,'DADOS_FORMAS'!$AM5='INVOCAÇÕES'!$AJ$446,'DADOS_FORMAS'!$AM5='INVOCAÇÕES'!$AK$446,'DADOS_FORMAS'!$AM5=""),'DADOS_FORMAS'!$AR5),'DADOS_FORMAS'!$AH5,"")</f>
        <v/>
      </c>
      <c r="JI5">
        <f>IF(OR('DADOS_FORMAS'!$AM5='INVOCAÇÕES'!$AH$642,'DADOS_FORMAS'!$AM5='INVOCAÇÕES'!$AI$642,'DADOS_FORMAS'!$AM5='INVOCAÇÕES'!$AJ$642,'DADOS_FORMAS'!$AM5='INVOCAÇÕES'!$AK$642,'DADOS_FORMAS'!$AM5='INVOCAÇÕES'!$AL$642,'DADOS_FORMAS'!$AM5='INVOCAÇÕES'!$AH$644,'DADOS_FORMAS'!$AM5='INVOCAÇÕES'!$AI$644,'DADOS_FORMAS'!$AM5='INVOCAÇÕES'!$AJ$644,'DADOS_FORMAS'!$AM5='INVOCAÇÕES'!$AK$644,'DADOS_FORMAS'!$AM5=""),'DADOS_FORMAS'!$AH5,"")</f>
        <v/>
      </c>
      <c r="JJ5">
        <f>IF(AND(OR('DADOS_FORMAS'!$AM5='INVOCAÇÕES'!$AH$642,'DADOS_FORMAS'!$AM5='INVOCAÇÕES'!$AI$642,'DADOS_FORMAS'!$AM5='INVOCAÇÕES'!$AJ$642,'DADOS_FORMAS'!$AM5='INVOCAÇÕES'!$AK$642,'DADOS_FORMAS'!$AM5='INVOCAÇÕES'!$AL$642,'DADOS_FORMAS'!$AM5='INVOCAÇÕES'!$AH$644,'DADOS_FORMAS'!$AM5='INVOCAÇÕES'!$AI$644,'DADOS_FORMAS'!$AM5='INVOCAÇÕES'!$AJ$644,'DADOS_FORMAS'!$AM5='INVOCAÇÕES'!$AK$644,'DADOS_FORMAS'!$AM5=""),'DADOS_FORMAS'!$AR5),'DADOS_FORMAS'!$AH5,"")</f>
        <v/>
      </c>
      <c r="JL5">
        <f>IF(OR('DADOS_FORMAS'!$AM5='INVOCAÇÕES'!$AH$840,'DADOS_FORMAS'!$AM5='INVOCAÇÕES'!$AI$840,'DADOS_FORMAS'!$AM5='INVOCAÇÕES'!$AJ$840,'DADOS_FORMAS'!$AM5='INVOCAÇÕES'!$AK$840,'DADOS_FORMAS'!$AM5='INVOCAÇÕES'!$AL$840,'DADOS_FORMAS'!$AM5='INVOCAÇÕES'!$AH$842,'DADOS_FORMAS'!$AM5='INVOCAÇÕES'!$AI$842,'DADOS_FORMAS'!$AM5='INVOCAÇÕES'!$AJ$842,'DADOS_FORMAS'!$AM5='INVOCAÇÕES'!$AK$842,'DADOS_FORMAS'!$AM5=""),'DADOS_FORMAS'!$AH5,"")</f>
        <v/>
      </c>
      <c r="JM5">
        <f>IF(AND(OR('DADOS_FORMAS'!$AM5='INVOCAÇÕES'!$AH$840,'DADOS_FORMAS'!$AM5='INVOCAÇÕES'!$AI$840,'DADOS_FORMAS'!$AM5='INVOCAÇÕES'!$AJ$840,'DADOS_FORMAS'!$AM5='INVOCAÇÕES'!$AK$840,'DADOS_FORMAS'!$AM5='INVOCAÇÕES'!$AL$840,'DADOS_FORMAS'!$AM5='INVOCAÇÕES'!$AH$842,'DADOS_FORMAS'!$AM5='INVOCAÇÕES'!$AI$842,'DADOS_FORMAS'!$AM5='INVOCAÇÕES'!$AJ$842,'DADOS_FORMAS'!$AM5='INVOCAÇÕES'!$AK$842,'DADOS_FORMAS'!$AM5=""),'DADOS_FORMAS'!$AR5),'DADOS_FORMAS'!$AH5,"")</f>
        <v/>
      </c>
      <c r="JO5">
        <f>IF(OR('DADOS_FORMAS'!$AM5='INVOCAÇÕES'!$AH$1038,'DADOS_FORMAS'!$AM5='INVOCAÇÕES'!$AI$1038,'DADOS_FORMAS'!$AM5='INVOCAÇÕES'!$AJ$1038,'DADOS_FORMAS'!$AM5='INVOCAÇÕES'!$AK$1038,'DADOS_FORMAS'!$AM5='INVOCAÇÕES'!$AL$1038,'DADOS_FORMAS'!$AM5='INVOCAÇÕES'!$AH$1040,'DADOS_FORMAS'!$AM5='INVOCAÇÕES'!$AI$1040,'DADOS_FORMAS'!$AM5='INVOCAÇÕES'!$AJ$1040,'DADOS_FORMAS'!$AM5='INVOCAÇÕES'!$AK$1040,'DADOS_FORMAS'!$AM5=""),'DADOS_FORMAS'!$AH5,"")</f>
        <v/>
      </c>
      <c r="JP5">
        <f>IF(AND(OR('DADOS_FORMAS'!$AM5='INVOCAÇÕES'!$AH$1038,'DADOS_FORMAS'!$AM5='INVOCAÇÕES'!$AI$1038,'DADOS_FORMAS'!$AM5='INVOCAÇÕES'!$AJ$1038,'DADOS_FORMAS'!$AM5='INVOCAÇÕES'!$AK$1038,'DADOS_FORMAS'!$AM5='INVOCAÇÕES'!$AL$1038,'DADOS_FORMAS'!$AM5='INVOCAÇÕES'!$AH$1040,'DADOS_FORMAS'!$AM5='INVOCAÇÕES'!$AI$1040,'DADOS_FORMAS'!$AM5='INVOCAÇÕES'!$AJ$1040,'DADOS_FORMAS'!$AM5='INVOCAÇÕES'!$AK$1040,'DADOS_FORMAS'!$AM5=""),'DADOS_FORMAS'!$AR5),'DADOS_FORMAS'!$AH5,"")</f>
        <v/>
      </c>
      <c r="JR5" t="inlineStr">
        <is>
          <t>Explosão</t>
        </is>
      </c>
      <c r="JS5" t="inlineStr">
        <is>
          <t>Pesada</t>
        </is>
      </c>
      <c r="JU5" t="inlineStr">
        <is>
          <t>Efeito</t>
        </is>
      </c>
      <c r="JZ5">
        <f>IFERROR(INDEX('DADOS_CRIACAO'!$H$2:$H$20,3),"")</f>
        <v/>
      </c>
      <c r="KA5">
        <f>IFERROR(INDEX(INDEX('DADOS_RESTRICOES'!$M$2:$Q$54,0,1),3),"")</f>
        <v/>
      </c>
    </row>
    <row r="6">
      <c r="A6">
        <f>IF(ISBLANK('CONFIGURAÇÃO'!$B$1974),"",'CONFIGURAÇÃO'!$B$1974)</f>
        <v/>
      </c>
      <c r="B6">
        <f>IF(ISBLANK('CONFIGURAÇÃO'!$B$1976),"",'CONFIGURAÇÃO'!$B$1976)</f>
        <v/>
      </c>
      <c r="C6">
        <f>IF(ISBLANK('CONFIGURAÇÃO'!$E$1977),"",'CONFIGURAÇÃO'!$E$1977)</f>
        <v/>
      </c>
      <c r="D6">
        <f>IF(ISBLANK('CONFIGURAÇÃO'!$F$1974),"",'CONFIGURAÇÃO'!$F$1974)</f>
        <v/>
      </c>
      <c r="E6">
        <f>IF(ISBLANK('CONFIGURAÇÃO'!$B$2003),"",'CONFIGURAÇÃO'!$B$2003)</f>
        <v/>
      </c>
      <c r="F6">
        <f>IF(ISBLANK('CONFIGURAÇÃO'!$B$2009),"",'CONFIGURAÇÃO'!$B$2009)</f>
        <v/>
      </c>
      <c r="G6">
        <f>IF(ISBLANK('CONFIGURAÇÃO'!$E$1978),"",'CONFIGURAÇÃO'!$E$1978)</f>
        <v/>
      </c>
      <c r="H6">
        <f>IF(ISBLANK('CONFIGURAÇÃO'!$E$1979),"",'CONFIGURAÇÃO'!$E$1979)</f>
        <v/>
      </c>
      <c r="I6">
        <f>IF(ISBLANK('CONFIGURAÇÃO'!$E$1980),"",'CONFIGURAÇÃO'!$E$1980)</f>
        <v/>
      </c>
      <c r="J6">
        <f>IF(ISBLANK('CONFIGURAÇÃO'!$E$1981),"",'CONFIGURAÇÃO'!$E$1981)</f>
        <v/>
      </c>
      <c r="K6">
        <f>IF(ISBLANK('CONFIGURAÇÃO'!$E$1982),"",'CONFIGURAÇÃO'!$E$1982)</f>
        <v/>
      </c>
      <c r="L6">
        <f>IF(ISBLANK('CONFIGURAÇÃO'!$E$1983),"",'CONFIGURAÇÃO'!$E$1983)</f>
        <v/>
      </c>
      <c r="M6">
        <f>IF(ISBLANK('CONFIGURAÇÃO'!$E$1984),"",'CONFIGURAÇÃO'!$E$1984)</f>
        <v/>
      </c>
      <c r="N6">
        <f>IF(ISBLANK('CONFIGURAÇÃO'!$E$1985),"",'CONFIGURAÇÃO'!$E$1985)</f>
        <v/>
      </c>
      <c r="O6">
        <f>IF(ISBLANK('CONFIGURAÇÃO'!$E$1986),"",'CONFIGURAÇÃO'!$E$1986)</f>
        <v/>
      </c>
      <c r="P6">
        <f>IF(ISBLANK('CONFIGURAÇÃO'!$E$1987),"",'CONFIGURAÇÃO'!$E$1987)</f>
        <v/>
      </c>
      <c r="Q6">
        <f>IF(ISBLANK('CONFIGURAÇÃO'!$E$1988),"",'CONFIGURAÇÃO'!$E$1988)</f>
        <v/>
      </c>
      <c r="R6">
        <f>IF(ISBLANK('CONFIGURAÇÃO'!$E$1989),"",'CONFIGURAÇÃO'!$E$1989)</f>
        <v/>
      </c>
      <c r="S6">
        <f>IF(ISBLANK('CONFIGURAÇÃO'!$E$1990),"",'CONFIGURAÇÃO'!$E$1990)</f>
        <v/>
      </c>
      <c r="T6">
        <f>IF(ISBLANK('CONFIGURAÇÃO'!$E$1991),"",'CONFIGURAÇÃO'!$E$1991)</f>
        <v/>
      </c>
      <c r="U6">
        <f>IF(ISBLANK('CONFIGURAÇÃO'!$E$1992),"",'CONFIGURAÇÃO'!$E$1992)</f>
        <v/>
      </c>
      <c r="V6">
        <f>IF(ISBLANK('CONFIGURAÇÃO'!$E$1993),"",'CONFIGURAÇÃO'!$E$1993)</f>
        <v/>
      </c>
      <c r="W6">
        <f>IF(ISBLANK('CONFIGURAÇÃO'!$E$1994),"",'CONFIGURAÇÃO'!$E$1994)</f>
        <v/>
      </c>
      <c r="X6">
        <f>IF(ISBLANK('CONFIGURAÇÃO'!$E$1995),"",'CONFIGURAÇÃO'!$E$1995)</f>
        <v/>
      </c>
      <c r="Y6">
        <f>IF(ISBLANK('CONFIGURAÇÃO'!$E$1996),"",'CONFIGURAÇÃO'!$E$1996)</f>
        <v/>
      </c>
      <c r="Z6">
        <f>IF(ISBLANK('CONFIGURAÇÃO'!$E$1997),"",'CONFIGURAÇÃO'!$E$1997)</f>
        <v/>
      </c>
      <c r="AA6">
        <f>IF(ISBLANK('CONFIGURAÇÃO'!$E$1998),"",'CONFIGURAÇÃO'!$E$1998)</f>
        <v/>
      </c>
      <c r="AB6">
        <f>IF(ISBLANK('CONFIGURAÇÃO'!$E$1999),"",'CONFIGURAÇÃO'!$E$1999)</f>
        <v/>
      </c>
      <c r="AC6">
        <f>IF(ISBLANK('CONFIGURAÇÃO'!$E$2000),"",'CONFIGURAÇÃO'!$E$2000)</f>
        <v/>
      </c>
      <c r="AD6">
        <f>IF($AF6,TEXTJOIN(" · ",TRUE,$DJ6:$FH6),"")</f>
        <v/>
      </c>
      <c r="AE6">
        <f>IF(OR($C6="",$C6="Nenhuma"),0,IFERROR(MATCH(SUBSTITUTE(SUBSTITUTE(SUBSTITUTE($C6,"~","~~"),"*","~*"),"?","~?"),'DADOS_FORMAS'!$AH$2:$AH$11,0),-1))</f>
        <v/>
      </c>
      <c r="AF6">
        <f>OR($B6&lt;&gt;"",$C6&lt;&gt;"",$E6&lt;&gt;"",$F6&lt;&gt;"",$G6&lt;&gt;"",$H6&lt;&gt;"",$I6&lt;&gt;"",$J6&lt;&gt;"",$K6&lt;&gt;"",$L6&lt;&gt;"",$M6&lt;&gt;"",$N6&lt;&gt;"",$O6&lt;&gt;"",$P6&lt;&gt;"",$Q6&lt;&gt;"",$R6&lt;&gt;"",$S6&lt;&gt;"",$T6&lt;&gt;"",$U6&lt;&gt;"",$V6&lt;&gt;"",$W6&lt;&gt;"",$X6&lt;&gt;"",$Y6&lt;&gt;"",$Z6&lt;&gt;"",$AA6&lt;&gt;"",$AB6&lt;&gt;"",$AC6&lt;&gt;"",AND($D6&lt;&gt;"",$D6&lt;&gt;FALSE),AND($A6&lt;&gt;"",$A6&lt;&gt;"Forma"))</f>
        <v/>
      </c>
      <c r="AG6" t="inlineStr">
        <is>
          <t>Forma</t>
        </is>
      </c>
      <c r="AH6" t="inlineStr">
        <is>
          <t>Cone</t>
        </is>
      </c>
      <c r="AI6">
        <f>""</f>
        <v/>
      </c>
      <c r="AJ6" t="b">
        <v>0</v>
      </c>
      <c r="AK6">
        <f>""</f>
        <v/>
      </c>
      <c r="AL6" t="inlineStr">
        <is>
          <t>Cone de 4,5 m, partindo de você.</t>
        </is>
      </c>
      <c r="AM6" t="inlineStr">
        <is>
          <t>Área</t>
        </is>
      </c>
      <c r="AN6" t="n">
        <v>1</v>
      </c>
      <c r="AO6" t="inlineStr">
        <is>
          <t>TR, metade</t>
        </is>
      </c>
      <c r="AP6" t="n">
        <v>0</v>
      </c>
      <c r="AQ6" t="b">
        <v>1</v>
      </c>
      <c r="AR6" t="b">
        <v>1</v>
      </c>
      <c r="AS6">
        <f>""</f>
        <v/>
      </c>
      <c r="AT6" t="inlineStr">
        <is>
          <t>Fixo</t>
        </is>
      </c>
      <c r="AU6" t="inlineStr">
        <is>
          <t>comprimento</t>
        </is>
      </c>
      <c r="AV6">
        <f>""</f>
        <v/>
      </c>
      <c r="AW6">
        <f>""</f>
        <v/>
      </c>
      <c r="AX6">
        <f>""</f>
        <v/>
      </c>
      <c r="AY6">
        <f>""</f>
        <v/>
      </c>
      <c r="AZ6">
        <f>""</f>
        <v/>
      </c>
      <c r="BA6">
        <f>""</f>
        <v/>
      </c>
      <c r="BB6">
        <f>""</f>
        <v/>
      </c>
      <c r="BC6" t="inlineStr">
        <is>
          <t>3 m</t>
        </is>
      </c>
      <c r="BD6" t="inlineStr">
        <is>
          <t>4,5 m</t>
        </is>
      </c>
      <c r="BE6" t="inlineStr">
        <is>
          <t>9 m</t>
        </is>
      </c>
      <c r="BF6" t="inlineStr">
        <is>
          <t>3 m</t>
        </is>
      </c>
      <c r="BG6" t="inlineStr">
        <is>
          <t>4,5 m</t>
        </is>
      </c>
      <c r="BH6" t="inlineStr">
        <is>
          <t>4,5 m</t>
        </is>
      </c>
      <c r="BI6" t="inlineStr">
        <is>
          <t>9 m</t>
        </is>
      </c>
      <c r="BJ6" t="inlineStr">
        <is>
          <t>Cone</t>
        </is>
      </c>
      <c r="BK6" t="n">
        <v>0</v>
      </c>
      <c r="BL6" t="inlineStr">
        <is>
          <t>area</t>
        </is>
      </c>
      <c r="BM6" t="inlineStr">
        <is>
          <t xml:space="preserve">cone de </t>
        </is>
      </c>
      <c r="BN6">
        <f>""</f>
        <v/>
      </c>
      <c r="BO6" t="n">
        <v>3</v>
      </c>
      <c r="BP6">
        <f>""</f>
        <v/>
      </c>
      <c r="BQ6">
        <f>""</f>
        <v/>
      </c>
      <c r="BR6">
        <f>""</f>
        <v/>
      </c>
      <c r="BS6" t="n">
        <v>0</v>
      </c>
      <c r="BV6">
        <f>IF($A6="",IF($AE6&gt;0,INDEX('DADOS_FORMAS'!$AG$2:$AG$11,MAX(1,$AE6)),"Forma"),$A6)</f>
        <v/>
      </c>
      <c r="BW6">
        <f>IF($B6="",IF($AE6&gt;0,INDEX('DADOS_FORMAS'!$AH$2:$AH$11,MAX(1,$AE6)),""),$B6)</f>
        <v/>
      </c>
      <c r="BX6">
        <f>IF($C6="",IF($AE6&gt;0,INDEX('DADOS_FORMAS'!$AI$2:$AI$11,MAX(1,$AE6)),""),$C6)</f>
        <v/>
      </c>
      <c r="BY6">
        <f>IF($D6="",IF($AE6&gt;0,INDEX('DADOS_FORMAS'!$AJ$2:$AJ$11,MAX(1,$AE6)),FALSE),$D6)</f>
        <v/>
      </c>
      <c r="BZ6">
        <f>IF($E6="",IF($AE6&gt;0,INDEX('DADOS_FORMAS'!$AK$2:$AK$11,MAX(1,$AE6)),""),$E6)</f>
        <v/>
      </c>
      <c r="CA6">
        <f>IF($F6="",IF($AE6&gt;0,INDEX('DADOS_FORMAS'!$AL$2:$AL$11,MAX(1,$AE6)),""),$F6)</f>
        <v/>
      </c>
      <c r="CB6">
        <f>IF($G6="Nenhuma","",IF($G6="",IF($AE6&gt;0,INDEX('DADOS_FORMAS'!$AM$2:$AM$11,MAX(1,$AE6)),""),$G6))</f>
        <v/>
      </c>
      <c r="CC6">
        <f>IF($H6="",IF($AE6&gt;0,INDEX('DADOS_FORMAS'!$AN$2:$AN$11,MAX(1,$AE6)),""),IF($H6="Sem custo",0,IF($H6="Leve",1,IF($H6="Média",2,IF($H6="Pesada",3,$H6)))))</f>
        <v/>
      </c>
      <c r="CD6">
        <f>IF($I6="",IF($AE6&gt;0,INDEX('DADOS_FORMAS'!$AO$2:$AO$11,MAX(1,$AE6)),""),$I6)</f>
        <v/>
      </c>
      <c r="CE6">
        <f>IF($J6="",IF($AE6&gt;0,INDEX('DADOS_FORMAS'!$AP$2:$AP$11,MAX(1,$AE6)),""),IF($J6="Dano",0,IF($J6="Cura",1,IF($J6="Vida temporária",2,IF($J6="Efeito",3,$J6)))))</f>
        <v/>
      </c>
      <c r="CF6">
        <f>IF($K6="",IF($AE6&gt;0,INDEX('DADOS_FORMAS'!$AQ$2:$AQ$11,MAX(1,$AE6)),""),IF($K6="Sim",TRUE,IF($K6="Não",FALSE,$K6)))</f>
        <v/>
      </c>
      <c r="CG6">
        <f>IF($L6="",IF($AE6&gt;0,INDEX('DADOS_FORMAS'!$AR$2:$AR$11,MAX(1,$AE6)),""),IF($L6="Sim",TRUE,IF($L6="Não",FALSE,$L6)))</f>
        <v/>
      </c>
      <c r="CH6">
        <f>IF($M6="Nenhuma","",IF($M6="",IF($AE6&gt;0,INDEX('DADOS_FORMAS'!$AS$2:$AS$11,MAX(1,$AE6)),""),$M6))</f>
        <v/>
      </c>
      <c r="CI6">
        <f>IF($N6="",IF($AE6&gt;0,INDEX('DADOS_FORMAS'!$AT$2:$AT$11,MAX(1,$AE6)),"Fixo"),$N6)</f>
        <v/>
      </c>
      <c r="CJ6">
        <f>IF($O6="",IF($AE6&gt;0,INDEX('DADOS_FORMAS'!$AU$2:$AU$11,MAX(1,$AE6)),"Fixo"),$O6)</f>
        <v/>
      </c>
      <c r="CK6">
        <f>IF($P6="",IF($AE6&gt;0,INDEX('DADOS_FORMAS'!$AV$2:$AV$11,MAX(1,$AE6)),""),$P6)</f>
        <v/>
      </c>
      <c r="CL6">
        <f>IF($Q6="",IF($AE6&gt;0,INDEX('DADOS_FORMAS'!$AW$2:$AW$11,MAX(1,$AE6)),""),$Q6)</f>
        <v/>
      </c>
      <c r="CM6">
        <f>IF($R6="",IF($AE6&gt;0,INDEX('DADOS_FORMAS'!$AX$2:$AX$11,MAX(1,$AE6)),""),$R6)</f>
        <v/>
      </c>
      <c r="CN6">
        <f>IF($S6="",IF($AE6&gt;0,INDEX('DADOS_FORMAS'!$AY$2:$AY$11,MAX(1,$AE6)),""),$S6)</f>
        <v/>
      </c>
      <c r="CO6">
        <f>IF($T6="",IF($AE6&gt;0,INDEX('DADOS_FORMAS'!$AZ$2:$AZ$11,MAX(1,$AE6)),""),$T6)</f>
        <v/>
      </c>
      <c r="CP6">
        <f>IF($U6="",IF($AE6&gt;0,INDEX('DADOS_FORMAS'!$BA$2:$BA$11,MAX(1,$AE6)),""),$U6)</f>
        <v/>
      </c>
      <c r="CQ6">
        <f>IF($V6="",IF($AE6&gt;0,INDEX('DADOS_FORMAS'!$BB$2:$BB$11,MAX(1,$AE6)),""),$V6)</f>
        <v/>
      </c>
      <c r="CR6">
        <f>IF($W6="",IF($AE6&gt;0,INDEX('DADOS_FORMAS'!$BC$2:$BC$11,MAX(1,$AE6)),""),$W6)</f>
        <v/>
      </c>
      <c r="CS6">
        <f>IF($X6="",IF($AE6&gt;0,INDEX('DADOS_FORMAS'!$BD$2:$BD$11,MAX(1,$AE6)),""),$X6)</f>
        <v/>
      </c>
      <c r="CT6">
        <f>IF($Y6="",IF($AE6&gt;0,INDEX('DADOS_FORMAS'!$BE$2:$BE$11,MAX(1,$AE6)),""),$Y6)</f>
        <v/>
      </c>
      <c r="CU6">
        <f>IF($Z6="",IF($AE6&gt;0,INDEX('DADOS_FORMAS'!$BF$2:$BF$11,MAX(1,$AE6)),""),$Z6)</f>
        <v/>
      </c>
      <c r="CV6">
        <f>IF($AA6="",IF($AE6&gt;0,INDEX('DADOS_FORMAS'!$BG$2:$BG$11,MAX(1,$AE6)),""),$AA6)</f>
        <v/>
      </c>
      <c r="CW6">
        <f>IF($AB6="",IF($AE6&gt;0,INDEX('DADOS_FORMAS'!$BH$2:$BH$11,MAX(1,$AE6)),""),$AB6)</f>
        <v/>
      </c>
      <c r="CX6">
        <f>IF($AC6="",IF($AE6&gt;0,INDEX('DADOS_FORMAS'!$BI$2:$BI$11,MAX(1,$AE6)),""),$AC6)</f>
        <v/>
      </c>
      <c r="CY6">
        <f>IF($AE6&gt;0,INDEX('DADOS_FORMAS'!$BJ$2:$BJ$11,MAX(1,$AE6)),"")</f>
        <v/>
      </c>
      <c r="CZ6">
        <f>IF($AE6&gt;0,INDEX('DADOS_FORMAS'!$BK$2:$BK$11,MAX(1,$AE6)),0)</f>
        <v/>
      </c>
      <c r="DA6">
        <f>IF($AE6&gt;0,INDEX('DADOS_FORMAS'!$BL$2:$BL$11,MAX(1,$AE6)),"alcance")</f>
        <v/>
      </c>
      <c r="DB6">
        <f>IF($AE6&gt;0,INDEX('DADOS_FORMAS'!$BM$2:$BM$11,MAX(1,$AE6)),"")</f>
        <v/>
      </c>
      <c r="DC6">
        <f>IF($AE6&gt;0,INDEX('DADOS_FORMAS'!$BN$2:$BN$11,MAX(1,$AE6)),"")</f>
        <v/>
      </c>
      <c r="DD6">
        <f>IF($AE6&gt;0,INDEX('DADOS_FORMAS'!$BO$2:$BO$11,MAX(1,$AE6)),1)</f>
        <v/>
      </c>
      <c r="DE6">
        <f>IF(AND($AE6&gt;0,INDEX('DADOS_FORMAS'!$BP$2:$BP$11,MAX(1,$AE6))=""),IF(AND(INDEX('DADOS_FORMAS'!$BL$2:$BL$11,MAX(1,$AE6))="alcance",OR($W6&lt;&gt;"",$X6&lt;&gt;"",$Y6&lt;&gt;"",$Z6&lt;&gt;"",$AA6&lt;&gt;"",$AB6&lt;&gt;"",$AC6&lt;&gt;"")),"area",IF(AND(INDEX('DADOS_FORMAS'!$BL$2:$BL$11,MAX(1,$AE6))="area",OR($P6&lt;&gt;"",$Q6&lt;&gt;"",$R6&lt;&gt;"",$S6&lt;&gt;"",$T6&lt;&gt;"",$U6&lt;&gt;"",$V6&lt;&gt;"")),"alcance","")),IF($AE6&gt;0,INDEX('DADOS_FORMAS'!$BP$2:$BP$11,MAX(1,$AE6)),"area"))</f>
        <v/>
      </c>
      <c r="DF6">
        <f>IF(AND($AE6&gt;0,INDEX('DADOS_FORMAS'!$BP$2:$BP$11,MAX(1,$AE6))=""),IF(IF(AND(INDEX('DADOS_FORMAS'!$BL$2:$BL$11,MAX(1,$AE6))="alcance",OR($W6&lt;&gt;"",$X6&lt;&gt;"",$Y6&lt;&gt;"",$Z6&lt;&gt;"",$AA6&lt;&gt;"",$AB6&lt;&gt;"",$AC6&lt;&gt;"")),"area",IF(AND(INDEX('DADOS_FORMAS'!$BL$2:$BL$11,MAX(1,$AE6))="area",OR($P6&lt;&gt;"",$Q6&lt;&gt;"",$R6&lt;&gt;"",$S6&lt;&gt;"",$T6&lt;&gt;"",$U6&lt;&gt;"",$V6&lt;&gt;"")),"alcance",""))="alcance"," · alcance ",IF(IF(AND(INDEX('DADOS_FORMAS'!$BL$2:$BL$11,MAX(1,$AE6))="alcance",OR($W6&lt;&gt;"",$X6&lt;&gt;"",$Y6&lt;&gt;"",$Z6&lt;&gt;"",$AA6&lt;&gt;"",$AB6&lt;&gt;"",$AC6&lt;&gt;"")),"area",IF(AND(INDEX('DADOS_FORMAS'!$BL$2:$BL$11,MAX(1,$AE6))="area",OR($P6&lt;&gt;"",$Q6&lt;&gt;"",$R6&lt;&gt;"",$S6&lt;&gt;"",$T6&lt;&gt;"",$U6&lt;&gt;"",$V6&lt;&gt;"")),"alcance",""))="area"," · área ","")),IF($AE6&gt;0,INDEX('DADOS_FORMAS'!$BQ$2:$BQ$11,MAX(1,$AE6))," · área "))</f>
        <v/>
      </c>
      <c r="DG6">
        <f>IF(AND($AE6&gt;0,INDEX('DADOS_FORMAS'!$BP$2:$BP$11,MAX(1,$AE6))=""),"",IF($AE6&gt;0,INDEX('DADOS_FORMAS'!$BR$2:$BR$11,MAX(1,$AE6)),""))</f>
        <v/>
      </c>
      <c r="DH6">
        <f>IF(AND($AE6&gt;0,INDEX('DADOS_FORMAS'!$BP$2:$BP$11,MAX(1,$AE6))=""),IF(IF(AND(INDEX('DADOS_FORMAS'!$BL$2:$BL$11,MAX(1,$AE6))="alcance",OR($W6&lt;&gt;"",$X6&lt;&gt;"",$Y6&lt;&gt;"",$Z6&lt;&gt;"",$AA6&lt;&gt;"",$AB6&lt;&gt;"",$AC6&lt;&gt;"")),"area",IF(AND(INDEX('DADOS_FORMAS'!$BL$2:$BL$11,MAX(1,$AE6))="area",OR($P6&lt;&gt;"",$Q6&lt;&gt;"",$R6&lt;&gt;"",$S6&lt;&gt;"",$T6&lt;&gt;"",$U6&lt;&gt;"",$V6&lt;&gt;"")),"alcance",""))="",0,IF(IF(AND(INDEX('DADOS_FORMAS'!$BL$2:$BL$11,MAX(1,$AE6))="alcance",OR($W6&lt;&gt;"",$X6&lt;&gt;"",$Y6&lt;&gt;"",$Z6&lt;&gt;"",$AA6&lt;&gt;"",$AB6&lt;&gt;"",$AC6&lt;&gt;"")),"area",IF(AND(INDEX('DADOS_FORMAS'!$BL$2:$BL$11,MAX(1,$AE6))="area",OR($P6&lt;&gt;"",$Q6&lt;&gt;"",$R6&lt;&gt;"",$S6&lt;&gt;"",$T6&lt;&gt;"",$U6&lt;&gt;"",$V6&lt;&gt;"")),"alcance",""))="alcance",1,IF($O6="comprimento",3,2))),IF($AE6&gt;0,INDEX('DADOS_FORMAS'!$BS$2:$BS$11,MAX(1,$AE6)),IF($O6="comprimento",3,2)))</f>
        <v/>
      </c>
      <c r="DJ6">
        <f>IF(AND(ISTEXT($B6),$B6&lt;&gt;"",TRIM($B6)=$B6),"","NOME precisa ser texto sem espaços nas pontas")</f>
        <v/>
      </c>
      <c r="DK6">
        <f>IF(COUNTIF('DADOS_FORMAS'!$B$2:$B$11,SUBSTITUTE(SUBSTITUTE(SUBSTITUTE($B6,"~","~~"),"*","~*"),"?","~?"))+COUNTIF('DADOS_FORMAS'!$AH$2:$AH$11,SUBSTITUTE(SUBSTITUTE(SUBSTITUTE($B6,"~","~~"),"*","~*"),"?","~?"))=1,"","Nome repetido no livro ou custom")</f>
        <v/>
      </c>
      <c r="DL6">
        <f>IF($AE6&gt;=0,"","BASE DO LIVRO inválida para o grupo")</f>
        <v/>
      </c>
      <c r="DM6">
        <f>IF(OR($BV6="Forma"),"","TIPO inválido para o grupo")</f>
        <v/>
      </c>
      <c r="DN6">
        <f>IF(ISLOGICAL($BY6),"","MESTRE VIU precisa ser caixa de seleção")</f>
        <v/>
      </c>
      <c r="DO6">
        <f>IF(ISTEXT($CA6),"","EFEITO precisa ser texto")</f>
        <v/>
      </c>
      <c r="DP6">
        <f>IF(ISTEXT($BZ6),"","REQUISITOS precisa ser texto")</f>
        <v/>
      </c>
      <c r="DQ6">
        <f>IF(IFERROR(AND(ISNUMBER($CC6),NOT(ISLOGICAL($CC6)),$CC6=INT($CC6),$CC6&gt;=0,$CC6&lt;=3),FALSE),"","PESO exige 0/1/2/3")</f>
        <v/>
      </c>
      <c r="DR6">
        <f>IF(IFERROR(AND(ISNUMBER($CE6),NOT(ISLOGICAL($CE6)),$CE6=INT($CE6),$CE6&gt;=0,$CE6&lt;=3),FALSE),"","RESULTADO exige 0/1/2/3")</f>
        <v/>
      </c>
      <c r="DS6">
        <f>IF(ISLOGICAL($CF6),"","EXIGE_TR exige Sim/Não")</f>
        <v/>
      </c>
      <c r="DT6">
        <f>IF(ISLOGICAL($CG6),"","CLASSE_0 exige Sim/Não")</f>
        <v/>
      </c>
      <c r="DU6">
        <f>IF(OR($CD6="Acerto",$CD6="TR, metade",$CD6="Automático"),"","RESOLUÇÃO inválida")</f>
        <v/>
      </c>
      <c r="DV6">
        <f>IF(OR($CB6="",COUNTIF('DADOS_CRIACAO'!$H$2:$H$20,SUBSTITUTE(SUBSTITUTE(SUBSTITUTE($CB6,"~","~~"),"*","~*"),"?","~?"))&gt;0),"","FAMÍLIA não cadastrada ou inválida")</f>
        <v/>
      </c>
      <c r="DW6">
        <f>IF(OR($CH6="",IFERROR(MATCH(SUBSTITUTE(SUBSTITUTE(SUBSTITUTE($CH6,"~","~~"),"*","~*"),"?","~?"),INDEX('DADOS_RESTRICOES'!$M$2:$Q$54,0,1),0),0)&gt;0),"","RESTRIÇÃO EMBUTIDA inválida")</f>
        <v/>
      </c>
      <c r="DX6">
        <f>IF(OR($CI6="Fixo",$CI6="alcance"),"","ESCADA inválida para alcance")</f>
        <v/>
      </c>
      <c r="DY6">
        <f>IF(OR(NOT(AND($CG6,OR($DA6="alcance",$DE6="alcance"))),$CK6&lt;&gt;""),"","Base de alcance ausente: personagem/classe_0")</f>
        <v/>
      </c>
      <c r="DZ6">
        <f>IF(ISTEXT($CK6),"","Base precisa ser texto: alcance/personagem/classe_0")</f>
        <v/>
      </c>
      <c r="EA6">
        <f>IF(OR(NOT(AND($CG6,OR($DA6="alcance",$DE6="alcance"))),$CI6="Fixo",$CK6="",$CK6="—",AND(RIGHT($CK6,2)=" m",IFERROR(VALUE(SUBSTITUTE(LEFT($CK6,MAX(0,LEN($CK6)-2)),",",""))/10^IFERROR(LEN(LEFT($CK6,MAX(0,LEN($CK6)-2)))-FIND(",",LEFT($CK6,MAX(0,LEN($CK6)-2))),0),-1)&gt;0)),"","Base incompatível com escada: alcance/personagem/classe_0")</f>
        <v/>
      </c>
      <c r="EB6">
        <f>IF(OR(NOT(OR($DA6="alcance",$DE6="alcance")),$CL6&lt;&gt;""),"","Base de alcance ausente: personagem/classes_1_a_5")</f>
        <v/>
      </c>
      <c r="EC6">
        <f>IF(ISTEXT($CL6),"","Base precisa ser texto: alcance/personagem/classes_1_a_5")</f>
        <v/>
      </c>
      <c r="ED6">
        <f>IF(OR(NOT(OR($DA6="alcance",$DE6="alcance")),$CI6="Fixo",$CL6="",$CL6="—",AND(RIGHT($CL6,2)=" m",IFERROR(VALUE(SUBSTITUTE(LEFT($CL6,MAX(0,LEN($CL6)-2)),",",""))/10^IFERROR(LEN(LEFT($CL6,MAX(0,LEN($CL6)-2)))-FIND(",",LEFT($CL6,MAX(0,LEN($CL6)-2))),0),-1)&gt;0)),"","Base incompatível com escada: alcance/personagem/classes_1_a_5")</f>
        <v/>
      </c>
      <c r="EE6">
        <f>IF(OR(NOT(OR($DA6="alcance",$DE6="alcance")),$CM6&lt;&gt;""),"","Base de alcance ausente: personagem/classes_6_e_7")</f>
        <v/>
      </c>
      <c r="EF6">
        <f>IF(ISTEXT($CM6),"","Base precisa ser texto: alcance/personagem/classes_6_e_7")</f>
        <v/>
      </c>
      <c r="EG6">
        <f>IF(OR(NOT(OR($DA6="alcance",$DE6="alcance")),$CI6="Fixo",$CM6="",$CM6="—",AND(RIGHT($CM6,2)=" m",IFERROR(VALUE(SUBSTITUTE(LEFT($CM6,MAX(0,LEN($CM6)-2)),",",""))/10^IFERROR(LEN(LEFT($CM6,MAX(0,LEN($CM6)-2)))-FIND(",",LEFT($CM6,MAX(0,LEN($CM6)-2))),0),-1)&gt;0)),"","Base incompatível com escada: alcance/personagem/classes_6_e_7")</f>
        <v/>
      </c>
      <c r="EH6">
        <f>IF(OR(NOT(AND($CG6,OR($DA6="alcance",$DE6="alcance"))),$CN6&lt;&gt;""),"","Base de alcance ausente: entidade/classe_0")</f>
        <v/>
      </c>
      <c r="EI6">
        <f>IF(ISTEXT($CN6),"","Base precisa ser texto: alcance/entidade/classe_0")</f>
        <v/>
      </c>
      <c r="EJ6">
        <f>IF(OR(NOT(AND($CG6,OR($DA6="alcance",$DE6="alcance"))),$CI6="Fixo",$CN6="",$CN6="—",AND(RIGHT($CN6,2)=" m",IFERROR(VALUE(SUBSTITUTE(LEFT($CN6,MAX(0,LEN($CN6)-2)),",",""))/10^IFERROR(LEN(LEFT($CN6,MAX(0,LEN($CN6)-2)))-FIND(",",LEFT($CN6,MAX(0,LEN($CN6)-2))),0),-1)&gt;0)),"","Base incompatível com escada: alcance/entidade/classe_0")</f>
        <v/>
      </c>
      <c r="EK6">
        <f>IF(OR(NOT(OR($DA6="alcance",$DE6="alcance")),$CO6&lt;&gt;""),"","Base de alcance ausente: entidade/classes_1_a_5")</f>
        <v/>
      </c>
      <c r="EL6">
        <f>IF(ISTEXT($CO6),"","Base precisa ser texto: alcance/entidade/classes_1_a_5")</f>
        <v/>
      </c>
      <c r="EM6">
        <f>IF(OR(NOT(OR($DA6="alcance",$DE6="alcance")),$CI6="Fixo",$CO6="",$CO6="—",AND(RIGHT($CO6,2)=" m",IFERROR(VALUE(SUBSTITUTE(LEFT($CO6,MAX(0,LEN($CO6)-2)),",",""))/10^IFERROR(LEN(LEFT($CO6,MAX(0,LEN($CO6)-2)))-FIND(",",LEFT($CO6,MAX(0,LEN($CO6)-2))),0),-1)&gt;0)),"","Base incompatível com escada: alcance/entidade/classes_1_a_5")</f>
        <v/>
      </c>
      <c r="EN6">
        <f>IF(OR(NOT(OR($DA6="alcance",$DE6="alcance")),$CP6&lt;&gt;""),"","Base de alcance ausente: entidade/classe_6")</f>
        <v/>
      </c>
      <c r="EO6">
        <f>IF(ISTEXT($CP6),"","Base precisa ser texto: alcance/entidade/classe_6")</f>
        <v/>
      </c>
      <c r="EP6">
        <f>IF(OR(NOT(OR($DA6="alcance",$DE6="alcance")),$CI6="Fixo",$CP6="",$CP6="—",AND(RIGHT($CP6,2)=" m",IFERROR(VALUE(SUBSTITUTE(LEFT($CP6,MAX(0,LEN($CP6)-2)),",",""))/10^IFERROR(LEN(LEFT($CP6,MAX(0,LEN($CP6)-2)))-FIND(",",LEFT($CP6,MAX(0,LEN($CP6)-2))),0),-1)&gt;0)),"","Base incompatível com escada: alcance/entidade/classe_6")</f>
        <v/>
      </c>
      <c r="EQ6">
        <f>IF(OR(NOT(OR($DA6="alcance",$DE6="alcance")),$CQ6&lt;&gt;""),"","Base de alcance ausente: entidade/classe_7")</f>
        <v/>
      </c>
      <c r="ER6">
        <f>IF(ISTEXT($CQ6),"","Base precisa ser texto: alcance/entidade/classe_7")</f>
        <v/>
      </c>
      <c r="ES6">
        <f>IF(OR(NOT(OR($DA6="alcance",$DE6="alcance")),$CI6="Fixo",$CQ6="",$CQ6="—",AND(RIGHT($CQ6,2)=" m",IFERROR(VALUE(SUBSTITUTE(LEFT($CQ6,MAX(0,LEN($CQ6)-2)),",",""))/10^IFERROR(LEN(LEFT($CQ6,MAX(0,LEN($CQ6)-2)))-FIND(",",LEFT($CQ6,MAX(0,LEN($CQ6)-2))),0),-1)&gt;0)),"","Base incompatível com escada: alcance/entidade/classe_7")</f>
        <v/>
      </c>
      <c r="ET6">
        <f>IF(OR($CJ6="Fixo",$CJ6="raio",$CJ6="comprimento"),"","ESCADA inválida para area")</f>
        <v/>
      </c>
      <c r="EU6">
        <f>IF(ISTEXT($CR6),"","Base precisa ser texto: area/personagem/classe_0")</f>
        <v/>
      </c>
      <c r="EV6">
        <f>IF(OR(NOT(AND($CG6,OR($DA6="area",$DE6="area"))),$CJ6="Fixo",$CR6="",$CR6="—",AND(AND(AND(RIGHT($CR6,2)=" m",IFERROR(VALUE(SUBSTITUTE(LEFT($CR6,MAX(0,LEN($CR6)-2)),",",""))/10^IFERROR(LEN(LEFT($CR6,MAX(0,LEN($CR6)-2)))-FIND(",",LEFT($CR6,MAX(0,LEN($CR6)-2))),0),-1)&gt;0),OR($CJ6&lt;&gt;"raio",IFERROR(VALUE(SUBSTITUTE(LEFT($CR6,MAX(0,LEN($CR6)-2)),",",""))/10^IFERROR(LEN(LEFT($CR6,MAX(0,LEN($CR6)-2)))-FIND(",",LEFT($CR6,MAX(0,LEN($CR6)-2))),0),-1)&lt;=15.0)),OR($CJ6&lt;&gt;"comprimento",IFERROR(VALUE(SUBSTITUTE(LEFT($CR6,MAX(0,LEN($CR6)-2)),",",""))/10^IFERROR(LEN(LEFT($CR6,MAX(0,LEN($CR6)-2)))-FIND(",",LEFT($CR6,MAX(0,LEN($CR6)-2))),0),-1)&lt;=60.0))),"","Base incompatível com escada: area/personagem/classe_0")</f>
        <v/>
      </c>
      <c r="EW6">
        <f>IF(ISTEXT($CS6),"","Base precisa ser texto: area/personagem/classes_1_a_5")</f>
        <v/>
      </c>
      <c r="EX6">
        <f>IF(OR(NOT(OR($DA6="area",$DE6="area")),$CJ6="Fixo",$CS6="",$CS6="—",AND(AND(AND(RIGHT($CS6,2)=" m",IFERROR(VALUE(SUBSTITUTE(LEFT($CS6,MAX(0,LEN($CS6)-2)),",",""))/10^IFERROR(LEN(LEFT($CS6,MAX(0,LEN($CS6)-2)))-FIND(",",LEFT($CS6,MAX(0,LEN($CS6)-2))),0),-1)&gt;0),OR($CJ6&lt;&gt;"raio",IFERROR(VALUE(SUBSTITUTE(LEFT($CS6,MAX(0,LEN($CS6)-2)),",",""))/10^IFERROR(LEN(LEFT($CS6,MAX(0,LEN($CS6)-2)))-FIND(",",LEFT($CS6,MAX(0,LEN($CS6)-2))),0),-1)&lt;=15.0)),OR($CJ6&lt;&gt;"comprimento",IFERROR(VALUE(SUBSTITUTE(LEFT($CS6,MAX(0,LEN($CS6)-2)),",",""))/10^IFERROR(LEN(LEFT($CS6,MAX(0,LEN($CS6)-2)))-FIND(",",LEFT($CS6,MAX(0,LEN($CS6)-2))),0),-1)&lt;=60.0))),"","Base incompatível com escada: area/personagem/classes_1_a_5")</f>
        <v/>
      </c>
      <c r="EY6">
        <f>IF(ISTEXT($CT6),"","Base precisa ser texto: area/personagem/classes_6_e_7")</f>
        <v/>
      </c>
      <c r="EZ6">
        <f>IF(OR(NOT(OR($DA6="area",$DE6="area")),$CJ6="Fixo",$CT6="",$CT6="—",AND(AND(AND(RIGHT($CT6,2)=" m",IFERROR(VALUE(SUBSTITUTE(LEFT($CT6,MAX(0,LEN($CT6)-2)),",",""))/10^IFERROR(LEN(LEFT($CT6,MAX(0,LEN($CT6)-2)))-FIND(",",LEFT($CT6,MAX(0,LEN($CT6)-2))),0),-1)&gt;0),OR($CJ6&lt;&gt;"raio",IFERROR(VALUE(SUBSTITUTE(LEFT($CT6,MAX(0,LEN($CT6)-2)),",",""))/10^IFERROR(LEN(LEFT($CT6,MAX(0,LEN($CT6)-2)))-FIND(",",LEFT($CT6,MAX(0,LEN($CT6)-2))),0),-1)&lt;=15.0)),OR($CJ6&lt;&gt;"comprimento",IFERROR(VALUE(SUBSTITUTE(LEFT($CT6,MAX(0,LEN($CT6)-2)),",",""))/10^IFERROR(LEN(LEFT($CT6,MAX(0,LEN($CT6)-2)))-FIND(",",LEFT($CT6,MAX(0,LEN($CT6)-2))),0),-1)&lt;=60.0))),"","Base incompatível com escada: area/personagem/classes_6_e_7")</f>
        <v/>
      </c>
      <c r="FA6">
        <f>IF(ISTEXT($CU6),"","Base precisa ser texto: area/entidade/classe_0")</f>
        <v/>
      </c>
      <c r="FB6">
        <f>IF(OR(NOT(AND($CG6,OR($DA6="area",$DE6="area"))),$CJ6="Fixo",$CU6="",$CU6="—",AND(AND(AND(RIGHT($CU6,2)=" m",IFERROR(VALUE(SUBSTITUTE(LEFT($CU6,MAX(0,LEN($CU6)-2)),",",""))/10^IFERROR(LEN(LEFT($CU6,MAX(0,LEN($CU6)-2)))-FIND(",",LEFT($CU6,MAX(0,LEN($CU6)-2))),0),-1)&gt;0),OR($CJ6&lt;&gt;"raio",IFERROR(VALUE(SUBSTITUTE(LEFT($CU6,MAX(0,LEN($CU6)-2)),",",""))/10^IFERROR(LEN(LEFT($CU6,MAX(0,LEN($CU6)-2)))-FIND(",",LEFT($CU6,MAX(0,LEN($CU6)-2))),0),-1)&lt;=15.0)),OR($CJ6&lt;&gt;"comprimento",IFERROR(VALUE(SUBSTITUTE(LEFT($CU6,MAX(0,LEN($CU6)-2)),",",""))/10^IFERROR(LEN(LEFT($CU6,MAX(0,LEN($CU6)-2)))-FIND(",",LEFT($CU6,MAX(0,LEN($CU6)-2))),0),-1)&lt;=60.0))),"","Base incompatível com escada: area/entidade/classe_0")</f>
        <v/>
      </c>
      <c r="FC6">
        <f>IF(ISTEXT($CV6),"","Base precisa ser texto: area/entidade/classes_1_a_5")</f>
        <v/>
      </c>
      <c r="FD6">
        <f>IF(OR(NOT(OR($DA6="area",$DE6="area")),$CJ6="Fixo",$CV6="",$CV6="—",AND(AND(AND(RIGHT($CV6,2)=" m",IFERROR(VALUE(SUBSTITUTE(LEFT($CV6,MAX(0,LEN($CV6)-2)),",",""))/10^IFERROR(LEN(LEFT($CV6,MAX(0,LEN($CV6)-2)))-FIND(",",LEFT($CV6,MAX(0,LEN($CV6)-2))),0),-1)&gt;0),OR($CJ6&lt;&gt;"raio",IFERROR(VALUE(SUBSTITUTE(LEFT($CV6,MAX(0,LEN($CV6)-2)),",",""))/10^IFERROR(LEN(LEFT($CV6,MAX(0,LEN($CV6)-2)))-FIND(",",LEFT($CV6,MAX(0,LEN($CV6)-2))),0),-1)&lt;=15.0)),OR($CJ6&lt;&gt;"comprimento",IFERROR(VALUE(SUBSTITUTE(LEFT($CV6,MAX(0,LEN($CV6)-2)),",",""))/10^IFERROR(LEN(LEFT($CV6,MAX(0,LEN($CV6)-2)))-FIND(",",LEFT($CV6,MAX(0,LEN($CV6)-2))),0),-1)&lt;=60.0))),"","Base incompatível com escada: area/entidade/classes_1_a_5")</f>
        <v/>
      </c>
      <c r="FE6">
        <f>IF(ISTEXT($CW6),"","Base precisa ser texto: area/entidade/classe_6")</f>
        <v/>
      </c>
      <c r="FF6">
        <f>IF(OR(NOT(OR($DA6="area",$DE6="area")),$CJ6="Fixo",$CW6="",$CW6="—",AND(AND(AND(RIGHT($CW6,2)=" m",IFERROR(VALUE(SUBSTITUTE(LEFT($CW6,MAX(0,LEN($CW6)-2)),",",""))/10^IFERROR(LEN(LEFT($CW6,MAX(0,LEN($CW6)-2)))-FIND(",",LEFT($CW6,MAX(0,LEN($CW6)-2))),0),-1)&gt;0),OR($CJ6&lt;&gt;"raio",IFERROR(VALUE(SUBSTITUTE(LEFT($CW6,MAX(0,LEN($CW6)-2)),",",""))/10^IFERROR(LEN(LEFT($CW6,MAX(0,LEN($CW6)-2)))-FIND(",",LEFT($CW6,MAX(0,LEN($CW6)-2))),0),-1)&lt;=15.0)),OR($CJ6&lt;&gt;"comprimento",IFERROR(VALUE(SUBSTITUTE(LEFT($CW6,MAX(0,LEN($CW6)-2)),",",""))/10^IFERROR(LEN(LEFT($CW6,MAX(0,LEN($CW6)-2)))-FIND(",",LEFT($CW6,MAX(0,LEN($CW6)-2))),0),-1)&lt;=60.0))),"","Base incompatível com escada: area/entidade/classe_6")</f>
        <v/>
      </c>
      <c r="FG6">
        <f>IF(ISTEXT($CX6),"","Base precisa ser texto: area/entidade/classe_7")</f>
        <v/>
      </c>
      <c r="FH6">
        <f>IF(OR(NOT(OR($DA6="area",$DE6="area")),$CJ6="Fixo",$CX6="",$CX6="—",AND(AND(AND(RIGHT($CX6,2)=" m",IFERROR(VALUE(SUBSTITUTE(LEFT($CX6,MAX(0,LEN($CX6)-2)),",",""))/10^IFERROR(LEN(LEFT($CX6,MAX(0,LEN($CX6)-2)))-FIND(",",LEFT($CX6,MAX(0,LEN($CX6)-2))),0),-1)&gt;0),OR($CJ6&lt;&gt;"raio",IFERROR(VALUE(SUBSTITUTE(LEFT($CX6,MAX(0,LEN($CX6)-2)),",",""))/10^IFERROR(LEN(LEFT($CX6,MAX(0,LEN($CX6)-2)))-FIND(",",LEFT($CX6,MAX(0,LEN($CX6)-2))),0),-1)&lt;=15.0)),OR($CJ6&lt;&gt;"comprimento",IFERROR(VALUE(SUBSTITUTE(LEFT($CX6,MAX(0,LEN($CX6)-2)),",",""))/10^IFERROR(LEN(LEFT($CX6,MAX(0,LEN($CX6)-2)))-FIND(",",LEFT($CX6,MAX(0,LEN($CX6)-2))),0),-1)&lt;=60.0))),"","Base incompatível com escada: area/entidade/classe_7")</f>
        <v/>
      </c>
      <c r="FJ6">
        <f>'DADOS_FORMAS'!$AH6</f>
        <v/>
      </c>
      <c r="FK6">
        <f>'DADOS_FORMAS'!$AM6</f>
        <v/>
      </c>
      <c r="FL6">
        <f>'DADOS_FORMAS'!$AN6</f>
        <v/>
      </c>
      <c r="FM6">
        <f>IF('DADOS_FORMAS'!$AN6=0,0,'DADOS_FORMAS'!$AN6+3*IFERROR(VLOOKUP(SUBSTITUTE(SUBSTITUTE(SUBSTITUTE('DADOS_FORMAS'!$AM6,"~","~~"),"*","~*"),"?","~?"),'DADOS_CRIACAO'!$H$2:$K$20,3,FALSE),0))</f>
        <v/>
      </c>
      <c r="FN6">
        <f>IFERROR(VLOOKUP(SUBSTITUTE(SUBSTITUTE(SUBSTITUTE('DADOS_FORMAS'!$AM6,"~","~~"),"*","~*"),"?","~?"),'DADOS_CRIACAO'!$H$2:$K$20,4,FALSE),0)</f>
        <v/>
      </c>
      <c r="FO6">
        <f>IF('DADOS_FORMAS'!$AS6="",0,1)</f>
        <v/>
      </c>
      <c r="FP6">
        <f>'DADOS_FORMAS'!$AP6</f>
        <v/>
      </c>
      <c r="FQ6">
        <f>IF(AND('DADOS_FORMAS'!$AO6="Acerto",'DADOS_FORMAS'!$AQ6),"Acerto + TR",'DADOS_FORMAS'!$AO6)</f>
        <v/>
      </c>
      <c r="FR6">
        <f>N(OR('DADOS_FORMAS'!$AQ6,'DADOS_FORMAS'!$AO6="TR, metade"))</f>
        <v/>
      </c>
      <c r="FS6">
        <f>'DADOS_FORMAS'!$BO6</f>
        <v/>
      </c>
      <c r="FT6">
        <f>'DADOS_FORMAS'!$BS6</f>
        <v/>
      </c>
      <c r="FU6">
        <f>'DADOS_FORMAS'!$BK6</f>
        <v/>
      </c>
      <c r="FV6">
        <f>N('DADOS_FORMAS'!$AR6)</f>
        <v/>
      </c>
      <c r="FW6">
        <f>IF(IFERROR(VLOOKUP(SUBSTITUTE(SUBSTITUTE(SUBSTITUTE('DADOS_FORMAS'!$AM6,"~","~~"),"*","~*"),"?","~?"),'DADOS_CRIACAO'!$H$2:$K$20,4,FALSE),0)=1,"",'DADOS_FORMAS'!$AH6)</f>
        <v/>
      </c>
      <c r="FX6">
        <f>IF(AND('DADOS_FORMAS'!$AR6,IFERROR(VLOOKUP(SUBSTITUTE(SUBSTITUTE(SUBSTITUTE('DADOS_FORMAS'!$AM6,"~","~~"),"*","~*"),"?","~?"),'DADOS_CRIACAO'!$H$2:$K$20,4,FALSE),0)=0),'DADOS_FORMAS'!$AH6,"")</f>
        <v/>
      </c>
      <c r="FZ6">
        <f>'DADOS_FORMAS'!$AH6</f>
        <v/>
      </c>
      <c r="GA6">
        <f>'DADOS_FORMAS'!$AM6</f>
        <v/>
      </c>
      <c r="GB6">
        <f>'DADOS_FORMAS'!$AN6</f>
        <v/>
      </c>
      <c r="GC6">
        <f>IF('DADOS_FORMAS'!$AS6="",0,1)</f>
        <v/>
      </c>
      <c r="GD6">
        <f>'DADOS_FORMAS'!$AP6</f>
        <v/>
      </c>
      <c r="GE6">
        <f>IF('DADOS_FORMAS'!$AO6="Acerto","Ataque",IF('DADOS_FORMAS'!$AQ6,"TR","—"))</f>
        <v/>
      </c>
      <c r="GF6">
        <f>N(OR('DADOS_FORMAS'!$AQ6,'DADOS_FORMAS'!$AO6="TR, metade"))</f>
        <v/>
      </c>
      <c r="GG6">
        <f>'DADOS_FORMAS'!$BO6</f>
        <v/>
      </c>
      <c r="GH6">
        <f>'DADOS_FORMAS'!$BS6</f>
        <v/>
      </c>
      <c r="GI6">
        <f>'DADOS_FORMAS'!$BK6</f>
        <v/>
      </c>
      <c r="GJ6">
        <f>N('DADOS_FORMAS'!$AR6)</f>
        <v/>
      </c>
      <c r="GL6" t="inlineStr">
        <is>
          <t>90 m</t>
        </is>
      </c>
      <c r="GN6" t="inlineStr">
        <is>
          <t>15 m</t>
        </is>
      </c>
      <c r="GP6" t="inlineStr">
        <is>
          <t>60 m</t>
        </is>
      </c>
      <c r="GR6">
        <f>'DADOS_FORMAS'!$BL12</f>
        <v/>
      </c>
      <c r="GS6">
        <f>IF('DADOS_FORMAS'!$BL12="area",'DADOS_FORMAS'!$AU12,'DADOS_FORMAS'!$AT12)</f>
        <v/>
      </c>
      <c r="GT6">
        <f>IF('DADOS_FORMAS'!$BL12="area",'DADOS_FORMAS'!$BE12,'DADOS_FORMAS'!$AX12)</f>
        <v/>
      </c>
      <c r="GU6">
        <f>'DADOS_FORMAS'!$BM12</f>
        <v/>
      </c>
      <c r="GV6">
        <f>'DADOS_FORMAS'!$BN12</f>
        <v/>
      </c>
      <c r="GW6">
        <f>LET(base,'DADOS_FORMAS'!$GT6,escada,'DADOS_FORMAS'!$GS6,medida,LEFT(base,MAX(0,LEN(base)-2)),valor,IFERROR(VALUE(SUBSTITUTE(medida,",",""))/10^IFERROR(LEN(medida)-FIND(",",medida),0),1E99),IF(OR(escada="Fixo",base="—"),base,IF(escada="alcance",IFERROR(MATCH(base,{"1,5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 t="inlineStr">
        <is>
          <t>Toque · classes 1 a 5</t>
        </is>
      </c>
      <c r="GZ6" t="inlineStr">
        <is>
          <t>1,5 m, um alvo</t>
        </is>
      </c>
      <c r="HA6" t="inlineStr">
        <is>
          <t>1,5 m, um alvo</t>
        </is>
      </c>
      <c r="HB6" t="inlineStr">
        <is>
          <t>1,5 m, um alvo</t>
        </is>
      </c>
      <c r="HC6" t="inlineStr">
        <is>
          <t>1,5 m, um alvo</t>
        </is>
      </c>
      <c r="HD6" t="inlineStr">
        <is>
          <t>1,5 m, um alvo</t>
        </is>
      </c>
      <c r="HE6" t="inlineStr">
        <is>
          <t>1,5 m, um alvo</t>
        </is>
      </c>
      <c r="HF6" t="inlineStr"/>
      <c r="HG6" t="inlineStr"/>
      <c r="HH6" t="inlineStr"/>
      <c r="HI6" t="inlineStr"/>
      <c r="HJ6" t="inlineStr"/>
      <c r="HK6" t="inlineStr"/>
      <c r="HM6">
        <f>'DADOS_FORMAS'!$BL12</f>
        <v/>
      </c>
      <c r="HN6">
        <f>IF('DADOS_FORMAS'!$BL12="area",'DADOS_FORMAS'!$AU12,'DADOS_FORMAS'!$AT12)</f>
        <v/>
      </c>
      <c r="HO6">
        <f>IF('DADOS_FORMAS'!$BL12="area",'DADOS_FORMAS'!$BH12,'DADOS_FORMAS'!$BA12)</f>
        <v/>
      </c>
      <c r="HP6">
        <f>'DADOS_FORMAS'!$BM12</f>
        <v/>
      </c>
      <c r="HQ6">
        <f>'DADOS_FORMAS'!$BN12</f>
        <v/>
      </c>
      <c r="HR6">
        <f>LET(base,'DADOS_FORMAS'!$HO6,escada,'DADOS_FORMAS'!$HN6,medida,LEFT(base,MAX(0,LEN(base)-2)),valor,IFERROR(VALUE(SUBSTITUTE(medida,",",""))/10^IFERROR(LEN(medida)-FIND(",",medida),0),1E99),IF(OR(escada="Fixo",base="—"),base,IF(escada="alcance",IFERROR(MATCH(base,{"1,5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 t="inlineStr">
        <is>
          <t>Toque · classe 0</t>
        </is>
      </c>
      <c r="HU6" t="inlineStr">
        <is>
          <t>1,5 m, um alvo</t>
        </is>
      </c>
      <c r="HV6" t="inlineStr">
        <is>
          <t>1,5 m, um alvo</t>
        </is>
      </c>
      <c r="HW6" t="inlineStr">
        <is>
          <t>1,5 m, um alvo</t>
        </is>
      </c>
      <c r="HX6" t="inlineStr">
        <is>
          <t>1,5 m, um alvo</t>
        </is>
      </c>
      <c r="HY6" t="inlineStr">
        <is>
          <t>1,5 m, um alvo</t>
        </is>
      </c>
      <c r="HZ6" t="inlineStr">
        <is>
          <t>1,5 m, um alvo</t>
        </is>
      </c>
      <c r="IA6" t="inlineStr"/>
      <c r="IB6" t="inlineStr"/>
      <c r="IC6" t="inlineStr"/>
      <c r="ID6" t="inlineStr"/>
      <c r="IE6" t="inlineStr"/>
      <c r="IF6" t="inlineStr"/>
      <c r="IH6">
        <f>IF(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H6,"")</f>
        <v/>
      </c>
      <c r="II6">
        <f>IF(AND(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R6),'DADOS_FORMAS'!$AH6,"")</f>
        <v/>
      </c>
      <c r="IK6">
        <f>IF(OR('DADOS_FORMAS'!$AM6='INVOCAÇÕES'!$O$246,'DADOS_FORMAS'!$AM6='INVOCAÇÕES'!$P$246,'DADOS_FORMAS'!$AM6='INVOCAÇÕES'!$Q$246,'DADOS_FORMAS'!$AM6='INVOCAÇÕES'!$R$246,'DADOS_FORMAS'!$AM6='INVOCAÇÕES'!$S$246,'DADOS_FORMAS'!$AM6='INVOCAÇÕES'!$O$248,'DADOS_FORMAS'!$AM6='INVOCAÇÕES'!$P$248,'DADOS_FORMAS'!$AM6='INVOCAÇÕES'!$Q$248,'DADOS_FORMAS'!$AM6='INVOCAÇÕES'!$R$248,'DADOS_FORMAS'!$AM6=""),'DADOS_FORMAS'!$AH6,"")</f>
        <v/>
      </c>
      <c r="IL6">
        <f>IF(AND(OR('DADOS_FORMAS'!$AM6='INVOCAÇÕES'!$O$246,'DADOS_FORMAS'!$AM6='INVOCAÇÕES'!$P$246,'DADOS_FORMAS'!$AM6='INVOCAÇÕES'!$Q$246,'DADOS_FORMAS'!$AM6='INVOCAÇÕES'!$R$246,'DADOS_FORMAS'!$AM6='INVOCAÇÕES'!$S$246,'DADOS_FORMAS'!$AM6='INVOCAÇÕES'!$O$248,'DADOS_FORMAS'!$AM6='INVOCAÇÕES'!$P$248,'DADOS_FORMAS'!$AM6='INVOCAÇÕES'!$Q$248,'DADOS_FORMAS'!$AM6='INVOCAÇÕES'!$R$248,'DADOS_FORMAS'!$AM6=""),'DADOS_FORMAS'!$AR6),'DADOS_FORMAS'!$AH6,"")</f>
        <v/>
      </c>
      <c r="IN6">
        <f>IF(OR('DADOS_FORMAS'!$AM6='INVOCAÇÕES'!$O$444,'DADOS_FORMAS'!$AM6='INVOCAÇÕES'!$P$444,'DADOS_FORMAS'!$AM6='INVOCAÇÕES'!$Q$444,'DADOS_FORMAS'!$AM6='INVOCAÇÕES'!$R$444,'DADOS_FORMAS'!$AM6='INVOCAÇÕES'!$S$444,'DADOS_FORMAS'!$AM6='INVOCAÇÕES'!$O$446,'DADOS_FORMAS'!$AM6='INVOCAÇÕES'!$P$446,'DADOS_FORMAS'!$AM6='INVOCAÇÕES'!$Q$446,'DADOS_FORMAS'!$AM6='INVOCAÇÕES'!$R$446,'DADOS_FORMAS'!$AM6=""),'DADOS_FORMAS'!$AH6,"")</f>
        <v/>
      </c>
      <c r="IO6">
        <f>IF(AND(OR('DADOS_FORMAS'!$AM6='INVOCAÇÕES'!$O$444,'DADOS_FORMAS'!$AM6='INVOCAÇÕES'!$P$444,'DADOS_FORMAS'!$AM6='INVOCAÇÕES'!$Q$444,'DADOS_FORMAS'!$AM6='INVOCAÇÕES'!$R$444,'DADOS_FORMAS'!$AM6='INVOCAÇÕES'!$S$444,'DADOS_FORMAS'!$AM6='INVOCAÇÕES'!$O$446,'DADOS_FORMAS'!$AM6='INVOCAÇÕES'!$P$446,'DADOS_FORMAS'!$AM6='INVOCAÇÕES'!$Q$446,'DADOS_FORMAS'!$AM6='INVOCAÇÕES'!$R$446,'DADOS_FORMAS'!$AM6=""),'DADOS_FORMAS'!$AR6),'DADOS_FORMAS'!$AH6,"")</f>
        <v/>
      </c>
      <c r="IQ6">
        <f>IF(OR('DADOS_FORMAS'!$AM6='INVOCAÇÕES'!$O$642,'DADOS_FORMAS'!$AM6='INVOCAÇÕES'!$P$642,'DADOS_FORMAS'!$AM6='INVOCAÇÕES'!$Q$642,'DADOS_FORMAS'!$AM6='INVOCAÇÕES'!$R$642,'DADOS_FORMAS'!$AM6='INVOCAÇÕES'!$S$642,'DADOS_FORMAS'!$AM6='INVOCAÇÕES'!$O$644,'DADOS_FORMAS'!$AM6='INVOCAÇÕES'!$P$644,'DADOS_FORMAS'!$AM6='INVOCAÇÕES'!$Q$644,'DADOS_FORMAS'!$AM6='INVOCAÇÕES'!$R$644,'DADOS_FORMAS'!$AM6=""),'DADOS_FORMAS'!$AH6,"")</f>
        <v/>
      </c>
      <c r="IR6">
        <f>IF(AND(OR('DADOS_FORMAS'!$AM6='INVOCAÇÕES'!$O$642,'DADOS_FORMAS'!$AM6='INVOCAÇÕES'!$P$642,'DADOS_FORMAS'!$AM6='INVOCAÇÕES'!$Q$642,'DADOS_FORMAS'!$AM6='INVOCAÇÕES'!$R$642,'DADOS_FORMAS'!$AM6='INVOCAÇÕES'!$S$642,'DADOS_FORMAS'!$AM6='INVOCAÇÕES'!$O$644,'DADOS_FORMAS'!$AM6='INVOCAÇÕES'!$P$644,'DADOS_FORMAS'!$AM6='INVOCAÇÕES'!$Q$644,'DADOS_FORMAS'!$AM6='INVOCAÇÕES'!$R$644,'DADOS_FORMAS'!$AM6=""),'DADOS_FORMAS'!$AR6),'DADOS_FORMAS'!$AH6,"")</f>
        <v/>
      </c>
      <c r="IT6">
        <f>IF(OR('DADOS_FORMAS'!$AM6='INVOCAÇÕES'!$O$840,'DADOS_FORMAS'!$AM6='INVOCAÇÕES'!$P$840,'DADOS_FORMAS'!$AM6='INVOCAÇÕES'!$Q$840,'DADOS_FORMAS'!$AM6='INVOCAÇÕES'!$R$840,'DADOS_FORMAS'!$AM6='INVOCAÇÕES'!$S$840,'DADOS_FORMAS'!$AM6='INVOCAÇÕES'!$O$842,'DADOS_FORMAS'!$AM6='INVOCAÇÕES'!$P$842,'DADOS_FORMAS'!$AM6='INVOCAÇÕES'!$Q$842,'DADOS_FORMAS'!$AM6='INVOCAÇÕES'!$R$842,'DADOS_FORMAS'!$AM6=""),'DADOS_FORMAS'!$AH6,"")</f>
        <v/>
      </c>
      <c r="IU6">
        <f>IF(AND(OR('DADOS_FORMAS'!$AM6='INVOCAÇÕES'!$O$840,'DADOS_FORMAS'!$AM6='INVOCAÇÕES'!$P$840,'DADOS_FORMAS'!$AM6='INVOCAÇÕES'!$Q$840,'DADOS_FORMAS'!$AM6='INVOCAÇÕES'!$R$840,'DADOS_FORMAS'!$AM6='INVOCAÇÕES'!$S$840,'DADOS_FORMAS'!$AM6='INVOCAÇÕES'!$O$842,'DADOS_FORMAS'!$AM6='INVOCAÇÕES'!$P$842,'DADOS_FORMAS'!$AM6='INVOCAÇÕES'!$Q$842,'DADOS_FORMAS'!$AM6='INVOCAÇÕES'!$R$842,'DADOS_FORMAS'!$AM6=""),'DADOS_FORMAS'!$AR6),'DADOS_FORMAS'!$AH6,"")</f>
        <v/>
      </c>
      <c r="IW6">
        <f>IF(OR('DADOS_FORMAS'!$AM6='INVOCAÇÕES'!$O$1038,'DADOS_FORMAS'!$AM6='INVOCAÇÕES'!$P$1038,'DADOS_FORMAS'!$AM6='INVOCAÇÕES'!$Q$1038,'DADOS_FORMAS'!$AM6='INVOCAÇÕES'!$R$1038,'DADOS_FORMAS'!$AM6='INVOCAÇÕES'!$S$1038,'DADOS_FORMAS'!$AM6='INVOCAÇÕES'!$O$1040,'DADOS_FORMAS'!$AM6='INVOCAÇÕES'!$P$1040,'DADOS_FORMAS'!$AM6='INVOCAÇÕES'!$Q$1040,'DADOS_FORMAS'!$AM6='INVOCAÇÕES'!$R$1040,'DADOS_FORMAS'!$AM6=""),'DADOS_FORMAS'!$AH6,"")</f>
        <v/>
      </c>
      <c r="IX6">
        <f>IF(AND(OR('DADOS_FORMAS'!$AM6='INVOCAÇÕES'!$O$1038,'DADOS_FORMAS'!$AM6='INVOCAÇÕES'!$P$1038,'DADOS_FORMAS'!$AM6='INVOCAÇÕES'!$Q$1038,'DADOS_FORMAS'!$AM6='INVOCAÇÕES'!$R$1038,'DADOS_FORMAS'!$AM6='INVOCAÇÕES'!$S$1038,'DADOS_FORMAS'!$AM6='INVOCAÇÕES'!$O$1040,'DADOS_FORMAS'!$AM6='INVOCAÇÕES'!$P$1040,'DADOS_FORMAS'!$AM6='INVOCAÇÕES'!$Q$1040,'DADOS_FORMAS'!$AM6='INVOCAÇÕES'!$R$1040,'DADOS_FORMAS'!$AM6=""),'DADOS_FORMAS'!$AR6),'DADOS_FORMAS'!$AH6,"")</f>
        <v/>
      </c>
      <c r="IZ6">
        <f>IF(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H6,"")</f>
        <v/>
      </c>
      <c r="JA6">
        <f>IF(AND(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R6),'DADOS_FORMAS'!$AH6,"")</f>
        <v/>
      </c>
      <c r="JC6">
        <f>IF(OR('DADOS_FORMAS'!$AM6='INVOCAÇÕES'!$AH$246,'DADOS_FORMAS'!$AM6='INVOCAÇÕES'!$AI$246,'DADOS_FORMAS'!$AM6='INVOCAÇÕES'!$AJ$246,'DADOS_FORMAS'!$AM6='INVOCAÇÕES'!$AK$246,'DADOS_FORMAS'!$AM6='INVOCAÇÕES'!$AL$246,'DADOS_FORMAS'!$AM6='INVOCAÇÕES'!$AH$248,'DADOS_FORMAS'!$AM6='INVOCAÇÕES'!$AI$248,'DADOS_FORMAS'!$AM6='INVOCAÇÕES'!$AJ$248,'DADOS_FORMAS'!$AM6='INVOCAÇÕES'!$AK$248,'DADOS_FORMAS'!$AM6=""),'DADOS_FORMAS'!$AH6,"")</f>
        <v/>
      </c>
      <c r="JD6">
        <f>IF(AND(OR('DADOS_FORMAS'!$AM6='INVOCAÇÕES'!$AH$246,'DADOS_FORMAS'!$AM6='INVOCAÇÕES'!$AI$246,'DADOS_FORMAS'!$AM6='INVOCAÇÕES'!$AJ$246,'DADOS_FORMAS'!$AM6='INVOCAÇÕES'!$AK$246,'DADOS_FORMAS'!$AM6='INVOCAÇÕES'!$AL$246,'DADOS_FORMAS'!$AM6='INVOCAÇÕES'!$AH$248,'DADOS_FORMAS'!$AM6='INVOCAÇÕES'!$AI$248,'DADOS_FORMAS'!$AM6='INVOCAÇÕES'!$AJ$248,'DADOS_FORMAS'!$AM6='INVOCAÇÕES'!$AK$248,'DADOS_FORMAS'!$AM6=""),'DADOS_FORMAS'!$AR6),'DADOS_FORMAS'!$AH6,"")</f>
        <v/>
      </c>
      <c r="JF6">
        <f>IF(OR('DADOS_FORMAS'!$AM6='INVOCAÇÕES'!$AH$444,'DADOS_FORMAS'!$AM6='INVOCAÇÕES'!$AI$444,'DADOS_FORMAS'!$AM6='INVOCAÇÕES'!$AJ$444,'DADOS_FORMAS'!$AM6='INVOCAÇÕES'!$AK$444,'DADOS_FORMAS'!$AM6='INVOCAÇÕES'!$AL$444,'DADOS_FORMAS'!$AM6='INVOCAÇÕES'!$AH$446,'DADOS_FORMAS'!$AM6='INVOCAÇÕES'!$AI$446,'DADOS_FORMAS'!$AM6='INVOCAÇÕES'!$AJ$446,'DADOS_FORMAS'!$AM6='INVOCAÇÕES'!$AK$446,'DADOS_FORMAS'!$AM6=""),'DADOS_FORMAS'!$AH6,"")</f>
        <v/>
      </c>
      <c r="JG6">
        <f>IF(AND(OR('DADOS_FORMAS'!$AM6='INVOCAÇÕES'!$AH$444,'DADOS_FORMAS'!$AM6='INVOCAÇÕES'!$AI$444,'DADOS_FORMAS'!$AM6='INVOCAÇÕES'!$AJ$444,'DADOS_FORMAS'!$AM6='INVOCAÇÕES'!$AK$444,'DADOS_FORMAS'!$AM6='INVOCAÇÕES'!$AL$444,'DADOS_FORMAS'!$AM6='INVOCAÇÕES'!$AH$446,'DADOS_FORMAS'!$AM6='INVOCAÇÕES'!$AI$446,'DADOS_FORMAS'!$AM6='INVOCAÇÕES'!$AJ$446,'DADOS_FORMAS'!$AM6='INVOCAÇÕES'!$AK$446,'DADOS_FORMAS'!$AM6=""),'DADOS_FORMAS'!$AR6),'DADOS_FORMAS'!$AH6,"")</f>
        <v/>
      </c>
      <c r="JI6">
        <f>IF(OR('DADOS_FORMAS'!$AM6='INVOCAÇÕES'!$AH$642,'DADOS_FORMAS'!$AM6='INVOCAÇÕES'!$AI$642,'DADOS_FORMAS'!$AM6='INVOCAÇÕES'!$AJ$642,'DADOS_FORMAS'!$AM6='INVOCAÇÕES'!$AK$642,'DADOS_FORMAS'!$AM6='INVOCAÇÕES'!$AL$642,'DADOS_FORMAS'!$AM6='INVOCAÇÕES'!$AH$644,'DADOS_FORMAS'!$AM6='INVOCAÇÕES'!$AI$644,'DADOS_FORMAS'!$AM6='INVOCAÇÕES'!$AJ$644,'DADOS_FORMAS'!$AM6='INVOCAÇÕES'!$AK$644,'DADOS_FORMAS'!$AM6=""),'DADOS_FORMAS'!$AH6,"")</f>
        <v/>
      </c>
      <c r="JJ6">
        <f>IF(AND(OR('DADOS_FORMAS'!$AM6='INVOCAÇÕES'!$AH$642,'DADOS_FORMAS'!$AM6='INVOCAÇÕES'!$AI$642,'DADOS_FORMAS'!$AM6='INVOCAÇÕES'!$AJ$642,'DADOS_FORMAS'!$AM6='INVOCAÇÕES'!$AK$642,'DADOS_FORMAS'!$AM6='INVOCAÇÕES'!$AL$642,'DADOS_FORMAS'!$AM6='INVOCAÇÕES'!$AH$644,'DADOS_FORMAS'!$AM6='INVOCAÇÕES'!$AI$644,'DADOS_FORMAS'!$AM6='INVOCAÇÕES'!$AJ$644,'DADOS_FORMAS'!$AM6='INVOCAÇÕES'!$AK$644,'DADOS_FORMAS'!$AM6=""),'DADOS_FORMAS'!$AR6),'DADOS_FORMAS'!$AH6,"")</f>
        <v/>
      </c>
      <c r="JL6">
        <f>IF(OR('DADOS_FORMAS'!$AM6='INVOCAÇÕES'!$AH$840,'DADOS_FORMAS'!$AM6='INVOCAÇÕES'!$AI$840,'DADOS_FORMAS'!$AM6='INVOCAÇÕES'!$AJ$840,'DADOS_FORMAS'!$AM6='INVOCAÇÕES'!$AK$840,'DADOS_FORMAS'!$AM6='INVOCAÇÕES'!$AL$840,'DADOS_FORMAS'!$AM6='INVOCAÇÕES'!$AH$842,'DADOS_FORMAS'!$AM6='INVOCAÇÕES'!$AI$842,'DADOS_FORMAS'!$AM6='INVOCAÇÕES'!$AJ$842,'DADOS_FORMAS'!$AM6='INVOCAÇÕES'!$AK$842,'DADOS_FORMAS'!$AM6=""),'DADOS_FORMAS'!$AH6,"")</f>
        <v/>
      </c>
      <c r="JM6">
        <f>IF(AND(OR('DADOS_FORMAS'!$AM6='INVOCAÇÕES'!$AH$840,'DADOS_FORMAS'!$AM6='INVOCAÇÕES'!$AI$840,'DADOS_FORMAS'!$AM6='INVOCAÇÕES'!$AJ$840,'DADOS_FORMAS'!$AM6='INVOCAÇÕES'!$AK$840,'DADOS_FORMAS'!$AM6='INVOCAÇÕES'!$AL$840,'DADOS_FORMAS'!$AM6='INVOCAÇÕES'!$AH$842,'DADOS_FORMAS'!$AM6='INVOCAÇÕES'!$AI$842,'DADOS_FORMAS'!$AM6='INVOCAÇÕES'!$AJ$842,'DADOS_FORMAS'!$AM6='INVOCAÇÕES'!$AK$842,'DADOS_FORMAS'!$AM6=""),'DADOS_FORMAS'!$AR6),'DADOS_FORMAS'!$AH6,"")</f>
        <v/>
      </c>
      <c r="JO6">
        <f>IF(OR('DADOS_FORMAS'!$AM6='INVOCAÇÕES'!$AH$1038,'DADOS_FORMAS'!$AM6='INVOCAÇÕES'!$AI$1038,'DADOS_FORMAS'!$AM6='INVOCAÇÕES'!$AJ$1038,'DADOS_FORMAS'!$AM6='INVOCAÇÕES'!$AK$1038,'DADOS_FORMAS'!$AM6='INVOCAÇÕES'!$AL$1038,'DADOS_FORMAS'!$AM6='INVOCAÇÕES'!$AH$1040,'DADOS_FORMAS'!$AM6='INVOCAÇÕES'!$AI$1040,'DADOS_FORMAS'!$AM6='INVOCAÇÕES'!$AJ$1040,'DADOS_FORMAS'!$AM6='INVOCAÇÕES'!$AK$1040,'DADOS_FORMAS'!$AM6=""),'DADOS_FORMAS'!$AH6,"")</f>
        <v/>
      </c>
      <c r="JP6">
        <f>IF(AND(OR('DADOS_FORMAS'!$AM6='INVOCAÇÕES'!$AH$1038,'DADOS_FORMAS'!$AM6='INVOCAÇÕES'!$AI$1038,'DADOS_FORMAS'!$AM6='INVOCAÇÕES'!$AJ$1038,'DADOS_FORMAS'!$AM6='INVOCAÇÕES'!$AK$1038,'DADOS_FORMAS'!$AM6='INVOCAÇÕES'!$AL$1038,'DADOS_FORMAS'!$AM6='INVOCAÇÕES'!$AH$1040,'DADOS_FORMAS'!$AM6='INVOCAÇÕES'!$AI$1040,'DADOS_FORMAS'!$AM6='INVOCAÇÕES'!$AJ$1040,'DADOS_FORMAS'!$AM6='INVOCAÇÕES'!$AK$1040,'DADOS_FORMAS'!$AM6=""),'DADOS_FORMAS'!$AR6),'DADOS_FORMAS'!$AH6,"")</f>
        <v/>
      </c>
      <c r="JR6" t="inlineStr">
        <is>
          <t>Aura</t>
        </is>
      </c>
      <c r="JZ6">
        <f>IFERROR(INDEX('DADOS_CRIACAO'!$H$2:$H$20,4),"")</f>
        <v/>
      </c>
      <c r="KA6">
        <f>IFERROR(INDEX(INDEX('DADOS_RESTRICOES'!$M$2:$Q$54,0,1),4),"")</f>
        <v/>
      </c>
    </row>
    <row r="7">
      <c r="A7">
        <f>IF(ISBLANK('CONFIGURAÇÃO'!$J$1974),"",'CONFIGURAÇÃO'!$J$1974)</f>
        <v/>
      </c>
      <c r="B7">
        <f>IF(ISBLANK('CONFIGURAÇÃO'!$J$1976),"",'CONFIGURAÇÃO'!$J$1976)</f>
        <v/>
      </c>
      <c r="C7">
        <f>IF(ISBLANK('CONFIGURAÇÃO'!$M$1977),"",'CONFIGURAÇÃO'!$M$1977)</f>
        <v/>
      </c>
      <c r="D7">
        <f>IF(ISBLANK('CONFIGURAÇÃO'!$N$1974),"",'CONFIGURAÇÃO'!$N$1974)</f>
        <v/>
      </c>
      <c r="E7">
        <f>IF(ISBLANK('CONFIGURAÇÃO'!$J$2003),"",'CONFIGURAÇÃO'!$J$2003)</f>
        <v/>
      </c>
      <c r="F7">
        <f>IF(ISBLANK('CONFIGURAÇÃO'!$J$2009),"",'CONFIGURAÇÃO'!$J$2009)</f>
        <v/>
      </c>
      <c r="G7">
        <f>IF(ISBLANK('CONFIGURAÇÃO'!$M$1978),"",'CONFIGURAÇÃO'!$M$1978)</f>
        <v/>
      </c>
      <c r="H7">
        <f>IF(ISBLANK('CONFIGURAÇÃO'!$M$1979),"",'CONFIGURAÇÃO'!$M$1979)</f>
        <v/>
      </c>
      <c r="I7">
        <f>IF(ISBLANK('CONFIGURAÇÃO'!$M$1980),"",'CONFIGURAÇÃO'!$M$1980)</f>
        <v/>
      </c>
      <c r="J7">
        <f>IF(ISBLANK('CONFIGURAÇÃO'!$M$1981),"",'CONFIGURAÇÃO'!$M$1981)</f>
        <v/>
      </c>
      <c r="K7">
        <f>IF(ISBLANK('CONFIGURAÇÃO'!$M$1982),"",'CONFIGURAÇÃO'!$M$1982)</f>
        <v/>
      </c>
      <c r="L7">
        <f>IF(ISBLANK('CONFIGURAÇÃO'!$M$1983),"",'CONFIGURAÇÃO'!$M$1983)</f>
        <v/>
      </c>
      <c r="M7">
        <f>IF(ISBLANK('CONFIGURAÇÃO'!$M$1984),"",'CONFIGURAÇÃO'!$M$1984)</f>
        <v/>
      </c>
      <c r="N7">
        <f>IF(ISBLANK('CONFIGURAÇÃO'!$M$1985),"",'CONFIGURAÇÃO'!$M$1985)</f>
        <v/>
      </c>
      <c r="O7">
        <f>IF(ISBLANK('CONFIGURAÇÃO'!$M$1986),"",'CONFIGURAÇÃO'!$M$1986)</f>
        <v/>
      </c>
      <c r="P7">
        <f>IF(ISBLANK('CONFIGURAÇÃO'!$M$1987),"",'CONFIGURAÇÃO'!$M$1987)</f>
        <v/>
      </c>
      <c r="Q7">
        <f>IF(ISBLANK('CONFIGURAÇÃO'!$M$1988),"",'CONFIGURAÇÃO'!$M$1988)</f>
        <v/>
      </c>
      <c r="R7">
        <f>IF(ISBLANK('CONFIGURAÇÃO'!$M$1989),"",'CONFIGURAÇÃO'!$M$1989)</f>
        <v/>
      </c>
      <c r="S7">
        <f>IF(ISBLANK('CONFIGURAÇÃO'!$M$1990),"",'CONFIGURAÇÃO'!$M$1990)</f>
        <v/>
      </c>
      <c r="T7">
        <f>IF(ISBLANK('CONFIGURAÇÃO'!$M$1991),"",'CONFIGURAÇÃO'!$M$1991)</f>
        <v/>
      </c>
      <c r="U7">
        <f>IF(ISBLANK('CONFIGURAÇÃO'!$M$1992),"",'CONFIGURAÇÃO'!$M$1992)</f>
        <v/>
      </c>
      <c r="V7">
        <f>IF(ISBLANK('CONFIGURAÇÃO'!$M$1993),"",'CONFIGURAÇÃO'!$M$1993)</f>
        <v/>
      </c>
      <c r="W7">
        <f>IF(ISBLANK('CONFIGURAÇÃO'!$M$1994),"",'CONFIGURAÇÃO'!$M$1994)</f>
        <v/>
      </c>
      <c r="X7">
        <f>IF(ISBLANK('CONFIGURAÇÃO'!$M$1995),"",'CONFIGURAÇÃO'!$M$1995)</f>
        <v/>
      </c>
      <c r="Y7">
        <f>IF(ISBLANK('CONFIGURAÇÃO'!$M$1996),"",'CONFIGURAÇÃO'!$M$1996)</f>
        <v/>
      </c>
      <c r="Z7">
        <f>IF(ISBLANK('CONFIGURAÇÃO'!$M$1997),"",'CONFIGURAÇÃO'!$M$1997)</f>
        <v/>
      </c>
      <c r="AA7">
        <f>IF(ISBLANK('CONFIGURAÇÃO'!$M$1998),"",'CONFIGURAÇÃO'!$M$1998)</f>
        <v/>
      </c>
      <c r="AB7">
        <f>IF(ISBLANK('CONFIGURAÇÃO'!$M$1999),"",'CONFIGURAÇÃO'!$M$1999)</f>
        <v/>
      </c>
      <c r="AC7">
        <f>IF(ISBLANK('CONFIGURAÇÃO'!$M$2000),"",'CONFIGURAÇÃO'!$M$2000)</f>
        <v/>
      </c>
      <c r="AD7">
        <f>IF($AF7,TEXTJOIN(" · ",TRUE,$DJ7:$FH7),"")</f>
        <v/>
      </c>
      <c r="AE7">
        <f>IF(OR($C7="",$C7="Nenhuma"),0,IFERROR(MATCH(SUBSTITUTE(SUBSTITUTE(SUBSTITUTE($C7,"~","~~"),"*","~*"),"?","~?"),'DADOS_FORMAS'!$AH$2:$AH$11,0),-1))</f>
        <v/>
      </c>
      <c r="AF7">
        <f>OR($B7&lt;&gt;"",$C7&lt;&gt;"",$E7&lt;&gt;"",$F7&lt;&gt;"",$G7&lt;&gt;"",$H7&lt;&gt;"",$I7&lt;&gt;"",$J7&lt;&gt;"",$K7&lt;&gt;"",$L7&lt;&gt;"",$M7&lt;&gt;"",$N7&lt;&gt;"",$O7&lt;&gt;"",$P7&lt;&gt;"",$Q7&lt;&gt;"",$R7&lt;&gt;"",$S7&lt;&gt;"",$T7&lt;&gt;"",$U7&lt;&gt;"",$V7&lt;&gt;"",$W7&lt;&gt;"",$X7&lt;&gt;"",$Y7&lt;&gt;"",$Z7&lt;&gt;"",$AA7&lt;&gt;"",$AB7&lt;&gt;"",$AC7&lt;&gt;"",AND($D7&lt;&gt;"",$D7&lt;&gt;FALSE),AND($A7&lt;&gt;"",$A7&lt;&gt;"Forma"))</f>
        <v/>
      </c>
      <c r="AG7" t="inlineStr">
        <is>
          <t>Forma</t>
        </is>
      </c>
      <c r="AH7" t="inlineStr">
        <is>
          <t>Linha</t>
        </is>
      </c>
      <c r="AI7">
        <f>""</f>
        <v/>
      </c>
      <c r="AJ7" t="b">
        <v>0</v>
      </c>
      <c r="AK7">
        <f>""</f>
        <v/>
      </c>
      <c r="AL7" t="inlineStr">
        <is>
          <t>Linha de 18 m por 1,5 m, partindo de você.</t>
        </is>
      </c>
      <c r="AM7" t="inlineStr">
        <is>
          <t>Área</t>
        </is>
      </c>
      <c r="AN7" t="n">
        <v>1</v>
      </c>
      <c r="AO7" t="inlineStr">
        <is>
          <t>TR, metade</t>
        </is>
      </c>
      <c r="AP7" t="n">
        <v>0</v>
      </c>
      <c r="AQ7" t="b">
        <v>1</v>
      </c>
      <c r="AR7" t="b">
        <v>1</v>
      </c>
      <c r="AS7">
        <f>""</f>
        <v/>
      </c>
      <c r="AT7" t="inlineStr">
        <is>
          <t>Fixo</t>
        </is>
      </c>
      <c r="AU7" t="inlineStr">
        <is>
          <t>comprimento</t>
        </is>
      </c>
      <c r="AV7">
        <f>""</f>
        <v/>
      </c>
      <c r="AW7">
        <f>""</f>
        <v/>
      </c>
      <c r="AX7">
        <f>""</f>
        <v/>
      </c>
      <c r="AY7">
        <f>""</f>
        <v/>
      </c>
      <c r="AZ7">
        <f>""</f>
        <v/>
      </c>
      <c r="BA7">
        <f>""</f>
        <v/>
      </c>
      <c r="BB7">
        <f>""</f>
        <v/>
      </c>
      <c r="BC7" t="inlineStr">
        <is>
          <t>9 m</t>
        </is>
      </c>
      <c r="BD7" t="inlineStr">
        <is>
          <t>18 m</t>
        </is>
      </c>
      <c r="BE7" t="inlineStr">
        <is>
          <t>30 m</t>
        </is>
      </c>
      <c r="BF7" t="inlineStr">
        <is>
          <t>9 m</t>
        </is>
      </c>
      <c r="BG7" t="inlineStr">
        <is>
          <t>18 m</t>
        </is>
      </c>
      <c r="BH7" t="inlineStr">
        <is>
          <t>18 m</t>
        </is>
      </c>
      <c r="BI7" t="inlineStr">
        <is>
          <t>30 m</t>
        </is>
      </c>
      <c r="BJ7" t="inlineStr">
        <is>
          <t>Linha</t>
        </is>
      </c>
      <c r="BK7" t="n">
        <v>0</v>
      </c>
      <c r="BL7" t="inlineStr">
        <is>
          <t>area</t>
        </is>
      </c>
      <c r="BM7" t="inlineStr">
        <is>
          <t xml:space="preserve">linha de </t>
        </is>
      </c>
      <c r="BN7" t="inlineStr">
        <is>
          <t xml:space="preserve"> por 1,5 m</t>
        </is>
      </c>
      <c r="BO7" t="n">
        <v>3</v>
      </c>
      <c r="BP7">
        <f>""</f>
        <v/>
      </c>
      <c r="BQ7">
        <f>""</f>
        <v/>
      </c>
      <c r="BR7">
        <f>""</f>
        <v/>
      </c>
      <c r="BS7" t="n">
        <v>0</v>
      </c>
      <c r="BV7">
        <f>IF($A7="",IF($AE7&gt;0,INDEX('DADOS_FORMAS'!$AG$2:$AG$11,MAX(1,$AE7)),"Forma"),$A7)</f>
        <v/>
      </c>
      <c r="BW7">
        <f>IF($B7="",IF($AE7&gt;0,INDEX('DADOS_FORMAS'!$AH$2:$AH$11,MAX(1,$AE7)),""),$B7)</f>
        <v/>
      </c>
      <c r="BX7">
        <f>IF($C7="",IF($AE7&gt;0,INDEX('DADOS_FORMAS'!$AI$2:$AI$11,MAX(1,$AE7)),""),$C7)</f>
        <v/>
      </c>
      <c r="BY7">
        <f>IF($D7="",IF($AE7&gt;0,INDEX('DADOS_FORMAS'!$AJ$2:$AJ$11,MAX(1,$AE7)),FALSE),$D7)</f>
        <v/>
      </c>
      <c r="BZ7">
        <f>IF($E7="",IF($AE7&gt;0,INDEX('DADOS_FORMAS'!$AK$2:$AK$11,MAX(1,$AE7)),""),$E7)</f>
        <v/>
      </c>
      <c r="CA7">
        <f>IF($F7="",IF($AE7&gt;0,INDEX('DADOS_FORMAS'!$AL$2:$AL$11,MAX(1,$AE7)),""),$F7)</f>
        <v/>
      </c>
      <c r="CB7">
        <f>IF($G7="Nenhuma","",IF($G7="",IF($AE7&gt;0,INDEX('DADOS_FORMAS'!$AM$2:$AM$11,MAX(1,$AE7)),""),$G7))</f>
        <v/>
      </c>
      <c r="CC7">
        <f>IF($H7="",IF($AE7&gt;0,INDEX('DADOS_FORMAS'!$AN$2:$AN$11,MAX(1,$AE7)),""),IF($H7="Sem custo",0,IF($H7="Leve",1,IF($H7="Média",2,IF($H7="Pesada",3,$H7)))))</f>
        <v/>
      </c>
      <c r="CD7">
        <f>IF($I7="",IF($AE7&gt;0,INDEX('DADOS_FORMAS'!$AO$2:$AO$11,MAX(1,$AE7)),""),$I7)</f>
        <v/>
      </c>
      <c r="CE7">
        <f>IF($J7="",IF($AE7&gt;0,INDEX('DADOS_FORMAS'!$AP$2:$AP$11,MAX(1,$AE7)),""),IF($J7="Dano",0,IF($J7="Cura",1,IF($J7="Vida temporária",2,IF($J7="Efeito",3,$J7)))))</f>
        <v/>
      </c>
      <c r="CF7">
        <f>IF($K7="",IF($AE7&gt;0,INDEX('DADOS_FORMAS'!$AQ$2:$AQ$11,MAX(1,$AE7)),""),IF($K7="Sim",TRUE,IF($K7="Não",FALSE,$K7)))</f>
        <v/>
      </c>
      <c r="CG7">
        <f>IF($L7="",IF($AE7&gt;0,INDEX('DADOS_FORMAS'!$AR$2:$AR$11,MAX(1,$AE7)),""),IF($L7="Sim",TRUE,IF($L7="Não",FALSE,$L7)))</f>
        <v/>
      </c>
      <c r="CH7">
        <f>IF($M7="Nenhuma","",IF($M7="",IF($AE7&gt;0,INDEX('DADOS_FORMAS'!$AS$2:$AS$11,MAX(1,$AE7)),""),$M7))</f>
        <v/>
      </c>
      <c r="CI7">
        <f>IF($N7="",IF($AE7&gt;0,INDEX('DADOS_FORMAS'!$AT$2:$AT$11,MAX(1,$AE7)),"Fixo"),$N7)</f>
        <v/>
      </c>
      <c r="CJ7">
        <f>IF($O7="",IF($AE7&gt;0,INDEX('DADOS_FORMAS'!$AU$2:$AU$11,MAX(1,$AE7)),"Fixo"),$O7)</f>
        <v/>
      </c>
      <c r="CK7">
        <f>IF($P7="",IF($AE7&gt;0,INDEX('DADOS_FORMAS'!$AV$2:$AV$11,MAX(1,$AE7)),""),$P7)</f>
        <v/>
      </c>
      <c r="CL7">
        <f>IF($Q7="",IF($AE7&gt;0,INDEX('DADOS_FORMAS'!$AW$2:$AW$11,MAX(1,$AE7)),""),$Q7)</f>
        <v/>
      </c>
      <c r="CM7">
        <f>IF($R7="",IF($AE7&gt;0,INDEX('DADOS_FORMAS'!$AX$2:$AX$11,MAX(1,$AE7)),""),$R7)</f>
        <v/>
      </c>
      <c r="CN7">
        <f>IF($S7="",IF($AE7&gt;0,INDEX('DADOS_FORMAS'!$AY$2:$AY$11,MAX(1,$AE7)),""),$S7)</f>
        <v/>
      </c>
      <c r="CO7">
        <f>IF($T7="",IF($AE7&gt;0,INDEX('DADOS_FORMAS'!$AZ$2:$AZ$11,MAX(1,$AE7)),""),$T7)</f>
        <v/>
      </c>
      <c r="CP7">
        <f>IF($U7="",IF($AE7&gt;0,INDEX('DADOS_FORMAS'!$BA$2:$BA$11,MAX(1,$AE7)),""),$U7)</f>
        <v/>
      </c>
      <c r="CQ7">
        <f>IF($V7="",IF($AE7&gt;0,INDEX('DADOS_FORMAS'!$BB$2:$BB$11,MAX(1,$AE7)),""),$V7)</f>
        <v/>
      </c>
      <c r="CR7">
        <f>IF($W7="",IF($AE7&gt;0,INDEX('DADOS_FORMAS'!$BC$2:$BC$11,MAX(1,$AE7)),""),$W7)</f>
        <v/>
      </c>
      <c r="CS7">
        <f>IF($X7="",IF($AE7&gt;0,INDEX('DADOS_FORMAS'!$BD$2:$BD$11,MAX(1,$AE7)),""),$X7)</f>
        <v/>
      </c>
      <c r="CT7">
        <f>IF($Y7="",IF($AE7&gt;0,INDEX('DADOS_FORMAS'!$BE$2:$BE$11,MAX(1,$AE7)),""),$Y7)</f>
        <v/>
      </c>
      <c r="CU7">
        <f>IF($Z7="",IF($AE7&gt;0,INDEX('DADOS_FORMAS'!$BF$2:$BF$11,MAX(1,$AE7)),""),$Z7)</f>
        <v/>
      </c>
      <c r="CV7">
        <f>IF($AA7="",IF($AE7&gt;0,INDEX('DADOS_FORMAS'!$BG$2:$BG$11,MAX(1,$AE7)),""),$AA7)</f>
        <v/>
      </c>
      <c r="CW7">
        <f>IF($AB7="",IF($AE7&gt;0,INDEX('DADOS_FORMAS'!$BH$2:$BH$11,MAX(1,$AE7)),""),$AB7)</f>
        <v/>
      </c>
      <c r="CX7">
        <f>IF($AC7="",IF($AE7&gt;0,INDEX('DADOS_FORMAS'!$BI$2:$BI$11,MAX(1,$AE7)),""),$AC7)</f>
        <v/>
      </c>
      <c r="CY7">
        <f>IF($AE7&gt;0,INDEX('DADOS_FORMAS'!$BJ$2:$BJ$11,MAX(1,$AE7)),"")</f>
        <v/>
      </c>
      <c r="CZ7">
        <f>IF($AE7&gt;0,INDEX('DADOS_FORMAS'!$BK$2:$BK$11,MAX(1,$AE7)),0)</f>
        <v/>
      </c>
      <c r="DA7">
        <f>IF($AE7&gt;0,INDEX('DADOS_FORMAS'!$BL$2:$BL$11,MAX(1,$AE7)),"alcance")</f>
        <v/>
      </c>
      <c r="DB7">
        <f>IF($AE7&gt;0,INDEX('DADOS_FORMAS'!$BM$2:$BM$11,MAX(1,$AE7)),"")</f>
        <v/>
      </c>
      <c r="DC7">
        <f>IF($AE7&gt;0,INDEX('DADOS_FORMAS'!$BN$2:$BN$11,MAX(1,$AE7)),"")</f>
        <v/>
      </c>
      <c r="DD7">
        <f>IF($AE7&gt;0,INDEX('DADOS_FORMAS'!$BO$2:$BO$11,MAX(1,$AE7)),1)</f>
        <v/>
      </c>
      <c r="DE7">
        <f>IF(AND($AE7&gt;0,INDEX('DADOS_FORMAS'!$BP$2:$BP$11,MAX(1,$AE7))=""),IF(AND(INDEX('DADOS_FORMAS'!$BL$2:$BL$11,MAX(1,$AE7))="alcance",OR($W7&lt;&gt;"",$X7&lt;&gt;"",$Y7&lt;&gt;"",$Z7&lt;&gt;"",$AA7&lt;&gt;"",$AB7&lt;&gt;"",$AC7&lt;&gt;"")),"area",IF(AND(INDEX('DADOS_FORMAS'!$BL$2:$BL$11,MAX(1,$AE7))="area",OR($P7&lt;&gt;"",$Q7&lt;&gt;"",$R7&lt;&gt;"",$S7&lt;&gt;"",$T7&lt;&gt;"",$U7&lt;&gt;"",$V7&lt;&gt;"")),"alcance","")),IF($AE7&gt;0,INDEX('DADOS_FORMAS'!$BP$2:$BP$11,MAX(1,$AE7)),"area"))</f>
        <v/>
      </c>
      <c r="DF7">
        <f>IF(AND($AE7&gt;0,INDEX('DADOS_FORMAS'!$BP$2:$BP$11,MAX(1,$AE7))=""),IF(IF(AND(INDEX('DADOS_FORMAS'!$BL$2:$BL$11,MAX(1,$AE7))="alcance",OR($W7&lt;&gt;"",$X7&lt;&gt;"",$Y7&lt;&gt;"",$Z7&lt;&gt;"",$AA7&lt;&gt;"",$AB7&lt;&gt;"",$AC7&lt;&gt;"")),"area",IF(AND(INDEX('DADOS_FORMAS'!$BL$2:$BL$11,MAX(1,$AE7))="area",OR($P7&lt;&gt;"",$Q7&lt;&gt;"",$R7&lt;&gt;"",$S7&lt;&gt;"",$T7&lt;&gt;"",$U7&lt;&gt;"",$V7&lt;&gt;"")),"alcance",""))="alcance"," · alcance ",IF(IF(AND(INDEX('DADOS_FORMAS'!$BL$2:$BL$11,MAX(1,$AE7))="alcance",OR($W7&lt;&gt;"",$X7&lt;&gt;"",$Y7&lt;&gt;"",$Z7&lt;&gt;"",$AA7&lt;&gt;"",$AB7&lt;&gt;"",$AC7&lt;&gt;"")),"area",IF(AND(INDEX('DADOS_FORMAS'!$BL$2:$BL$11,MAX(1,$AE7))="area",OR($P7&lt;&gt;"",$Q7&lt;&gt;"",$R7&lt;&gt;"",$S7&lt;&gt;"",$T7&lt;&gt;"",$U7&lt;&gt;"",$V7&lt;&gt;"")),"alcance",""))="area"," · área ","")),IF($AE7&gt;0,INDEX('DADOS_FORMAS'!$BQ$2:$BQ$11,MAX(1,$AE7))," · área "))</f>
        <v/>
      </c>
      <c r="DG7">
        <f>IF(AND($AE7&gt;0,INDEX('DADOS_FORMAS'!$BP$2:$BP$11,MAX(1,$AE7))=""),"",IF($AE7&gt;0,INDEX('DADOS_FORMAS'!$BR$2:$BR$11,MAX(1,$AE7)),""))</f>
        <v/>
      </c>
      <c r="DH7">
        <f>IF(AND($AE7&gt;0,INDEX('DADOS_FORMAS'!$BP$2:$BP$11,MAX(1,$AE7))=""),IF(IF(AND(INDEX('DADOS_FORMAS'!$BL$2:$BL$11,MAX(1,$AE7))="alcance",OR($W7&lt;&gt;"",$X7&lt;&gt;"",$Y7&lt;&gt;"",$Z7&lt;&gt;"",$AA7&lt;&gt;"",$AB7&lt;&gt;"",$AC7&lt;&gt;"")),"area",IF(AND(INDEX('DADOS_FORMAS'!$BL$2:$BL$11,MAX(1,$AE7))="area",OR($P7&lt;&gt;"",$Q7&lt;&gt;"",$R7&lt;&gt;"",$S7&lt;&gt;"",$T7&lt;&gt;"",$U7&lt;&gt;"",$V7&lt;&gt;"")),"alcance",""))="",0,IF(IF(AND(INDEX('DADOS_FORMAS'!$BL$2:$BL$11,MAX(1,$AE7))="alcance",OR($W7&lt;&gt;"",$X7&lt;&gt;"",$Y7&lt;&gt;"",$Z7&lt;&gt;"",$AA7&lt;&gt;"",$AB7&lt;&gt;"",$AC7&lt;&gt;"")),"area",IF(AND(INDEX('DADOS_FORMAS'!$BL$2:$BL$11,MAX(1,$AE7))="area",OR($P7&lt;&gt;"",$Q7&lt;&gt;"",$R7&lt;&gt;"",$S7&lt;&gt;"",$T7&lt;&gt;"",$U7&lt;&gt;"",$V7&lt;&gt;"")),"alcance",""))="alcance",1,IF($O7="comprimento",3,2))),IF($AE7&gt;0,INDEX('DADOS_FORMAS'!$BS$2:$BS$11,MAX(1,$AE7)),IF($O7="comprimento",3,2)))</f>
        <v/>
      </c>
      <c r="DJ7">
        <f>IF(AND(ISTEXT($B7),$B7&lt;&gt;"",TRIM($B7)=$B7),"","NOME precisa ser texto sem espaços nas pontas")</f>
        <v/>
      </c>
      <c r="DK7">
        <f>IF(COUNTIF('DADOS_FORMAS'!$B$2:$B$11,SUBSTITUTE(SUBSTITUTE(SUBSTITUTE($B7,"~","~~"),"*","~*"),"?","~?"))+COUNTIF('DADOS_FORMAS'!$AH$2:$AH$11,SUBSTITUTE(SUBSTITUTE(SUBSTITUTE($B7,"~","~~"),"*","~*"),"?","~?"))=1,"","Nome repetido no livro ou custom")</f>
        <v/>
      </c>
      <c r="DL7">
        <f>IF($AE7&gt;=0,"","BASE DO LIVRO inválida para o grupo")</f>
        <v/>
      </c>
      <c r="DM7">
        <f>IF(OR($BV7="Forma"),"","TIPO inválido para o grupo")</f>
        <v/>
      </c>
      <c r="DN7">
        <f>IF(ISLOGICAL($BY7),"","MESTRE VIU precisa ser caixa de seleção")</f>
        <v/>
      </c>
      <c r="DO7">
        <f>IF(ISTEXT($CA7),"","EFEITO precisa ser texto")</f>
        <v/>
      </c>
      <c r="DP7">
        <f>IF(ISTEXT($BZ7),"","REQUISITOS precisa ser texto")</f>
        <v/>
      </c>
      <c r="DQ7">
        <f>IF(IFERROR(AND(ISNUMBER($CC7),NOT(ISLOGICAL($CC7)),$CC7=INT($CC7),$CC7&gt;=0,$CC7&lt;=3),FALSE),"","PESO exige 0/1/2/3")</f>
        <v/>
      </c>
      <c r="DR7">
        <f>IF(IFERROR(AND(ISNUMBER($CE7),NOT(ISLOGICAL($CE7)),$CE7=INT($CE7),$CE7&gt;=0,$CE7&lt;=3),FALSE),"","RESULTADO exige 0/1/2/3")</f>
        <v/>
      </c>
      <c r="DS7">
        <f>IF(ISLOGICAL($CF7),"","EXIGE_TR exige Sim/Não")</f>
        <v/>
      </c>
      <c r="DT7">
        <f>IF(ISLOGICAL($CG7),"","CLASSE_0 exige Sim/Não")</f>
        <v/>
      </c>
      <c r="DU7">
        <f>IF(OR($CD7="Acerto",$CD7="TR, metade",$CD7="Automático"),"","RESOLUÇÃO inválida")</f>
        <v/>
      </c>
      <c r="DV7">
        <f>IF(OR($CB7="",COUNTIF('DADOS_CRIACAO'!$H$2:$H$20,SUBSTITUTE(SUBSTITUTE(SUBSTITUTE($CB7,"~","~~"),"*","~*"),"?","~?"))&gt;0),"","FAMÍLIA não cadastrada ou inválida")</f>
        <v/>
      </c>
      <c r="DW7">
        <f>IF(OR($CH7="",IFERROR(MATCH(SUBSTITUTE(SUBSTITUTE(SUBSTITUTE($CH7,"~","~~"),"*","~*"),"?","~?"),INDEX('DADOS_RESTRICOES'!$M$2:$Q$54,0,1),0),0)&gt;0),"","RESTRIÇÃO EMBUTIDA inválida")</f>
        <v/>
      </c>
      <c r="DX7">
        <f>IF(OR($CI7="Fixo",$CI7="alcance"),"","ESCADA inválida para alcance")</f>
        <v/>
      </c>
      <c r="DY7">
        <f>IF(OR(NOT(AND($CG7,OR($DA7="alcance",$DE7="alcance"))),$CK7&lt;&gt;""),"","Base de alcance ausente: personagem/classe_0")</f>
        <v/>
      </c>
      <c r="DZ7">
        <f>IF(ISTEXT($CK7),"","Base precisa ser texto: alcance/personagem/classe_0")</f>
        <v/>
      </c>
      <c r="EA7">
        <f>IF(OR(NOT(AND($CG7,OR($DA7="alcance",$DE7="alcance"))),$CI7="Fixo",$CK7="",$CK7="—",AND(RIGHT($CK7,2)=" m",IFERROR(VALUE(SUBSTITUTE(LEFT($CK7,MAX(0,LEN($CK7)-2)),",",""))/10^IFERROR(LEN(LEFT($CK7,MAX(0,LEN($CK7)-2)))-FIND(",",LEFT($CK7,MAX(0,LEN($CK7)-2))),0),-1)&gt;0)),"","Base incompatível com escada: alcance/personagem/classe_0")</f>
        <v/>
      </c>
      <c r="EB7">
        <f>IF(OR(NOT(OR($DA7="alcance",$DE7="alcance")),$CL7&lt;&gt;""),"","Base de alcance ausente: personagem/classes_1_a_5")</f>
        <v/>
      </c>
      <c r="EC7">
        <f>IF(ISTEXT($CL7),"","Base precisa ser texto: alcance/personagem/classes_1_a_5")</f>
        <v/>
      </c>
      <c r="ED7">
        <f>IF(OR(NOT(OR($DA7="alcance",$DE7="alcance")),$CI7="Fixo",$CL7="",$CL7="—",AND(RIGHT($CL7,2)=" m",IFERROR(VALUE(SUBSTITUTE(LEFT($CL7,MAX(0,LEN($CL7)-2)),",",""))/10^IFERROR(LEN(LEFT($CL7,MAX(0,LEN($CL7)-2)))-FIND(",",LEFT($CL7,MAX(0,LEN($CL7)-2))),0),-1)&gt;0)),"","Base incompatível com escada: alcance/personagem/classes_1_a_5")</f>
        <v/>
      </c>
      <c r="EE7">
        <f>IF(OR(NOT(OR($DA7="alcance",$DE7="alcance")),$CM7&lt;&gt;""),"","Base de alcance ausente: personagem/classes_6_e_7")</f>
        <v/>
      </c>
      <c r="EF7">
        <f>IF(ISTEXT($CM7),"","Base precisa ser texto: alcance/personagem/classes_6_e_7")</f>
        <v/>
      </c>
      <c r="EG7">
        <f>IF(OR(NOT(OR($DA7="alcance",$DE7="alcance")),$CI7="Fixo",$CM7="",$CM7="—",AND(RIGHT($CM7,2)=" m",IFERROR(VALUE(SUBSTITUTE(LEFT($CM7,MAX(0,LEN($CM7)-2)),",",""))/10^IFERROR(LEN(LEFT($CM7,MAX(0,LEN($CM7)-2)))-FIND(",",LEFT($CM7,MAX(0,LEN($CM7)-2))),0),-1)&gt;0)),"","Base incompatível com escada: alcance/personagem/classes_6_e_7")</f>
        <v/>
      </c>
      <c r="EH7">
        <f>IF(OR(NOT(AND($CG7,OR($DA7="alcance",$DE7="alcance"))),$CN7&lt;&gt;""),"","Base de alcance ausente: entidade/classe_0")</f>
        <v/>
      </c>
      <c r="EI7">
        <f>IF(ISTEXT($CN7),"","Base precisa ser texto: alcance/entidade/classe_0")</f>
        <v/>
      </c>
      <c r="EJ7">
        <f>IF(OR(NOT(AND($CG7,OR($DA7="alcance",$DE7="alcance"))),$CI7="Fixo",$CN7="",$CN7="—",AND(RIGHT($CN7,2)=" m",IFERROR(VALUE(SUBSTITUTE(LEFT($CN7,MAX(0,LEN($CN7)-2)),",",""))/10^IFERROR(LEN(LEFT($CN7,MAX(0,LEN($CN7)-2)))-FIND(",",LEFT($CN7,MAX(0,LEN($CN7)-2))),0),-1)&gt;0)),"","Base incompatível com escada: alcance/entidade/classe_0")</f>
        <v/>
      </c>
      <c r="EK7">
        <f>IF(OR(NOT(OR($DA7="alcance",$DE7="alcance")),$CO7&lt;&gt;""),"","Base de alcance ausente: entidade/classes_1_a_5")</f>
        <v/>
      </c>
      <c r="EL7">
        <f>IF(ISTEXT($CO7),"","Base precisa ser texto: alcance/entidade/classes_1_a_5")</f>
        <v/>
      </c>
      <c r="EM7">
        <f>IF(OR(NOT(OR($DA7="alcance",$DE7="alcance")),$CI7="Fixo",$CO7="",$CO7="—",AND(RIGHT($CO7,2)=" m",IFERROR(VALUE(SUBSTITUTE(LEFT($CO7,MAX(0,LEN($CO7)-2)),",",""))/10^IFERROR(LEN(LEFT($CO7,MAX(0,LEN($CO7)-2)))-FIND(",",LEFT($CO7,MAX(0,LEN($CO7)-2))),0),-1)&gt;0)),"","Base incompatível com escada: alcance/entidade/classes_1_a_5")</f>
        <v/>
      </c>
      <c r="EN7">
        <f>IF(OR(NOT(OR($DA7="alcance",$DE7="alcance")),$CP7&lt;&gt;""),"","Base de alcance ausente: entidade/classe_6")</f>
        <v/>
      </c>
      <c r="EO7">
        <f>IF(ISTEXT($CP7),"","Base precisa ser texto: alcance/entidade/classe_6")</f>
        <v/>
      </c>
      <c r="EP7">
        <f>IF(OR(NOT(OR($DA7="alcance",$DE7="alcance")),$CI7="Fixo",$CP7="",$CP7="—",AND(RIGHT($CP7,2)=" m",IFERROR(VALUE(SUBSTITUTE(LEFT($CP7,MAX(0,LEN($CP7)-2)),",",""))/10^IFERROR(LEN(LEFT($CP7,MAX(0,LEN($CP7)-2)))-FIND(",",LEFT($CP7,MAX(0,LEN($CP7)-2))),0),-1)&gt;0)),"","Base incompatível com escada: alcance/entidade/classe_6")</f>
        <v/>
      </c>
      <c r="EQ7">
        <f>IF(OR(NOT(OR($DA7="alcance",$DE7="alcance")),$CQ7&lt;&gt;""),"","Base de alcance ausente: entidade/classe_7")</f>
        <v/>
      </c>
      <c r="ER7">
        <f>IF(ISTEXT($CQ7),"","Base precisa ser texto: alcance/entidade/classe_7")</f>
        <v/>
      </c>
      <c r="ES7">
        <f>IF(OR(NOT(OR($DA7="alcance",$DE7="alcance")),$CI7="Fixo",$CQ7="",$CQ7="—",AND(RIGHT($CQ7,2)=" m",IFERROR(VALUE(SUBSTITUTE(LEFT($CQ7,MAX(0,LEN($CQ7)-2)),",",""))/10^IFERROR(LEN(LEFT($CQ7,MAX(0,LEN($CQ7)-2)))-FIND(",",LEFT($CQ7,MAX(0,LEN($CQ7)-2))),0),-1)&gt;0)),"","Base incompatível com escada: alcance/entidade/classe_7")</f>
        <v/>
      </c>
      <c r="ET7">
        <f>IF(OR($CJ7="Fixo",$CJ7="raio",$CJ7="comprimento"),"","ESCADA inválida para area")</f>
        <v/>
      </c>
      <c r="EU7">
        <f>IF(ISTEXT($CR7),"","Base precisa ser texto: area/personagem/classe_0")</f>
        <v/>
      </c>
      <c r="EV7">
        <f>IF(OR(NOT(AND($CG7,OR($DA7="area",$DE7="area"))),$CJ7="Fixo",$CR7="",$CR7="—",AND(AND(AND(RIGHT($CR7,2)=" m",IFERROR(VALUE(SUBSTITUTE(LEFT($CR7,MAX(0,LEN($CR7)-2)),",",""))/10^IFERROR(LEN(LEFT($CR7,MAX(0,LEN($CR7)-2)))-FIND(",",LEFT($CR7,MAX(0,LEN($CR7)-2))),0),-1)&gt;0),OR($CJ7&lt;&gt;"raio",IFERROR(VALUE(SUBSTITUTE(LEFT($CR7,MAX(0,LEN($CR7)-2)),",",""))/10^IFERROR(LEN(LEFT($CR7,MAX(0,LEN($CR7)-2)))-FIND(",",LEFT($CR7,MAX(0,LEN($CR7)-2))),0),-1)&lt;=15.0)),OR($CJ7&lt;&gt;"comprimento",IFERROR(VALUE(SUBSTITUTE(LEFT($CR7,MAX(0,LEN($CR7)-2)),",",""))/10^IFERROR(LEN(LEFT($CR7,MAX(0,LEN($CR7)-2)))-FIND(",",LEFT($CR7,MAX(0,LEN($CR7)-2))),0),-1)&lt;=60.0))),"","Base incompatível com escada: area/personagem/classe_0")</f>
        <v/>
      </c>
      <c r="EW7">
        <f>IF(ISTEXT($CS7),"","Base precisa ser texto: area/personagem/classes_1_a_5")</f>
        <v/>
      </c>
      <c r="EX7">
        <f>IF(OR(NOT(OR($DA7="area",$DE7="area")),$CJ7="Fixo",$CS7="",$CS7="—",AND(AND(AND(RIGHT($CS7,2)=" m",IFERROR(VALUE(SUBSTITUTE(LEFT($CS7,MAX(0,LEN($CS7)-2)),",",""))/10^IFERROR(LEN(LEFT($CS7,MAX(0,LEN($CS7)-2)))-FIND(",",LEFT($CS7,MAX(0,LEN($CS7)-2))),0),-1)&gt;0),OR($CJ7&lt;&gt;"raio",IFERROR(VALUE(SUBSTITUTE(LEFT($CS7,MAX(0,LEN($CS7)-2)),",",""))/10^IFERROR(LEN(LEFT($CS7,MAX(0,LEN($CS7)-2)))-FIND(",",LEFT($CS7,MAX(0,LEN($CS7)-2))),0),-1)&lt;=15.0)),OR($CJ7&lt;&gt;"comprimento",IFERROR(VALUE(SUBSTITUTE(LEFT($CS7,MAX(0,LEN($CS7)-2)),",",""))/10^IFERROR(LEN(LEFT($CS7,MAX(0,LEN($CS7)-2)))-FIND(",",LEFT($CS7,MAX(0,LEN($CS7)-2))),0),-1)&lt;=60.0))),"","Base incompatível com escada: area/personagem/classes_1_a_5")</f>
        <v/>
      </c>
      <c r="EY7">
        <f>IF(ISTEXT($CT7),"","Base precisa ser texto: area/personagem/classes_6_e_7")</f>
        <v/>
      </c>
      <c r="EZ7">
        <f>IF(OR(NOT(OR($DA7="area",$DE7="area")),$CJ7="Fixo",$CT7="",$CT7="—",AND(AND(AND(RIGHT($CT7,2)=" m",IFERROR(VALUE(SUBSTITUTE(LEFT($CT7,MAX(0,LEN($CT7)-2)),",",""))/10^IFERROR(LEN(LEFT($CT7,MAX(0,LEN($CT7)-2)))-FIND(",",LEFT($CT7,MAX(0,LEN($CT7)-2))),0),-1)&gt;0),OR($CJ7&lt;&gt;"raio",IFERROR(VALUE(SUBSTITUTE(LEFT($CT7,MAX(0,LEN($CT7)-2)),",",""))/10^IFERROR(LEN(LEFT($CT7,MAX(0,LEN($CT7)-2)))-FIND(",",LEFT($CT7,MAX(0,LEN($CT7)-2))),0),-1)&lt;=15.0)),OR($CJ7&lt;&gt;"comprimento",IFERROR(VALUE(SUBSTITUTE(LEFT($CT7,MAX(0,LEN($CT7)-2)),",",""))/10^IFERROR(LEN(LEFT($CT7,MAX(0,LEN($CT7)-2)))-FIND(",",LEFT($CT7,MAX(0,LEN($CT7)-2))),0),-1)&lt;=60.0))),"","Base incompatível com escada: area/personagem/classes_6_e_7")</f>
        <v/>
      </c>
      <c r="FA7">
        <f>IF(ISTEXT($CU7),"","Base precisa ser texto: area/entidade/classe_0")</f>
        <v/>
      </c>
      <c r="FB7">
        <f>IF(OR(NOT(AND($CG7,OR($DA7="area",$DE7="area"))),$CJ7="Fixo",$CU7="",$CU7="—",AND(AND(AND(RIGHT($CU7,2)=" m",IFERROR(VALUE(SUBSTITUTE(LEFT($CU7,MAX(0,LEN($CU7)-2)),",",""))/10^IFERROR(LEN(LEFT($CU7,MAX(0,LEN($CU7)-2)))-FIND(",",LEFT($CU7,MAX(0,LEN($CU7)-2))),0),-1)&gt;0),OR($CJ7&lt;&gt;"raio",IFERROR(VALUE(SUBSTITUTE(LEFT($CU7,MAX(0,LEN($CU7)-2)),",",""))/10^IFERROR(LEN(LEFT($CU7,MAX(0,LEN($CU7)-2)))-FIND(",",LEFT($CU7,MAX(0,LEN($CU7)-2))),0),-1)&lt;=15.0)),OR($CJ7&lt;&gt;"comprimento",IFERROR(VALUE(SUBSTITUTE(LEFT($CU7,MAX(0,LEN($CU7)-2)),",",""))/10^IFERROR(LEN(LEFT($CU7,MAX(0,LEN($CU7)-2)))-FIND(",",LEFT($CU7,MAX(0,LEN($CU7)-2))),0),-1)&lt;=60.0))),"","Base incompatível com escada: area/entidade/classe_0")</f>
        <v/>
      </c>
      <c r="FC7">
        <f>IF(ISTEXT($CV7),"","Base precisa ser texto: area/entidade/classes_1_a_5")</f>
        <v/>
      </c>
      <c r="FD7">
        <f>IF(OR(NOT(OR($DA7="area",$DE7="area")),$CJ7="Fixo",$CV7="",$CV7="—",AND(AND(AND(RIGHT($CV7,2)=" m",IFERROR(VALUE(SUBSTITUTE(LEFT($CV7,MAX(0,LEN($CV7)-2)),",",""))/10^IFERROR(LEN(LEFT($CV7,MAX(0,LEN($CV7)-2)))-FIND(",",LEFT($CV7,MAX(0,LEN($CV7)-2))),0),-1)&gt;0),OR($CJ7&lt;&gt;"raio",IFERROR(VALUE(SUBSTITUTE(LEFT($CV7,MAX(0,LEN($CV7)-2)),",",""))/10^IFERROR(LEN(LEFT($CV7,MAX(0,LEN($CV7)-2)))-FIND(",",LEFT($CV7,MAX(0,LEN($CV7)-2))),0),-1)&lt;=15.0)),OR($CJ7&lt;&gt;"comprimento",IFERROR(VALUE(SUBSTITUTE(LEFT($CV7,MAX(0,LEN($CV7)-2)),",",""))/10^IFERROR(LEN(LEFT($CV7,MAX(0,LEN($CV7)-2)))-FIND(",",LEFT($CV7,MAX(0,LEN($CV7)-2))),0),-1)&lt;=60.0))),"","Base incompatível com escada: area/entidade/classes_1_a_5")</f>
        <v/>
      </c>
      <c r="FE7">
        <f>IF(ISTEXT($CW7),"","Base precisa ser texto: area/entidade/classe_6")</f>
        <v/>
      </c>
      <c r="FF7">
        <f>IF(OR(NOT(OR($DA7="area",$DE7="area")),$CJ7="Fixo",$CW7="",$CW7="—",AND(AND(AND(RIGHT($CW7,2)=" m",IFERROR(VALUE(SUBSTITUTE(LEFT($CW7,MAX(0,LEN($CW7)-2)),",",""))/10^IFERROR(LEN(LEFT($CW7,MAX(0,LEN($CW7)-2)))-FIND(",",LEFT($CW7,MAX(0,LEN($CW7)-2))),0),-1)&gt;0),OR($CJ7&lt;&gt;"raio",IFERROR(VALUE(SUBSTITUTE(LEFT($CW7,MAX(0,LEN($CW7)-2)),",",""))/10^IFERROR(LEN(LEFT($CW7,MAX(0,LEN($CW7)-2)))-FIND(",",LEFT($CW7,MAX(0,LEN($CW7)-2))),0),-1)&lt;=15.0)),OR($CJ7&lt;&gt;"comprimento",IFERROR(VALUE(SUBSTITUTE(LEFT($CW7,MAX(0,LEN($CW7)-2)),",",""))/10^IFERROR(LEN(LEFT($CW7,MAX(0,LEN($CW7)-2)))-FIND(",",LEFT($CW7,MAX(0,LEN($CW7)-2))),0),-1)&lt;=60.0))),"","Base incompatível com escada: area/entidade/classe_6")</f>
        <v/>
      </c>
      <c r="FG7">
        <f>IF(ISTEXT($CX7),"","Base precisa ser texto: area/entidade/classe_7")</f>
        <v/>
      </c>
      <c r="FH7">
        <f>IF(OR(NOT(OR($DA7="area",$DE7="area")),$CJ7="Fixo",$CX7="",$CX7="—",AND(AND(AND(RIGHT($CX7,2)=" m",IFERROR(VALUE(SUBSTITUTE(LEFT($CX7,MAX(0,LEN($CX7)-2)),",",""))/10^IFERROR(LEN(LEFT($CX7,MAX(0,LEN($CX7)-2)))-FIND(",",LEFT($CX7,MAX(0,LEN($CX7)-2))),0),-1)&gt;0),OR($CJ7&lt;&gt;"raio",IFERROR(VALUE(SUBSTITUTE(LEFT($CX7,MAX(0,LEN($CX7)-2)),",",""))/10^IFERROR(LEN(LEFT($CX7,MAX(0,LEN($CX7)-2)))-FIND(",",LEFT($CX7,MAX(0,LEN($CX7)-2))),0),-1)&lt;=15.0)),OR($CJ7&lt;&gt;"comprimento",IFERROR(VALUE(SUBSTITUTE(LEFT($CX7,MAX(0,LEN($CX7)-2)),",",""))/10^IFERROR(LEN(LEFT($CX7,MAX(0,LEN($CX7)-2)))-FIND(",",LEFT($CX7,MAX(0,LEN($CX7)-2))),0),-1)&lt;=60.0))),"","Base incompatível com escada: area/entidade/classe_7")</f>
        <v/>
      </c>
      <c r="FJ7">
        <f>'DADOS_FORMAS'!$AH7</f>
        <v/>
      </c>
      <c r="FK7">
        <f>'DADOS_FORMAS'!$AM7</f>
        <v/>
      </c>
      <c r="FL7">
        <f>'DADOS_FORMAS'!$AN7</f>
        <v/>
      </c>
      <c r="FM7">
        <f>IF('DADOS_FORMAS'!$AN7=0,0,'DADOS_FORMAS'!$AN7+3*IFERROR(VLOOKUP(SUBSTITUTE(SUBSTITUTE(SUBSTITUTE('DADOS_FORMAS'!$AM7,"~","~~"),"*","~*"),"?","~?"),'DADOS_CRIACAO'!$H$2:$K$20,3,FALSE),0))</f>
        <v/>
      </c>
      <c r="FN7">
        <f>IFERROR(VLOOKUP(SUBSTITUTE(SUBSTITUTE(SUBSTITUTE('DADOS_FORMAS'!$AM7,"~","~~"),"*","~*"),"?","~?"),'DADOS_CRIACAO'!$H$2:$K$20,4,FALSE),0)</f>
        <v/>
      </c>
      <c r="FO7">
        <f>IF('DADOS_FORMAS'!$AS7="",0,1)</f>
        <v/>
      </c>
      <c r="FP7">
        <f>'DADOS_FORMAS'!$AP7</f>
        <v/>
      </c>
      <c r="FQ7">
        <f>IF(AND('DADOS_FORMAS'!$AO7="Acerto",'DADOS_FORMAS'!$AQ7),"Acerto + TR",'DADOS_FORMAS'!$AO7)</f>
        <v/>
      </c>
      <c r="FR7">
        <f>N(OR('DADOS_FORMAS'!$AQ7,'DADOS_FORMAS'!$AO7="TR, metade"))</f>
        <v/>
      </c>
      <c r="FS7">
        <f>'DADOS_FORMAS'!$BO7</f>
        <v/>
      </c>
      <c r="FT7">
        <f>'DADOS_FORMAS'!$BS7</f>
        <v/>
      </c>
      <c r="FU7">
        <f>'DADOS_FORMAS'!$BK7</f>
        <v/>
      </c>
      <c r="FV7">
        <f>N('DADOS_FORMAS'!$AR7)</f>
        <v/>
      </c>
      <c r="FW7">
        <f>IF(IFERROR(VLOOKUP(SUBSTITUTE(SUBSTITUTE(SUBSTITUTE('DADOS_FORMAS'!$AM7,"~","~~"),"*","~*"),"?","~?"),'DADOS_CRIACAO'!$H$2:$K$20,4,FALSE),0)=1,"",'DADOS_FORMAS'!$AH7)</f>
        <v/>
      </c>
      <c r="FX7">
        <f>IF(AND('DADOS_FORMAS'!$AR7,IFERROR(VLOOKUP(SUBSTITUTE(SUBSTITUTE(SUBSTITUTE('DADOS_FORMAS'!$AM7,"~","~~"),"*","~*"),"?","~?"),'DADOS_CRIACAO'!$H$2:$K$20,4,FALSE),0)=0),'DADOS_FORMAS'!$AH7,"")</f>
        <v/>
      </c>
      <c r="FZ7">
        <f>'DADOS_FORMAS'!$AH7</f>
        <v/>
      </c>
      <c r="GA7">
        <f>'DADOS_FORMAS'!$AM7</f>
        <v/>
      </c>
      <c r="GB7">
        <f>'DADOS_FORMAS'!$AN7</f>
        <v/>
      </c>
      <c r="GC7">
        <f>IF('DADOS_FORMAS'!$AS7="",0,1)</f>
        <v/>
      </c>
      <c r="GD7">
        <f>'DADOS_FORMAS'!$AP7</f>
        <v/>
      </c>
      <c r="GE7">
        <f>IF('DADOS_FORMAS'!$AO7="Acerto","Ataque",IF('DADOS_FORMAS'!$AQ7,"TR","—"))</f>
        <v/>
      </c>
      <c r="GF7">
        <f>N(OR('DADOS_FORMAS'!$AQ7,'DADOS_FORMAS'!$AO7="TR, metade"))</f>
        <v/>
      </c>
      <c r="GG7">
        <f>'DADOS_FORMAS'!$BO7</f>
        <v/>
      </c>
      <c r="GH7">
        <f>'DADOS_FORMAS'!$BS7</f>
        <v/>
      </c>
      <c r="GI7">
        <f>'DADOS_FORMAS'!$BK7</f>
        <v/>
      </c>
      <c r="GJ7">
        <f>N('DADOS_FORMAS'!$AR7)</f>
        <v/>
      </c>
      <c r="GL7" t="inlineStr">
        <is>
          <t>visão a olho nu</t>
        </is>
      </c>
      <c r="GR7">
        <f>'DADOS_FORMAS'!$BP12</f>
        <v/>
      </c>
      <c r="GS7">
        <f>IF('DADOS_FORMAS'!$BP12="area",'DADOS_FORMAS'!$AU12,'DADOS_FORMAS'!$AT12)</f>
        <v/>
      </c>
      <c r="GT7">
        <f>IF('DADOS_FORMAS'!$BP12="area",'DADOS_FORMAS'!$BE12,'DADOS_FORMAS'!$AX12)</f>
        <v/>
      </c>
      <c r="GU7">
        <f>'DADOS_FORMAS'!$BQ12</f>
        <v/>
      </c>
      <c r="GV7">
        <f>'DADOS_FORMAS'!$BR12</f>
        <v/>
      </c>
      <c r="GW7">
        <f>LET(base,'DADOS_FORMAS'!$GT7,escada,'DADOS_FORMAS'!$GS7,medida,LEFT(base,MAX(0,LEN(base)-2)),valor,IFERROR(VALUE(SUBSTITUTE(medida,",",""))/10^IFERROR(LEN(medida)-FIND(",",medida),0),1E99),IF(OR(escada="Fixo",base="—"),base,IF(escada="alcance",IFERROR(MATCH(base,{"1,5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7" t="inlineStr">
        <is>
          <t>Toque · classes 6 e 7</t>
        </is>
      </c>
      <c r="GZ7" t="inlineStr">
        <is>
          <t>1,5 m, um alvo</t>
        </is>
      </c>
      <c r="HA7" t="inlineStr">
        <is>
          <t>1,5 m, um alvo</t>
        </is>
      </c>
      <c r="HB7" t="inlineStr">
        <is>
          <t>1,5 m, um alvo</t>
        </is>
      </c>
      <c r="HC7" t="inlineStr">
        <is>
          <t>1,5 m, um alvo</t>
        </is>
      </c>
      <c r="HD7" t="inlineStr">
        <is>
          <t>1,5 m, um alvo</t>
        </is>
      </c>
      <c r="HE7" t="inlineStr">
        <is>
          <t>1,5 m, um alvo</t>
        </is>
      </c>
      <c r="HF7" t="inlineStr"/>
      <c r="HG7" t="inlineStr"/>
      <c r="HH7" t="inlineStr"/>
      <c r="HI7" t="inlineStr"/>
      <c r="HJ7" t="inlineStr"/>
      <c r="HK7" t="inlineStr"/>
      <c r="HM7">
        <f>'DADOS_FORMAS'!$BP12</f>
        <v/>
      </c>
      <c r="HN7">
        <f>IF('DADOS_FORMAS'!$BP12="area",'DADOS_FORMAS'!$AU12,'DADOS_FORMAS'!$AT12)</f>
        <v/>
      </c>
      <c r="HO7">
        <f>IF('DADOS_FORMAS'!$BP12="area",'DADOS_FORMAS'!$BH12,'DADOS_FORMAS'!$BA12)</f>
        <v/>
      </c>
      <c r="HP7">
        <f>'DADOS_FORMAS'!$BQ12</f>
        <v/>
      </c>
      <c r="HQ7">
        <f>'DADOS_FORMAS'!$BR12</f>
        <v/>
      </c>
      <c r="HR7">
        <f>LET(base,'DADOS_FORMAS'!$HO7,escada,'DADOS_FORMAS'!$HN7,medida,LEFT(base,MAX(0,LEN(base)-2)),valor,IFERROR(VALUE(SUBSTITUTE(medida,",",""))/10^IFERROR(LEN(medida)-FIND(",",medida),0),1E99),IF(OR(escada="Fixo",base="—"),base,IF(escada="alcance",IFERROR(MATCH(base,{"1,5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 t="inlineStr">
        <is>
          <t>Toque · classes 1 a 5</t>
        </is>
      </c>
      <c r="HU7" t="inlineStr">
        <is>
          <t>1,5 m, um alvo</t>
        </is>
      </c>
      <c r="HV7" t="inlineStr">
        <is>
          <t>1,5 m, um alvo</t>
        </is>
      </c>
      <c r="HW7" t="inlineStr">
        <is>
          <t>1,5 m, um alvo</t>
        </is>
      </c>
      <c r="HX7" t="inlineStr">
        <is>
          <t>1,5 m, um alvo</t>
        </is>
      </c>
      <c r="HY7" t="inlineStr">
        <is>
          <t>1,5 m, um alvo</t>
        </is>
      </c>
      <c r="HZ7" t="inlineStr">
        <is>
          <t>1,5 m, um alvo</t>
        </is>
      </c>
      <c r="IA7" t="inlineStr"/>
      <c r="IB7" t="inlineStr"/>
      <c r="IC7" t="inlineStr"/>
      <c r="ID7" t="inlineStr"/>
      <c r="IE7" t="inlineStr"/>
      <c r="IF7" t="inlineStr"/>
      <c r="IH7">
        <f>IF(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H7,"")</f>
        <v/>
      </c>
      <c r="II7">
        <f>IF(AND(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R7),'DADOS_FORMAS'!$AH7,"")</f>
        <v/>
      </c>
      <c r="IK7">
        <f>IF(OR('DADOS_FORMAS'!$AM7='INVOCAÇÕES'!$O$246,'DADOS_FORMAS'!$AM7='INVOCAÇÕES'!$P$246,'DADOS_FORMAS'!$AM7='INVOCAÇÕES'!$Q$246,'DADOS_FORMAS'!$AM7='INVOCAÇÕES'!$R$246,'DADOS_FORMAS'!$AM7='INVOCAÇÕES'!$S$246,'DADOS_FORMAS'!$AM7='INVOCAÇÕES'!$O$248,'DADOS_FORMAS'!$AM7='INVOCAÇÕES'!$P$248,'DADOS_FORMAS'!$AM7='INVOCAÇÕES'!$Q$248,'DADOS_FORMAS'!$AM7='INVOCAÇÕES'!$R$248,'DADOS_FORMAS'!$AM7=""),'DADOS_FORMAS'!$AH7,"")</f>
        <v/>
      </c>
      <c r="IL7">
        <f>IF(AND(OR('DADOS_FORMAS'!$AM7='INVOCAÇÕES'!$O$246,'DADOS_FORMAS'!$AM7='INVOCAÇÕES'!$P$246,'DADOS_FORMAS'!$AM7='INVOCAÇÕES'!$Q$246,'DADOS_FORMAS'!$AM7='INVOCAÇÕES'!$R$246,'DADOS_FORMAS'!$AM7='INVOCAÇÕES'!$S$246,'DADOS_FORMAS'!$AM7='INVOCAÇÕES'!$O$248,'DADOS_FORMAS'!$AM7='INVOCAÇÕES'!$P$248,'DADOS_FORMAS'!$AM7='INVOCAÇÕES'!$Q$248,'DADOS_FORMAS'!$AM7='INVOCAÇÕES'!$R$248,'DADOS_FORMAS'!$AM7=""),'DADOS_FORMAS'!$AR7),'DADOS_FORMAS'!$AH7,"")</f>
        <v/>
      </c>
      <c r="IN7">
        <f>IF(OR('DADOS_FORMAS'!$AM7='INVOCAÇÕES'!$O$444,'DADOS_FORMAS'!$AM7='INVOCAÇÕES'!$P$444,'DADOS_FORMAS'!$AM7='INVOCAÇÕES'!$Q$444,'DADOS_FORMAS'!$AM7='INVOCAÇÕES'!$R$444,'DADOS_FORMAS'!$AM7='INVOCAÇÕES'!$S$444,'DADOS_FORMAS'!$AM7='INVOCAÇÕES'!$O$446,'DADOS_FORMAS'!$AM7='INVOCAÇÕES'!$P$446,'DADOS_FORMAS'!$AM7='INVOCAÇÕES'!$Q$446,'DADOS_FORMAS'!$AM7='INVOCAÇÕES'!$R$446,'DADOS_FORMAS'!$AM7=""),'DADOS_FORMAS'!$AH7,"")</f>
        <v/>
      </c>
      <c r="IO7">
        <f>IF(AND(OR('DADOS_FORMAS'!$AM7='INVOCAÇÕES'!$O$444,'DADOS_FORMAS'!$AM7='INVOCAÇÕES'!$P$444,'DADOS_FORMAS'!$AM7='INVOCAÇÕES'!$Q$444,'DADOS_FORMAS'!$AM7='INVOCAÇÕES'!$R$444,'DADOS_FORMAS'!$AM7='INVOCAÇÕES'!$S$444,'DADOS_FORMAS'!$AM7='INVOCAÇÕES'!$O$446,'DADOS_FORMAS'!$AM7='INVOCAÇÕES'!$P$446,'DADOS_FORMAS'!$AM7='INVOCAÇÕES'!$Q$446,'DADOS_FORMAS'!$AM7='INVOCAÇÕES'!$R$446,'DADOS_FORMAS'!$AM7=""),'DADOS_FORMAS'!$AR7),'DADOS_FORMAS'!$AH7,"")</f>
        <v/>
      </c>
      <c r="IQ7">
        <f>IF(OR('DADOS_FORMAS'!$AM7='INVOCAÇÕES'!$O$642,'DADOS_FORMAS'!$AM7='INVOCAÇÕES'!$P$642,'DADOS_FORMAS'!$AM7='INVOCAÇÕES'!$Q$642,'DADOS_FORMAS'!$AM7='INVOCAÇÕES'!$R$642,'DADOS_FORMAS'!$AM7='INVOCAÇÕES'!$S$642,'DADOS_FORMAS'!$AM7='INVOCAÇÕES'!$O$644,'DADOS_FORMAS'!$AM7='INVOCAÇÕES'!$P$644,'DADOS_FORMAS'!$AM7='INVOCAÇÕES'!$Q$644,'DADOS_FORMAS'!$AM7='INVOCAÇÕES'!$R$644,'DADOS_FORMAS'!$AM7=""),'DADOS_FORMAS'!$AH7,"")</f>
        <v/>
      </c>
      <c r="IR7">
        <f>IF(AND(OR('DADOS_FORMAS'!$AM7='INVOCAÇÕES'!$O$642,'DADOS_FORMAS'!$AM7='INVOCAÇÕES'!$P$642,'DADOS_FORMAS'!$AM7='INVOCAÇÕES'!$Q$642,'DADOS_FORMAS'!$AM7='INVOCAÇÕES'!$R$642,'DADOS_FORMAS'!$AM7='INVOCAÇÕES'!$S$642,'DADOS_FORMAS'!$AM7='INVOCAÇÕES'!$O$644,'DADOS_FORMAS'!$AM7='INVOCAÇÕES'!$P$644,'DADOS_FORMAS'!$AM7='INVOCAÇÕES'!$Q$644,'DADOS_FORMAS'!$AM7='INVOCAÇÕES'!$R$644,'DADOS_FORMAS'!$AM7=""),'DADOS_FORMAS'!$AR7),'DADOS_FORMAS'!$AH7,"")</f>
        <v/>
      </c>
      <c r="IT7">
        <f>IF(OR('DADOS_FORMAS'!$AM7='INVOCAÇÕES'!$O$840,'DADOS_FORMAS'!$AM7='INVOCAÇÕES'!$P$840,'DADOS_FORMAS'!$AM7='INVOCAÇÕES'!$Q$840,'DADOS_FORMAS'!$AM7='INVOCAÇÕES'!$R$840,'DADOS_FORMAS'!$AM7='INVOCAÇÕES'!$S$840,'DADOS_FORMAS'!$AM7='INVOCAÇÕES'!$O$842,'DADOS_FORMAS'!$AM7='INVOCAÇÕES'!$P$842,'DADOS_FORMAS'!$AM7='INVOCAÇÕES'!$Q$842,'DADOS_FORMAS'!$AM7='INVOCAÇÕES'!$R$842,'DADOS_FORMAS'!$AM7=""),'DADOS_FORMAS'!$AH7,"")</f>
        <v/>
      </c>
      <c r="IU7">
        <f>IF(AND(OR('DADOS_FORMAS'!$AM7='INVOCAÇÕES'!$O$840,'DADOS_FORMAS'!$AM7='INVOCAÇÕES'!$P$840,'DADOS_FORMAS'!$AM7='INVOCAÇÕES'!$Q$840,'DADOS_FORMAS'!$AM7='INVOCAÇÕES'!$R$840,'DADOS_FORMAS'!$AM7='INVOCAÇÕES'!$S$840,'DADOS_FORMAS'!$AM7='INVOCAÇÕES'!$O$842,'DADOS_FORMAS'!$AM7='INVOCAÇÕES'!$P$842,'DADOS_FORMAS'!$AM7='INVOCAÇÕES'!$Q$842,'DADOS_FORMAS'!$AM7='INVOCAÇÕES'!$R$842,'DADOS_FORMAS'!$AM7=""),'DADOS_FORMAS'!$AR7),'DADOS_FORMAS'!$AH7,"")</f>
        <v/>
      </c>
      <c r="IW7">
        <f>IF(OR('DADOS_FORMAS'!$AM7='INVOCAÇÕES'!$O$1038,'DADOS_FORMAS'!$AM7='INVOCAÇÕES'!$P$1038,'DADOS_FORMAS'!$AM7='INVOCAÇÕES'!$Q$1038,'DADOS_FORMAS'!$AM7='INVOCAÇÕES'!$R$1038,'DADOS_FORMAS'!$AM7='INVOCAÇÕES'!$S$1038,'DADOS_FORMAS'!$AM7='INVOCAÇÕES'!$O$1040,'DADOS_FORMAS'!$AM7='INVOCAÇÕES'!$P$1040,'DADOS_FORMAS'!$AM7='INVOCAÇÕES'!$Q$1040,'DADOS_FORMAS'!$AM7='INVOCAÇÕES'!$R$1040,'DADOS_FORMAS'!$AM7=""),'DADOS_FORMAS'!$AH7,"")</f>
        <v/>
      </c>
      <c r="IX7">
        <f>IF(AND(OR('DADOS_FORMAS'!$AM7='INVOCAÇÕES'!$O$1038,'DADOS_FORMAS'!$AM7='INVOCAÇÕES'!$P$1038,'DADOS_FORMAS'!$AM7='INVOCAÇÕES'!$Q$1038,'DADOS_FORMAS'!$AM7='INVOCAÇÕES'!$R$1038,'DADOS_FORMAS'!$AM7='INVOCAÇÕES'!$S$1038,'DADOS_FORMAS'!$AM7='INVOCAÇÕES'!$O$1040,'DADOS_FORMAS'!$AM7='INVOCAÇÕES'!$P$1040,'DADOS_FORMAS'!$AM7='INVOCAÇÕES'!$Q$1040,'DADOS_FORMAS'!$AM7='INVOCAÇÕES'!$R$1040,'DADOS_FORMAS'!$AM7=""),'DADOS_FORMAS'!$AR7),'DADOS_FORMAS'!$AH7,"")</f>
        <v/>
      </c>
      <c r="IZ7">
        <f>IF(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H7,"")</f>
        <v/>
      </c>
      <c r="JA7">
        <f>IF(AND(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R7),'DADOS_FORMAS'!$AH7,"")</f>
        <v/>
      </c>
      <c r="JC7">
        <f>IF(OR('DADOS_FORMAS'!$AM7='INVOCAÇÕES'!$AH$246,'DADOS_FORMAS'!$AM7='INVOCAÇÕES'!$AI$246,'DADOS_FORMAS'!$AM7='INVOCAÇÕES'!$AJ$246,'DADOS_FORMAS'!$AM7='INVOCAÇÕES'!$AK$246,'DADOS_FORMAS'!$AM7='INVOCAÇÕES'!$AL$246,'DADOS_FORMAS'!$AM7='INVOCAÇÕES'!$AH$248,'DADOS_FORMAS'!$AM7='INVOCAÇÕES'!$AI$248,'DADOS_FORMAS'!$AM7='INVOCAÇÕES'!$AJ$248,'DADOS_FORMAS'!$AM7='INVOCAÇÕES'!$AK$248,'DADOS_FORMAS'!$AM7=""),'DADOS_FORMAS'!$AH7,"")</f>
        <v/>
      </c>
      <c r="JD7">
        <f>IF(AND(OR('DADOS_FORMAS'!$AM7='INVOCAÇÕES'!$AH$246,'DADOS_FORMAS'!$AM7='INVOCAÇÕES'!$AI$246,'DADOS_FORMAS'!$AM7='INVOCAÇÕES'!$AJ$246,'DADOS_FORMAS'!$AM7='INVOCAÇÕES'!$AK$246,'DADOS_FORMAS'!$AM7='INVOCAÇÕES'!$AL$246,'DADOS_FORMAS'!$AM7='INVOCAÇÕES'!$AH$248,'DADOS_FORMAS'!$AM7='INVOCAÇÕES'!$AI$248,'DADOS_FORMAS'!$AM7='INVOCAÇÕES'!$AJ$248,'DADOS_FORMAS'!$AM7='INVOCAÇÕES'!$AK$248,'DADOS_FORMAS'!$AM7=""),'DADOS_FORMAS'!$AR7),'DADOS_FORMAS'!$AH7,"")</f>
        <v/>
      </c>
      <c r="JF7">
        <f>IF(OR('DADOS_FORMAS'!$AM7='INVOCAÇÕES'!$AH$444,'DADOS_FORMAS'!$AM7='INVOCAÇÕES'!$AI$444,'DADOS_FORMAS'!$AM7='INVOCAÇÕES'!$AJ$444,'DADOS_FORMAS'!$AM7='INVOCAÇÕES'!$AK$444,'DADOS_FORMAS'!$AM7='INVOCAÇÕES'!$AL$444,'DADOS_FORMAS'!$AM7='INVOCAÇÕES'!$AH$446,'DADOS_FORMAS'!$AM7='INVOCAÇÕES'!$AI$446,'DADOS_FORMAS'!$AM7='INVOCAÇÕES'!$AJ$446,'DADOS_FORMAS'!$AM7='INVOCAÇÕES'!$AK$446,'DADOS_FORMAS'!$AM7=""),'DADOS_FORMAS'!$AH7,"")</f>
        <v/>
      </c>
      <c r="JG7">
        <f>IF(AND(OR('DADOS_FORMAS'!$AM7='INVOCAÇÕES'!$AH$444,'DADOS_FORMAS'!$AM7='INVOCAÇÕES'!$AI$444,'DADOS_FORMAS'!$AM7='INVOCAÇÕES'!$AJ$444,'DADOS_FORMAS'!$AM7='INVOCAÇÕES'!$AK$444,'DADOS_FORMAS'!$AM7='INVOCAÇÕES'!$AL$444,'DADOS_FORMAS'!$AM7='INVOCAÇÕES'!$AH$446,'DADOS_FORMAS'!$AM7='INVOCAÇÕES'!$AI$446,'DADOS_FORMAS'!$AM7='INVOCAÇÕES'!$AJ$446,'DADOS_FORMAS'!$AM7='INVOCAÇÕES'!$AK$446,'DADOS_FORMAS'!$AM7=""),'DADOS_FORMAS'!$AR7),'DADOS_FORMAS'!$AH7,"")</f>
        <v/>
      </c>
      <c r="JI7">
        <f>IF(OR('DADOS_FORMAS'!$AM7='INVOCAÇÕES'!$AH$642,'DADOS_FORMAS'!$AM7='INVOCAÇÕES'!$AI$642,'DADOS_FORMAS'!$AM7='INVOCAÇÕES'!$AJ$642,'DADOS_FORMAS'!$AM7='INVOCAÇÕES'!$AK$642,'DADOS_FORMAS'!$AM7='INVOCAÇÕES'!$AL$642,'DADOS_FORMAS'!$AM7='INVOCAÇÕES'!$AH$644,'DADOS_FORMAS'!$AM7='INVOCAÇÕES'!$AI$644,'DADOS_FORMAS'!$AM7='INVOCAÇÕES'!$AJ$644,'DADOS_FORMAS'!$AM7='INVOCAÇÕES'!$AK$644,'DADOS_FORMAS'!$AM7=""),'DADOS_FORMAS'!$AH7,"")</f>
        <v/>
      </c>
      <c r="JJ7">
        <f>IF(AND(OR('DADOS_FORMAS'!$AM7='INVOCAÇÕES'!$AH$642,'DADOS_FORMAS'!$AM7='INVOCAÇÕES'!$AI$642,'DADOS_FORMAS'!$AM7='INVOCAÇÕES'!$AJ$642,'DADOS_FORMAS'!$AM7='INVOCAÇÕES'!$AK$642,'DADOS_FORMAS'!$AM7='INVOCAÇÕES'!$AL$642,'DADOS_FORMAS'!$AM7='INVOCAÇÕES'!$AH$644,'DADOS_FORMAS'!$AM7='INVOCAÇÕES'!$AI$644,'DADOS_FORMAS'!$AM7='INVOCAÇÕES'!$AJ$644,'DADOS_FORMAS'!$AM7='INVOCAÇÕES'!$AK$644,'DADOS_FORMAS'!$AM7=""),'DADOS_FORMAS'!$AR7),'DADOS_FORMAS'!$AH7,"")</f>
        <v/>
      </c>
      <c r="JL7">
        <f>IF(OR('DADOS_FORMAS'!$AM7='INVOCAÇÕES'!$AH$840,'DADOS_FORMAS'!$AM7='INVOCAÇÕES'!$AI$840,'DADOS_FORMAS'!$AM7='INVOCAÇÕES'!$AJ$840,'DADOS_FORMAS'!$AM7='INVOCAÇÕES'!$AK$840,'DADOS_FORMAS'!$AM7='INVOCAÇÕES'!$AL$840,'DADOS_FORMAS'!$AM7='INVOCAÇÕES'!$AH$842,'DADOS_FORMAS'!$AM7='INVOCAÇÕES'!$AI$842,'DADOS_FORMAS'!$AM7='INVOCAÇÕES'!$AJ$842,'DADOS_FORMAS'!$AM7='INVOCAÇÕES'!$AK$842,'DADOS_FORMAS'!$AM7=""),'DADOS_FORMAS'!$AH7,"")</f>
        <v/>
      </c>
      <c r="JM7">
        <f>IF(AND(OR('DADOS_FORMAS'!$AM7='INVOCAÇÕES'!$AH$840,'DADOS_FORMAS'!$AM7='INVOCAÇÕES'!$AI$840,'DADOS_FORMAS'!$AM7='INVOCAÇÕES'!$AJ$840,'DADOS_FORMAS'!$AM7='INVOCAÇÕES'!$AK$840,'DADOS_FORMAS'!$AM7='INVOCAÇÕES'!$AL$840,'DADOS_FORMAS'!$AM7='INVOCAÇÕES'!$AH$842,'DADOS_FORMAS'!$AM7='INVOCAÇÕES'!$AI$842,'DADOS_FORMAS'!$AM7='INVOCAÇÕES'!$AJ$842,'DADOS_FORMAS'!$AM7='INVOCAÇÕES'!$AK$842,'DADOS_FORMAS'!$AM7=""),'DADOS_FORMAS'!$AR7),'DADOS_FORMAS'!$AH7,"")</f>
        <v/>
      </c>
      <c r="JO7">
        <f>IF(OR('DADOS_FORMAS'!$AM7='INVOCAÇÕES'!$AH$1038,'DADOS_FORMAS'!$AM7='INVOCAÇÕES'!$AI$1038,'DADOS_FORMAS'!$AM7='INVOCAÇÕES'!$AJ$1038,'DADOS_FORMAS'!$AM7='INVOCAÇÕES'!$AK$1038,'DADOS_FORMAS'!$AM7='INVOCAÇÕES'!$AL$1038,'DADOS_FORMAS'!$AM7='INVOCAÇÕES'!$AH$1040,'DADOS_FORMAS'!$AM7='INVOCAÇÕES'!$AI$1040,'DADOS_FORMAS'!$AM7='INVOCAÇÕES'!$AJ$1040,'DADOS_FORMAS'!$AM7='INVOCAÇÕES'!$AK$1040,'DADOS_FORMAS'!$AM7=""),'DADOS_FORMAS'!$AH7,"")</f>
        <v/>
      </c>
      <c r="JP7">
        <f>IF(AND(OR('DADOS_FORMAS'!$AM7='INVOCAÇÕES'!$AH$1038,'DADOS_FORMAS'!$AM7='INVOCAÇÕES'!$AI$1038,'DADOS_FORMAS'!$AM7='INVOCAÇÕES'!$AJ$1038,'DADOS_FORMAS'!$AM7='INVOCAÇÕES'!$AK$1038,'DADOS_FORMAS'!$AM7='INVOCAÇÕES'!$AL$1038,'DADOS_FORMAS'!$AM7='INVOCAÇÕES'!$AH$1040,'DADOS_FORMAS'!$AM7='INVOCAÇÕES'!$AI$1040,'DADOS_FORMAS'!$AM7='INVOCAÇÕES'!$AJ$1040,'DADOS_FORMAS'!$AM7='INVOCAÇÕES'!$AK$1040,'DADOS_FORMAS'!$AM7=""),'DADOS_FORMAS'!$AR7),'DADOS_FORMAS'!$AH7,"")</f>
        <v/>
      </c>
      <c r="JR7" t="inlineStr">
        <is>
          <t>Cone</t>
        </is>
      </c>
      <c r="JZ7">
        <f>IFERROR(INDEX('DADOS_CRIACAO'!$H$2:$H$20,5),"")</f>
        <v/>
      </c>
      <c r="KA7">
        <f>IFERROR(INDEX(INDEX('DADOS_RESTRICOES'!$M$2:$Q$54,0,1),5),"")</f>
        <v/>
      </c>
    </row>
    <row r="8">
      <c r="A8">
        <f>IF(ISBLANK('CONFIGURAÇÃO'!$B$2020),"",'CONFIGURAÇÃO'!$B$2020)</f>
        <v/>
      </c>
      <c r="B8">
        <f>IF(ISBLANK('CONFIGURAÇÃO'!$B$2022),"",'CONFIGURAÇÃO'!$B$2022)</f>
        <v/>
      </c>
      <c r="C8">
        <f>IF(ISBLANK('CONFIGURAÇÃO'!$E$2023),"",'CONFIGURAÇÃO'!$E$2023)</f>
        <v/>
      </c>
      <c r="D8">
        <f>IF(ISBLANK('CONFIGURAÇÃO'!$F$2020),"",'CONFIGURAÇÃO'!$F$2020)</f>
        <v/>
      </c>
      <c r="E8">
        <f>IF(ISBLANK('CONFIGURAÇÃO'!$B$2049),"",'CONFIGURAÇÃO'!$B$2049)</f>
        <v/>
      </c>
      <c r="F8">
        <f>IF(ISBLANK('CONFIGURAÇÃO'!$B$2055),"",'CONFIGURAÇÃO'!$B$2055)</f>
        <v/>
      </c>
      <c r="G8">
        <f>IF(ISBLANK('CONFIGURAÇÃO'!$E$2024),"",'CONFIGURAÇÃO'!$E$2024)</f>
        <v/>
      </c>
      <c r="H8">
        <f>IF(ISBLANK('CONFIGURAÇÃO'!$E$2025),"",'CONFIGURAÇÃO'!$E$2025)</f>
        <v/>
      </c>
      <c r="I8">
        <f>IF(ISBLANK('CONFIGURAÇÃO'!$E$2026),"",'CONFIGURAÇÃO'!$E$2026)</f>
        <v/>
      </c>
      <c r="J8">
        <f>IF(ISBLANK('CONFIGURAÇÃO'!$E$2027),"",'CONFIGURAÇÃO'!$E$2027)</f>
        <v/>
      </c>
      <c r="K8">
        <f>IF(ISBLANK('CONFIGURAÇÃO'!$E$2028),"",'CONFIGURAÇÃO'!$E$2028)</f>
        <v/>
      </c>
      <c r="L8">
        <f>IF(ISBLANK('CONFIGURAÇÃO'!$E$2029),"",'CONFIGURAÇÃO'!$E$2029)</f>
        <v/>
      </c>
      <c r="M8">
        <f>IF(ISBLANK('CONFIGURAÇÃO'!$E$2030),"",'CONFIGURAÇÃO'!$E$2030)</f>
        <v/>
      </c>
      <c r="N8">
        <f>IF(ISBLANK('CONFIGURAÇÃO'!$E$2031),"",'CONFIGURAÇÃO'!$E$2031)</f>
        <v/>
      </c>
      <c r="O8">
        <f>IF(ISBLANK('CONFIGURAÇÃO'!$E$2032),"",'CONFIGURAÇÃO'!$E$2032)</f>
        <v/>
      </c>
      <c r="P8">
        <f>IF(ISBLANK('CONFIGURAÇÃO'!$E$2033),"",'CONFIGURAÇÃO'!$E$2033)</f>
        <v/>
      </c>
      <c r="Q8">
        <f>IF(ISBLANK('CONFIGURAÇÃO'!$E$2034),"",'CONFIGURAÇÃO'!$E$2034)</f>
        <v/>
      </c>
      <c r="R8">
        <f>IF(ISBLANK('CONFIGURAÇÃO'!$E$2035),"",'CONFIGURAÇÃO'!$E$2035)</f>
        <v/>
      </c>
      <c r="S8">
        <f>IF(ISBLANK('CONFIGURAÇÃO'!$E$2036),"",'CONFIGURAÇÃO'!$E$2036)</f>
        <v/>
      </c>
      <c r="T8">
        <f>IF(ISBLANK('CONFIGURAÇÃO'!$E$2037),"",'CONFIGURAÇÃO'!$E$2037)</f>
        <v/>
      </c>
      <c r="U8">
        <f>IF(ISBLANK('CONFIGURAÇÃO'!$E$2038),"",'CONFIGURAÇÃO'!$E$2038)</f>
        <v/>
      </c>
      <c r="V8">
        <f>IF(ISBLANK('CONFIGURAÇÃO'!$E$2039),"",'CONFIGURAÇÃO'!$E$2039)</f>
        <v/>
      </c>
      <c r="W8">
        <f>IF(ISBLANK('CONFIGURAÇÃO'!$E$2040),"",'CONFIGURAÇÃO'!$E$2040)</f>
        <v/>
      </c>
      <c r="X8">
        <f>IF(ISBLANK('CONFIGURAÇÃO'!$E$2041),"",'CONFIGURAÇÃO'!$E$2041)</f>
        <v/>
      </c>
      <c r="Y8">
        <f>IF(ISBLANK('CONFIGURAÇÃO'!$E$2042),"",'CONFIGURAÇÃO'!$E$2042)</f>
        <v/>
      </c>
      <c r="Z8">
        <f>IF(ISBLANK('CONFIGURAÇÃO'!$E$2043),"",'CONFIGURAÇÃO'!$E$2043)</f>
        <v/>
      </c>
      <c r="AA8">
        <f>IF(ISBLANK('CONFIGURAÇÃO'!$E$2044),"",'CONFIGURAÇÃO'!$E$2044)</f>
        <v/>
      </c>
      <c r="AB8">
        <f>IF(ISBLANK('CONFIGURAÇÃO'!$E$2045),"",'CONFIGURAÇÃO'!$E$2045)</f>
        <v/>
      </c>
      <c r="AC8">
        <f>IF(ISBLANK('CONFIGURAÇÃO'!$E$2046),"",'CONFIGURAÇÃO'!$E$2046)</f>
        <v/>
      </c>
      <c r="AD8">
        <f>IF($AF8,TEXTJOIN(" · ",TRUE,$DJ8:$FH8),"")</f>
        <v/>
      </c>
      <c r="AE8">
        <f>IF(OR($C8="",$C8="Nenhuma"),0,IFERROR(MATCH(SUBSTITUTE(SUBSTITUTE(SUBSTITUTE($C8,"~","~~"),"*","~*"),"?","~?"),'DADOS_FORMAS'!$AH$2:$AH$11,0),-1))</f>
        <v/>
      </c>
      <c r="AF8">
        <f>OR($B8&lt;&gt;"",$C8&lt;&gt;"",$E8&lt;&gt;"",$F8&lt;&gt;"",$G8&lt;&gt;"",$H8&lt;&gt;"",$I8&lt;&gt;"",$J8&lt;&gt;"",$K8&lt;&gt;"",$L8&lt;&gt;"",$M8&lt;&gt;"",$N8&lt;&gt;"",$O8&lt;&gt;"",$P8&lt;&gt;"",$Q8&lt;&gt;"",$R8&lt;&gt;"",$S8&lt;&gt;"",$T8&lt;&gt;"",$U8&lt;&gt;"",$V8&lt;&gt;"",$W8&lt;&gt;"",$X8&lt;&gt;"",$Y8&lt;&gt;"",$Z8&lt;&gt;"",$AA8&lt;&gt;"",$AB8&lt;&gt;"",$AC8&lt;&gt;"",AND($D8&lt;&gt;"",$D8&lt;&gt;FALSE),AND($A8&lt;&gt;"",$A8&lt;&gt;"Forma"))</f>
        <v/>
      </c>
      <c r="AG8" t="inlineStr">
        <is>
          <t>Forma</t>
        </is>
      </c>
      <c r="AH8" t="inlineStr">
        <is>
          <t>Cura</t>
        </is>
      </c>
      <c r="AI8">
        <f>""</f>
        <v/>
      </c>
      <c r="AJ8" t="b">
        <v>0</v>
      </c>
      <c r="AK8">
        <f>""</f>
        <v/>
      </c>
      <c r="AL8" t="inlineStr">
        <is>
          <t>Um aliado a até 9 m. O saldo vira dados de cura, até 2 × Classe em d8.</t>
        </is>
      </c>
      <c r="AM8" t="inlineStr">
        <is>
          <t>Amparo</t>
        </is>
      </c>
      <c r="AN8" t="n">
        <v>2</v>
      </c>
      <c r="AO8" t="inlineStr">
        <is>
          <t>Automático</t>
        </is>
      </c>
      <c r="AP8" t="n">
        <v>1</v>
      </c>
      <c r="AQ8" t="b">
        <v>0</v>
      </c>
      <c r="AR8" t="b">
        <v>0</v>
      </c>
      <c r="AS8">
        <f>""</f>
        <v/>
      </c>
      <c r="AT8" t="inlineStr">
        <is>
          <t>alcance</t>
        </is>
      </c>
      <c r="AU8" t="inlineStr">
        <is>
          <t>Fixo</t>
        </is>
      </c>
      <c r="AV8" t="inlineStr">
        <is>
          <t>—</t>
        </is>
      </c>
      <c r="AW8" t="inlineStr">
        <is>
          <t>9 m</t>
        </is>
      </c>
      <c r="AX8" t="inlineStr">
        <is>
          <t>18 m</t>
        </is>
      </c>
      <c r="AY8" t="inlineStr">
        <is>
          <t>—</t>
        </is>
      </c>
      <c r="AZ8" t="inlineStr">
        <is>
          <t>9 m</t>
        </is>
      </c>
      <c r="BA8" t="inlineStr">
        <is>
          <t>18 m</t>
        </is>
      </c>
      <c r="BB8" t="inlineStr">
        <is>
          <t>18 m</t>
        </is>
      </c>
      <c r="BC8">
        <f>""</f>
        <v/>
      </c>
      <c r="BD8">
        <f>""</f>
        <v/>
      </c>
      <c r="BE8">
        <f>""</f>
        <v/>
      </c>
      <c r="BF8">
        <f>""</f>
        <v/>
      </c>
      <c r="BG8">
        <f>""</f>
        <v/>
      </c>
      <c r="BH8">
        <f>""</f>
        <v/>
      </c>
      <c r="BI8">
        <f>""</f>
        <v/>
      </c>
      <c r="BJ8" t="inlineStr">
        <is>
          <t>Cura</t>
        </is>
      </c>
      <c r="BK8" t="n">
        <v>0</v>
      </c>
      <c r="BL8" t="inlineStr">
        <is>
          <t>alcance</t>
        </is>
      </c>
      <c r="BM8" t="inlineStr">
        <is>
          <t xml:space="preserve">um aliado a </t>
        </is>
      </c>
      <c r="BN8">
        <f>""</f>
        <v/>
      </c>
      <c r="BO8" t="n">
        <v>1</v>
      </c>
      <c r="BP8">
        <f>""</f>
        <v/>
      </c>
      <c r="BQ8">
        <f>""</f>
        <v/>
      </c>
      <c r="BR8">
        <f>""</f>
        <v/>
      </c>
      <c r="BS8" t="n">
        <v>0</v>
      </c>
      <c r="BV8">
        <f>IF($A8="",IF($AE8&gt;0,INDEX('DADOS_FORMAS'!$AG$2:$AG$11,MAX(1,$AE8)),"Forma"),$A8)</f>
        <v/>
      </c>
      <c r="BW8">
        <f>IF($B8="",IF($AE8&gt;0,INDEX('DADOS_FORMAS'!$AH$2:$AH$11,MAX(1,$AE8)),""),$B8)</f>
        <v/>
      </c>
      <c r="BX8">
        <f>IF($C8="",IF($AE8&gt;0,INDEX('DADOS_FORMAS'!$AI$2:$AI$11,MAX(1,$AE8)),""),$C8)</f>
        <v/>
      </c>
      <c r="BY8">
        <f>IF($D8="",IF($AE8&gt;0,INDEX('DADOS_FORMAS'!$AJ$2:$AJ$11,MAX(1,$AE8)),FALSE),$D8)</f>
        <v/>
      </c>
      <c r="BZ8">
        <f>IF($E8="",IF($AE8&gt;0,INDEX('DADOS_FORMAS'!$AK$2:$AK$11,MAX(1,$AE8)),""),$E8)</f>
        <v/>
      </c>
      <c r="CA8">
        <f>IF($F8="",IF($AE8&gt;0,INDEX('DADOS_FORMAS'!$AL$2:$AL$11,MAX(1,$AE8)),""),$F8)</f>
        <v/>
      </c>
      <c r="CB8">
        <f>IF($G8="Nenhuma","",IF($G8="",IF($AE8&gt;0,INDEX('DADOS_FORMAS'!$AM$2:$AM$11,MAX(1,$AE8)),""),$G8))</f>
        <v/>
      </c>
      <c r="CC8">
        <f>IF($H8="",IF($AE8&gt;0,INDEX('DADOS_FORMAS'!$AN$2:$AN$11,MAX(1,$AE8)),""),IF($H8="Sem custo",0,IF($H8="Leve",1,IF($H8="Média",2,IF($H8="Pesada",3,$H8)))))</f>
        <v/>
      </c>
      <c r="CD8">
        <f>IF($I8="",IF($AE8&gt;0,INDEX('DADOS_FORMAS'!$AO$2:$AO$11,MAX(1,$AE8)),""),$I8)</f>
        <v/>
      </c>
      <c r="CE8">
        <f>IF($J8="",IF($AE8&gt;0,INDEX('DADOS_FORMAS'!$AP$2:$AP$11,MAX(1,$AE8)),""),IF($J8="Dano",0,IF($J8="Cura",1,IF($J8="Vida temporária",2,IF($J8="Efeito",3,$J8)))))</f>
        <v/>
      </c>
      <c r="CF8">
        <f>IF($K8="",IF($AE8&gt;0,INDEX('DADOS_FORMAS'!$AQ$2:$AQ$11,MAX(1,$AE8)),""),IF($K8="Sim",TRUE,IF($K8="Não",FALSE,$K8)))</f>
        <v/>
      </c>
      <c r="CG8">
        <f>IF($L8="",IF($AE8&gt;0,INDEX('DADOS_FORMAS'!$AR$2:$AR$11,MAX(1,$AE8)),""),IF($L8="Sim",TRUE,IF($L8="Não",FALSE,$L8)))</f>
        <v/>
      </c>
      <c r="CH8">
        <f>IF($M8="Nenhuma","",IF($M8="",IF($AE8&gt;0,INDEX('DADOS_FORMAS'!$AS$2:$AS$11,MAX(1,$AE8)),""),$M8))</f>
        <v/>
      </c>
      <c r="CI8">
        <f>IF($N8="",IF($AE8&gt;0,INDEX('DADOS_FORMAS'!$AT$2:$AT$11,MAX(1,$AE8)),"Fixo"),$N8)</f>
        <v/>
      </c>
      <c r="CJ8">
        <f>IF($O8="",IF($AE8&gt;0,INDEX('DADOS_FORMAS'!$AU$2:$AU$11,MAX(1,$AE8)),"Fixo"),$O8)</f>
        <v/>
      </c>
      <c r="CK8">
        <f>IF($P8="",IF($AE8&gt;0,INDEX('DADOS_FORMAS'!$AV$2:$AV$11,MAX(1,$AE8)),""),$P8)</f>
        <v/>
      </c>
      <c r="CL8">
        <f>IF($Q8="",IF($AE8&gt;0,INDEX('DADOS_FORMAS'!$AW$2:$AW$11,MAX(1,$AE8)),""),$Q8)</f>
        <v/>
      </c>
      <c r="CM8">
        <f>IF($R8="",IF($AE8&gt;0,INDEX('DADOS_FORMAS'!$AX$2:$AX$11,MAX(1,$AE8)),""),$R8)</f>
        <v/>
      </c>
      <c r="CN8">
        <f>IF($S8="",IF($AE8&gt;0,INDEX('DADOS_FORMAS'!$AY$2:$AY$11,MAX(1,$AE8)),""),$S8)</f>
        <v/>
      </c>
      <c r="CO8">
        <f>IF($T8="",IF($AE8&gt;0,INDEX('DADOS_FORMAS'!$AZ$2:$AZ$11,MAX(1,$AE8)),""),$T8)</f>
        <v/>
      </c>
      <c r="CP8">
        <f>IF($U8="",IF($AE8&gt;0,INDEX('DADOS_FORMAS'!$BA$2:$BA$11,MAX(1,$AE8)),""),$U8)</f>
        <v/>
      </c>
      <c r="CQ8">
        <f>IF($V8="",IF($AE8&gt;0,INDEX('DADOS_FORMAS'!$BB$2:$BB$11,MAX(1,$AE8)),""),$V8)</f>
        <v/>
      </c>
      <c r="CR8">
        <f>IF($W8="",IF($AE8&gt;0,INDEX('DADOS_FORMAS'!$BC$2:$BC$11,MAX(1,$AE8)),""),$W8)</f>
        <v/>
      </c>
      <c r="CS8">
        <f>IF($X8="",IF($AE8&gt;0,INDEX('DADOS_FORMAS'!$BD$2:$BD$11,MAX(1,$AE8)),""),$X8)</f>
        <v/>
      </c>
      <c r="CT8">
        <f>IF($Y8="",IF($AE8&gt;0,INDEX('DADOS_FORMAS'!$BE$2:$BE$11,MAX(1,$AE8)),""),$Y8)</f>
        <v/>
      </c>
      <c r="CU8">
        <f>IF($Z8="",IF($AE8&gt;0,INDEX('DADOS_FORMAS'!$BF$2:$BF$11,MAX(1,$AE8)),""),$Z8)</f>
        <v/>
      </c>
      <c r="CV8">
        <f>IF($AA8="",IF($AE8&gt;0,INDEX('DADOS_FORMAS'!$BG$2:$BG$11,MAX(1,$AE8)),""),$AA8)</f>
        <v/>
      </c>
      <c r="CW8">
        <f>IF($AB8="",IF($AE8&gt;0,INDEX('DADOS_FORMAS'!$BH$2:$BH$11,MAX(1,$AE8)),""),$AB8)</f>
        <v/>
      </c>
      <c r="CX8">
        <f>IF($AC8="",IF($AE8&gt;0,INDEX('DADOS_FORMAS'!$BI$2:$BI$11,MAX(1,$AE8)),""),$AC8)</f>
        <v/>
      </c>
      <c r="CY8">
        <f>IF($AE8&gt;0,INDEX('DADOS_FORMAS'!$BJ$2:$BJ$11,MAX(1,$AE8)),"")</f>
        <v/>
      </c>
      <c r="CZ8">
        <f>IF($AE8&gt;0,INDEX('DADOS_FORMAS'!$BK$2:$BK$11,MAX(1,$AE8)),0)</f>
        <v/>
      </c>
      <c r="DA8">
        <f>IF($AE8&gt;0,INDEX('DADOS_FORMAS'!$BL$2:$BL$11,MAX(1,$AE8)),"alcance")</f>
        <v/>
      </c>
      <c r="DB8">
        <f>IF($AE8&gt;0,INDEX('DADOS_FORMAS'!$BM$2:$BM$11,MAX(1,$AE8)),"")</f>
        <v/>
      </c>
      <c r="DC8">
        <f>IF($AE8&gt;0,INDEX('DADOS_FORMAS'!$BN$2:$BN$11,MAX(1,$AE8)),"")</f>
        <v/>
      </c>
      <c r="DD8">
        <f>IF($AE8&gt;0,INDEX('DADOS_FORMAS'!$BO$2:$BO$11,MAX(1,$AE8)),1)</f>
        <v/>
      </c>
      <c r="DE8">
        <f>IF(AND($AE8&gt;0,INDEX('DADOS_FORMAS'!$BP$2:$BP$11,MAX(1,$AE8))=""),IF(AND(INDEX('DADOS_FORMAS'!$BL$2:$BL$11,MAX(1,$AE8))="alcance",OR($W8&lt;&gt;"",$X8&lt;&gt;"",$Y8&lt;&gt;"",$Z8&lt;&gt;"",$AA8&lt;&gt;"",$AB8&lt;&gt;"",$AC8&lt;&gt;"")),"area",IF(AND(INDEX('DADOS_FORMAS'!$BL$2:$BL$11,MAX(1,$AE8))="area",OR($P8&lt;&gt;"",$Q8&lt;&gt;"",$R8&lt;&gt;"",$S8&lt;&gt;"",$T8&lt;&gt;"",$U8&lt;&gt;"",$V8&lt;&gt;"")),"alcance","")),IF($AE8&gt;0,INDEX('DADOS_FORMAS'!$BP$2:$BP$11,MAX(1,$AE8)),"area"))</f>
        <v/>
      </c>
      <c r="DF8">
        <f>IF(AND($AE8&gt;0,INDEX('DADOS_FORMAS'!$BP$2:$BP$11,MAX(1,$AE8))=""),IF(IF(AND(INDEX('DADOS_FORMAS'!$BL$2:$BL$11,MAX(1,$AE8))="alcance",OR($W8&lt;&gt;"",$X8&lt;&gt;"",$Y8&lt;&gt;"",$Z8&lt;&gt;"",$AA8&lt;&gt;"",$AB8&lt;&gt;"",$AC8&lt;&gt;"")),"area",IF(AND(INDEX('DADOS_FORMAS'!$BL$2:$BL$11,MAX(1,$AE8))="area",OR($P8&lt;&gt;"",$Q8&lt;&gt;"",$R8&lt;&gt;"",$S8&lt;&gt;"",$T8&lt;&gt;"",$U8&lt;&gt;"",$V8&lt;&gt;"")),"alcance",""))="alcance"," · alcance ",IF(IF(AND(INDEX('DADOS_FORMAS'!$BL$2:$BL$11,MAX(1,$AE8))="alcance",OR($W8&lt;&gt;"",$X8&lt;&gt;"",$Y8&lt;&gt;"",$Z8&lt;&gt;"",$AA8&lt;&gt;"",$AB8&lt;&gt;"",$AC8&lt;&gt;"")),"area",IF(AND(INDEX('DADOS_FORMAS'!$BL$2:$BL$11,MAX(1,$AE8))="area",OR($P8&lt;&gt;"",$Q8&lt;&gt;"",$R8&lt;&gt;"",$S8&lt;&gt;"",$T8&lt;&gt;"",$U8&lt;&gt;"",$V8&lt;&gt;"")),"alcance",""))="area"," · área ","")),IF($AE8&gt;0,INDEX('DADOS_FORMAS'!$BQ$2:$BQ$11,MAX(1,$AE8))," · área "))</f>
        <v/>
      </c>
      <c r="DG8">
        <f>IF(AND($AE8&gt;0,INDEX('DADOS_FORMAS'!$BP$2:$BP$11,MAX(1,$AE8))=""),"",IF($AE8&gt;0,INDEX('DADOS_FORMAS'!$BR$2:$BR$11,MAX(1,$AE8)),""))</f>
        <v/>
      </c>
      <c r="DH8">
        <f>IF(AND($AE8&gt;0,INDEX('DADOS_FORMAS'!$BP$2:$BP$11,MAX(1,$AE8))=""),IF(IF(AND(INDEX('DADOS_FORMAS'!$BL$2:$BL$11,MAX(1,$AE8))="alcance",OR($W8&lt;&gt;"",$X8&lt;&gt;"",$Y8&lt;&gt;"",$Z8&lt;&gt;"",$AA8&lt;&gt;"",$AB8&lt;&gt;"",$AC8&lt;&gt;"")),"area",IF(AND(INDEX('DADOS_FORMAS'!$BL$2:$BL$11,MAX(1,$AE8))="area",OR($P8&lt;&gt;"",$Q8&lt;&gt;"",$R8&lt;&gt;"",$S8&lt;&gt;"",$T8&lt;&gt;"",$U8&lt;&gt;"",$V8&lt;&gt;"")),"alcance",""))="",0,IF(IF(AND(INDEX('DADOS_FORMAS'!$BL$2:$BL$11,MAX(1,$AE8))="alcance",OR($W8&lt;&gt;"",$X8&lt;&gt;"",$Y8&lt;&gt;"",$Z8&lt;&gt;"",$AA8&lt;&gt;"",$AB8&lt;&gt;"",$AC8&lt;&gt;"")),"area",IF(AND(INDEX('DADOS_FORMAS'!$BL$2:$BL$11,MAX(1,$AE8))="area",OR($P8&lt;&gt;"",$Q8&lt;&gt;"",$R8&lt;&gt;"",$S8&lt;&gt;"",$T8&lt;&gt;"",$U8&lt;&gt;"",$V8&lt;&gt;"")),"alcance",""))="alcance",1,IF($O8="comprimento",3,2))),IF($AE8&gt;0,INDEX('DADOS_FORMAS'!$BS$2:$BS$11,MAX(1,$AE8)),IF($O8="comprimento",3,2)))</f>
        <v/>
      </c>
      <c r="DJ8">
        <f>IF(AND(ISTEXT($B8),$B8&lt;&gt;"",TRIM($B8)=$B8),"","NOME precisa ser texto sem espaços nas pontas")</f>
        <v/>
      </c>
      <c r="DK8">
        <f>IF(COUNTIF('DADOS_FORMAS'!$B$2:$B$11,SUBSTITUTE(SUBSTITUTE(SUBSTITUTE($B8,"~","~~"),"*","~*"),"?","~?"))+COUNTIF('DADOS_FORMAS'!$AH$2:$AH$11,SUBSTITUTE(SUBSTITUTE(SUBSTITUTE($B8,"~","~~"),"*","~*"),"?","~?"))=1,"","Nome repetido no livro ou custom")</f>
        <v/>
      </c>
      <c r="DL8">
        <f>IF($AE8&gt;=0,"","BASE DO LIVRO inválida para o grupo")</f>
        <v/>
      </c>
      <c r="DM8">
        <f>IF(OR($BV8="Forma"),"","TIPO inválido para o grupo")</f>
        <v/>
      </c>
      <c r="DN8">
        <f>IF(ISLOGICAL($BY8),"","MESTRE VIU precisa ser caixa de seleção")</f>
        <v/>
      </c>
      <c r="DO8">
        <f>IF(ISTEXT($CA8),"","EFEITO precisa ser texto")</f>
        <v/>
      </c>
      <c r="DP8">
        <f>IF(ISTEXT($BZ8),"","REQUISITOS precisa ser texto")</f>
        <v/>
      </c>
      <c r="DQ8">
        <f>IF(IFERROR(AND(ISNUMBER($CC8),NOT(ISLOGICAL($CC8)),$CC8=INT($CC8),$CC8&gt;=0,$CC8&lt;=3),FALSE),"","PESO exige 0/1/2/3")</f>
        <v/>
      </c>
      <c r="DR8">
        <f>IF(IFERROR(AND(ISNUMBER($CE8),NOT(ISLOGICAL($CE8)),$CE8=INT($CE8),$CE8&gt;=0,$CE8&lt;=3),FALSE),"","RESULTADO exige 0/1/2/3")</f>
        <v/>
      </c>
      <c r="DS8">
        <f>IF(ISLOGICAL($CF8),"","EXIGE_TR exige Sim/Não")</f>
        <v/>
      </c>
      <c r="DT8">
        <f>IF(ISLOGICAL($CG8),"","CLASSE_0 exige Sim/Não")</f>
        <v/>
      </c>
      <c r="DU8">
        <f>IF(OR($CD8="Acerto",$CD8="TR, metade",$CD8="Automático"),"","RESOLUÇÃO inválida")</f>
        <v/>
      </c>
      <c r="DV8">
        <f>IF(OR($CB8="",COUNTIF('DADOS_CRIACAO'!$H$2:$H$20,SUBSTITUTE(SUBSTITUTE(SUBSTITUTE($CB8,"~","~~"),"*","~*"),"?","~?"))&gt;0),"","FAMÍLIA não cadastrada ou inválida")</f>
        <v/>
      </c>
      <c r="DW8">
        <f>IF(OR($CH8="",IFERROR(MATCH(SUBSTITUTE(SUBSTITUTE(SUBSTITUTE($CH8,"~","~~"),"*","~*"),"?","~?"),INDEX('DADOS_RESTRICOES'!$M$2:$Q$54,0,1),0),0)&gt;0),"","RESTRIÇÃO EMBUTIDA inválida")</f>
        <v/>
      </c>
      <c r="DX8">
        <f>IF(OR($CI8="Fixo",$CI8="alcance"),"","ESCADA inválida para alcance")</f>
        <v/>
      </c>
      <c r="DY8">
        <f>IF(OR(NOT(AND($CG8,OR($DA8="alcance",$DE8="alcance"))),$CK8&lt;&gt;""),"","Base de alcance ausente: personagem/classe_0")</f>
        <v/>
      </c>
      <c r="DZ8">
        <f>IF(ISTEXT($CK8),"","Base precisa ser texto: alcance/personagem/classe_0")</f>
        <v/>
      </c>
      <c r="EA8">
        <f>IF(OR(NOT(AND($CG8,OR($DA8="alcance",$DE8="alcance"))),$CI8="Fixo",$CK8="",$CK8="—",AND(RIGHT($CK8,2)=" m",IFERROR(VALUE(SUBSTITUTE(LEFT($CK8,MAX(0,LEN($CK8)-2)),",",""))/10^IFERROR(LEN(LEFT($CK8,MAX(0,LEN($CK8)-2)))-FIND(",",LEFT($CK8,MAX(0,LEN($CK8)-2))),0),-1)&gt;0)),"","Base incompatível com escada: alcance/personagem/classe_0")</f>
        <v/>
      </c>
      <c r="EB8">
        <f>IF(OR(NOT(OR($DA8="alcance",$DE8="alcance")),$CL8&lt;&gt;""),"","Base de alcance ausente: personagem/classes_1_a_5")</f>
        <v/>
      </c>
      <c r="EC8">
        <f>IF(ISTEXT($CL8),"","Base precisa ser texto: alcance/personagem/classes_1_a_5")</f>
        <v/>
      </c>
      <c r="ED8">
        <f>IF(OR(NOT(OR($DA8="alcance",$DE8="alcance")),$CI8="Fixo",$CL8="",$CL8="—",AND(RIGHT($CL8,2)=" m",IFERROR(VALUE(SUBSTITUTE(LEFT($CL8,MAX(0,LEN($CL8)-2)),",",""))/10^IFERROR(LEN(LEFT($CL8,MAX(0,LEN($CL8)-2)))-FIND(",",LEFT($CL8,MAX(0,LEN($CL8)-2))),0),-1)&gt;0)),"","Base incompatível com escada: alcance/personagem/classes_1_a_5")</f>
        <v/>
      </c>
      <c r="EE8">
        <f>IF(OR(NOT(OR($DA8="alcance",$DE8="alcance")),$CM8&lt;&gt;""),"","Base de alcance ausente: personagem/classes_6_e_7")</f>
        <v/>
      </c>
      <c r="EF8">
        <f>IF(ISTEXT($CM8),"","Base precisa ser texto: alcance/personagem/classes_6_e_7")</f>
        <v/>
      </c>
      <c r="EG8">
        <f>IF(OR(NOT(OR($DA8="alcance",$DE8="alcance")),$CI8="Fixo",$CM8="",$CM8="—",AND(RIGHT($CM8,2)=" m",IFERROR(VALUE(SUBSTITUTE(LEFT($CM8,MAX(0,LEN($CM8)-2)),",",""))/10^IFERROR(LEN(LEFT($CM8,MAX(0,LEN($CM8)-2)))-FIND(",",LEFT($CM8,MAX(0,LEN($CM8)-2))),0),-1)&gt;0)),"","Base incompatível com escada: alcance/personagem/classes_6_e_7")</f>
        <v/>
      </c>
      <c r="EH8">
        <f>IF(OR(NOT(AND($CG8,OR($DA8="alcance",$DE8="alcance"))),$CN8&lt;&gt;""),"","Base de alcance ausente: entidade/classe_0")</f>
        <v/>
      </c>
      <c r="EI8">
        <f>IF(ISTEXT($CN8),"","Base precisa ser texto: alcance/entidade/classe_0")</f>
        <v/>
      </c>
      <c r="EJ8">
        <f>IF(OR(NOT(AND($CG8,OR($DA8="alcance",$DE8="alcance"))),$CI8="Fixo",$CN8="",$CN8="—",AND(RIGHT($CN8,2)=" m",IFERROR(VALUE(SUBSTITUTE(LEFT($CN8,MAX(0,LEN($CN8)-2)),",",""))/10^IFERROR(LEN(LEFT($CN8,MAX(0,LEN($CN8)-2)))-FIND(",",LEFT($CN8,MAX(0,LEN($CN8)-2))),0),-1)&gt;0)),"","Base incompatível com escada: alcance/entidade/classe_0")</f>
        <v/>
      </c>
      <c r="EK8">
        <f>IF(OR(NOT(OR($DA8="alcance",$DE8="alcance")),$CO8&lt;&gt;""),"","Base de alcance ausente: entidade/classes_1_a_5")</f>
        <v/>
      </c>
      <c r="EL8">
        <f>IF(ISTEXT($CO8),"","Base precisa ser texto: alcance/entidade/classes_1_a_5")</f>
        <v/>
      </c>
      <c r="EM8">
        <f>IF(OR(NOT(OR($DA8="alcance",$DE8="alcance")),$CI8="Fixo",$CO8="",$CO8="—",AND(RIGHT($CO8,2)=" m",IFERROR(VALUE(SUBSTITUTE(LEFT($CO8,MAX(0,LEN($CO8)-2)),",",""))/10^IFERROR(LEN(LEFT($CO8,MAX(0,LEN($CO8)-2)))-FIND(",",LEFT($CO8,MAX(0,LEN($CO8)-2))),0),-1)&gt;0)),"","Base incompatível com escada: alcance/entidade/classes_1_a_5")</f>
        <v/>
      </c>
      <c r="EN8">
        <f>IF(OR(NOT(OR($DA8="alcance",$DE8="alcance")),$CP8&lt;&gt;""),"","Base de alcance ausente: entidade/classe_6")</f>
        <v/>
      </c>
      <c r="EO8">
        <f>IF(ISTEXT($CP8),"","Base precisa ser texto: alcance/entidade/classe_6")</f>
        <v/>
      </c>
      <c r="EP8">
        <f>IF(OR(NOT(OR($DA8="alcance",$DE8="alcance")),$CI8="Fixo",$CP8="",$CP8="—",AND(RIGHT($CP8,2)=" m",IFERROR(VALUE(SUBSTITUTE(LEFT($CP8,MAX(0,LEN($CP8)-2)),",",""))/10^IFERROR(LEN(LEFT($CP8,MAX(0,LEN($CP8)-2)))-FIND(",",LEFT($CP8,MAX(0,LEN($CP8)-2))),0),-1)&gt;0)),"","Base incompatível com escada: alcance/entidade/classe_6")</f>
        <v/>
      </c>
      <c r="EQ8">
        <f>IF(OR(NOT(OR($DA8="alcance",$DE8="alcance")),$CQ8&lt;&gt;""),"","Base de alcance ausente: entidade/classe_7")</f>
        <v/>
      </c>
      <c r="ER8">
        <f>IF(ISTEXT($CQ8),"","Base precisa ser texto: alcance/entidade/classe_7")</f>
        <v/>
      </c>
      <c r="ES8">
        <f>IF(OR(NOT(OR($DA8="alcance",$DE8="alcance")),$CI8="Fixo",$CQ8="",$CQ8="—",AND(RIGHT($CQ8,2)=" m",IFERROR(VALUE(SUBSTITUTE(LEFT($CQ8,MAX(0,LEN($CQ8)-2)),",",""))/10^IFERROR(LEN(LEFT($CQ8,MAX(0,LEN($CQ8)-2)))-FIND(",",LEFT($CQ8,MAX(0,LEN($CQ8)-2))),0),-1)&gt;0)),"","Base incompatível com escada: alcance/entidade/classe_7")</f>
        <v/>
      </c>
      <c r="ET8">
        <f>IF(OR($CJ8="Fixo",$CJ8="raio",$CJ8="comprimento"),"","ESCADA inválida para area")</f>
        <v/>
      </c>
      <c r="EU8">
        <f>IF(ISTEXT($CR8),"","Base precisa ser texto: area/personagem/classe_0")</f>
        <v/>
      </c>
      <c r="EV8">
        <f>IF(OR(NOT(AND($CG8,OR($DA8="area",$DE8="area"))),$CJ8="Fixo",$CR8="",$CR8="—",AND(AND(AND(RIGHT($CR8,2)=" m",IFERROR(VALUE(SUBSTITUTE(LEFT($CR8,MAX(0,LEN($CR8)-2)),",",""))/10^IFERROR(LEN(LEFT($CR8,MAX(0,LEN($CR8)-2)))-FIND(",",LEFT($CR8,MAX(0,LEN($CR8)-2))),0),-1)&gt;0),OR($CJ8&lt;&gt;"raio",IFERROR(VALUE(SUBSTITUTE(LEFT($CR8,MAX(0,LEN($CR8)-2)),",",""))/10^IFERROR(LEN(LEFT($CR8,MAX(0,LEN($CR8)-2)))-FIND(",",LEFT($CR8,MAX(0,LEN($CR8)-2))),0),-1)&lt;=15.0)),OR($CJ8&lt;&gt;"comprimento",IFERROR(VALUE(SUBSTITUTE(LEFT($CR8,MAX(0,LEN($CR8)-2)),",",""))/10^IFERROR(LEN(LEFT($CR8,MAX(0,LEN($CR8)-2)))-FIND(",",LEFT($CR8,MAX(0,LEN($CR8)-2))),0),-1)&lt;=60.0))),"","Base incompatível com escada: area/personagem/classe_0")</f>
        <v/>
      </c>
      <c r="EW8">
        <f>IF(ISTEXT($CS8),"","Base precisa ser texto: area/personagem/classes_1_a_5")</f>
        <v/>
      </c>
      <c r="EX8">
        <f>IF(OR(NOT(OR($DA8="area",$DE8="area")),$CJ8="Fixo",$CS8="",$CS8="—",AND(AND(AND(RIGHT($CS8,2)=" m",IFERROR(VALUE(SUBSTITUTE(LEFT($CS8,MAX(0,LEN($CS8)-2)),",",""))/10^IFERROR(LEN(LEFT($CS8,MAX(0,LEN($CS8)-2)))-FIND(",",LEFT($CS8,MAX(0,LEN($CS8)-2))),0),-1)&gt;0),OR($CJ8&lt;&gt;"raio",IFERROR(VALUE(SUBSTITUTE(LEFT($CS8,MAX(0,LEN($CS8)-2)),",",""))/10^IFERROR(LEN(LEFT($CS8,MAX(0,LEN($CS8)-2)))-FIND(",",LEFT($CS8,MAX(0,LEN($CS8)-2))),0),-1)&lt;=15.0)),OR($CJ8&lt;&gt;"comprimento",IFERROR(VALUE(SUBSTITUTE(LEFT($CS8,MAX(0,LEN($CS8)-2)),",",""))/10^IFERROR(LEN(LEFT($CS8,MAX(0,LEN($CS8)-2)))-FIND(",",LEFT($CS8,MAX(0,LEN($CS8)-2))),0),-1)&lt;=60.0))),"","Base incompatível com escada: area/personagem/classes_1_a_5")</f>
        <v/>
      </c>
      <c r="EY8">
        <f>IF(ISTEXT($CT8),"","Base precisa ser texto: area/personagem/classes_6_e_7")</f>
        <v/>
      </c>
      <c r="EZ8">
        <f>IF(OR(NOT(OR($DA8="area",$DE8="area")),$CJ8="Fixo",$CT8="",$CT8="—",AND(AND(AND(RIGHT($CT8,2)=" m",IFERROR(VALUE(SUBSTITUTE(LEFT($CT8,MAX(0,LEN($CT8)-2)),",",""))/10^IFERROR(LEN(LEFT($CT8,MAX(0,LEN($CT8)-2)))-FIND(",",LEFT($CT8,MAX(0,LEN($CT8)-2))),0),-1)&gt;0),OR($CJ8&lt;&gt;"raio",IFERROR(VALUE(SUBSTITUTE(LEFT($CT8,MAX(0,LEN($CT8)-2)),",",""))/10^IFERROR(LEN(LEFT($CT8,MAX(0,LEN($CT8)-2)))-FIND(",",LEFT($CT8,MAX(0,LEN($CT8)-2))),0),-1)&lt;=15.0)),OR($CJ8&lt;&gt;"comprimento",IFERROR(VALUE(SUBSTITUTE(LEFT($CT8,MAX(0,LEN($CT8)-2)),",",""))/10^IFERROR(LEN(LEFT($CT8,MAX(0,LEN($CT8)-2)))-FIND(",",LEFT($CT8,MAX(0,LEN($CT8)-2))),0),-1)&lt;=60.0))),"","Base incompatível com escada: area/personagem/classes_6_e_7")</f>
        <v/>
      </c>
      <c r="FA8">
        <f>IF(ISTEXT($CU8),"","Base precisa ser texto: area/entidade/classe_0")</f>
        <v/>
      </c>
      <c r="FB8">
        <f>IF(OR(NOT(AND($CG8,OR($DA8="area",$DE8="area"))),$CJ8="Fixo",$CU8="",$CU8="—",AND(AND(AND(RIGHT($CU8,2)=" m",IFERROR(VALUE(SUBSTITUTE(LEFT($CU8,MAX(0,LEN($CU8)-2)),",",""))/10^IFERROR(LEN(LEFT($CU8,MAX(0,LEN($CU8)-2)))-FIND(",",LEFT($CU8,MAX(0,LEN($CU8)-2))),0),-1)&gt;0),OR($CJ8&lt;&gt;"raio",IFERROR(VALUE(SUBSTITUTE(LEFT($CU8,MAX(0,LEN($CU8)-2)),",",""))/10^IFERROR(LEN(LEFT($CU8,MAX(0,LEN($CU8)-2)))-FIND(",",LEFT($CU8,MAX(0,LEN($CU8)-2))),0),-1)&lt;=15.0)),OR($CJ8&lt;&gt;"comprimento",IFERROR(VALUE(SUBSTITUTE(LEFT($CU8,MAX(0,LEN($CU8)-2)),",",""))/10^IFERROR(LEN(LEFT($CU8,MAX(0,LEN($CU8)-2)))-FIND(",",LEFT($CU8,MAX(0,LEN($CU8)-2))),0),-1)&lt;=60.0))),"","Base incompatível com escada: area/entidade/classe_0")</f>
        <v/>
      </c>
      <c r="FC8">
        <f>IF(ISTEXT($CV8),"","Base precisa ser texto: area/entidade/classes_1_a_5")</f>
        <v/>
      </c>
      <c r="FD8">
        <f>IF(OR(NOT(OR($DA8="area",$DE8="area")),$CJ8="Fixo",$CV8="",$CV8="—",AND(AND(AND(RIGHT($CV8,2)=" m",IFERROR(VALUE(SUBSTITUTE(LEFT($CV8,MAX(0,LEN($CV8)-2)),",",""))/10^IFERROR(LEN(LEFT($CV8,MAX(0,LEN($CV8)-2)))-FIND(",",LEFT($CV8,MAX(0,LEN($CV8)-2))),0),-1)&gt;0),OR($CJ8&lt;&gt;"raio",IFERROR(VALUE(SUBSTITUTE(LEFT($CV8,MAX(0,LEN($CV8)-2)),",",""))/10^IFERROR(LEN(LEFT($CV8,MAX(0,LEN($CV8)-2)))-FIND(",",LEFT($CV8,MAX(0,LEN($CV8)-2))),0),-1)&lt;=15.0)),OR($CJ8&lt;&gt;"comprimento",IFERROR(VALUE(SUBSTITUTE(LEFT($CV8,MAX(0,LEN($CV8)-2)),",",""))/10^IFERROR(LEN(LEFT($CV8,MAX(0,LEN($CV8)-2)))-FIND(",",LEFT($CV8,MAX(0,LEN($CV8)-2))),0),-1)&lt;=60.0))),"","Base incompatível com escada: area/entidade/classes_1_a_5")</f>
        <v/>
      </c>
      <c r="FE8">
        <f>IF(ISTEXT($CW8),"","Base precisa ser texto: area/entidade/classe_6")</f>
        <v/>
      </c>
      <c r="FF8">
        <f>IF(OR(NOT(OR($DA8="area",$DE8="area")),$CJ8="Fixo",$CW8="",$CW8="—",AND(AND(AND(RIGHT($CW8,2)=" m",IFERROR(VALUE(SUBSTITUTE(LEFT($CW8,MAX(0,LEN($CW8)-2)),",",""))/10^IFERROR(LEN(LEFT($CW8,MAX(0,LEN($CW8)-2)))-FIND(",",LEFT($CW8,MAX(0,LEN($CW8)-2))),0),-1)&gt;0),OR($CJ8&lt;&gt;"raio",IFERROR(VALUE(SUBSTITUTE(LEFT($CW8,MAX(0,LEN($CW8)-2)),",",""))/10^IFERROR(LEN(LEFT($CW8,MAX(0,LEN($CW8)-2)))-FIND(",",LEFT($CW8,MAX(0,LEN($CW8)-2))),0),-1)&lt;=15.0)),OR($CJ8&lt;&gt;"comprimento",IFERROR(VALUE(SUBSTITUTE(LEFT($CW8,MAX(0,LEN($CW8)-2)),",",""))/10^IFERROR(LEN(LEFT($CW8,MAX(0,LEN($CW8)-2)))-FIND(",",LEFT($CW8,MAX(0,LEN($CW8)-2))),0),-1)&lt;=60.0))),"","Base incompatível com escada: area/entidade/classe_6")</f>
        <v/>
      </c>
      <c r="FG8">
        <f>IF(ISTEXT($CX8),"","Base precisa ser texto: area/entidade/classe_7")</f>
        <v/>
      </c>
      <c r="FH8">
        <f>IF(OR(NOT(OR($DA8="area",$DE8="area")),$CJ8="Fixo",$CX8="",$CX8="—",AND(AND(AND(RIGHT($CX8,2)=" m",IFERROR(VALUE(SUBSTITUTE(LEFT($CX8,MAX(0,LEN($CX8)-2)),",",""))/10^IFERROR(LEN(LEFT($CX8,MAX(0,LEN($CX8)-2)))-FIND(",",LEFT($CX8,MAX(0,LEN($CX8)-2))),0),-1)&gt;0),OR($CJ8&lt;&gt;"raio",IFERROR(VALUE(SUBSTITUTE(LEFT($CX8,MAX(0,LEN($CX8)-2)),",",""))/10^IFERROR(LEN(LEFT($CX8,MAX(0,LEN($CX8)-2)))-FIND(",",LEFT($CX8,MAX(0,LEN($CX8)-2))),0),-1)&lt;=15.0)),OR($CJ8&lt;&gt;"comprimento",IFERROR(VALUE(SUBSTITUTE(LEFT($CX8,MAX(0,LEN($CX8)-2)),",",""))/10^IFERROR(LEN(LEFT($CX8,MAX(0,LEN($CX8)-2)))-FIND(",",LEFT($CX8,MAX(0,LEN($CX8)-2))),0),-1)&lt;=60.0))),"","Base incompatível com escada: area/entidade/classe_7")</f>
        <v/>
      </c>
      <c r="FJ8">
        <f>'DADOS_FORMAS'!$AH8</f>
        <v/>
      </c>
      <c r="FK8">
        <f>'DADOS_FORMAS'!$AM8</f>
        <v/>
      </c>
      <c r="FL8">
        <f>'DADOS_FORMAS'!$AN8</f>
        <v/>
      </c>
      <c r="FM8">
        <f>IF('DADOS_FORMAS'!$AN8=0,0,'DADOS_FORMAS'!$AN8+3*IFERROR(VLOOKUP(SUBSTITUTE(SUBSTITUTE(SUBSTITUTE('DADOS_FORMAS'!$AM8,"~","~~"),"*","~*"),"?","~?"),'DADOS_CRIACAO'!$H$2:$K$20,3,FALSE),0))</f>
        <v/>
      </c>
      <c r="FN8">
        <f>IFERROR(VLOOKUP(SUBSTITUTE(SUBSTITUTE(SUBSTITUTE('DADOS_FORMAS'!$AM8,"~","~~"),"*","~*"),"?","~?"),'DADOS_CRIACAO'!$H$2:$K$20,4,FALSE),0)</f>
        <v/>
      </c>
      <c r="FO8">
        <f>IF('DADOS_FORMAS'!$AS8="",0,1)</f>
        <v/>
      </c>
      <c r="FP8">
        <f>'DADOS_FORMAS'!$AP8</f>
        <v/>
      </c>
      <c r="FQ8">
        <f>IF(AND('DADOS_FORMAS'!$AO8="Acerto",'DADOS_FORMAS'!$AQ8),"Acerto + TR",'DADOS_FORMAS'!$AO8)</f>
        <v/>
      </c>
      <c r="FR8">
        <f>N(OR('DADOS_FORMAS'!$AQ8,'DADOS_FORMAS'!$AO8="TR, metade"))</f>
        <v/>
      </c>
      <c r="FS8">
        <f>'DADOS_FORMAS'!$BO8</f>
        <v/>
      </c>
      <c r="FT8">
        <f>'DADOS_FORMAS'!$BS8</f>
        <v/>
      </c>
      <c r="FU8">
        <f>'DADOS_FORMAS'!$BK8</f>
        <v/>
      </c>
      <c r="FV8">
        <f>N('DADOS_FORMAS'!$AR8)</f>
        <v/>
      </c>
      <c r="FW8">
        <f>IF(IFERROR(VLOOKUP(SUBSTITUTE(SUBSTITUTE(SUBSTITUTE('DADOS_FORMAS'!$AM8,"~","~~"),"*","~*"),"?","~?"),'DADOS_CRIACAO'!$H$2:$K$20,4,FALSE),0)=1,"",'DADOS_FORMAS'!$AH8)</f>
        <v/>
      </c>
      <c r="FX8">
        <f>IF(AND('DADOS_FORMAS'!$AR8,IFERROR(VLOOKUP(SUBSTITUTE(SUBSTITUTE(SUBSTITUTE('DADOS_FORMAS'!$AM8,"~","~~"),"*","~*"),"?","~?"),'DADOS_CRIACAO'!$H$2:$K$20,4,FALSE),0)=0),'DADOS_FORMAS'!$AH8,"")</f>
        <v/>
      </c>
      <c r="FZ8">
        <f>'DADOS_FORMAS'!$AH8</f>
        <v/>
      </c>
      <c r="GA8">
        <f>'DADOS_FORMAS'!$AM8</f>
        <v/>
      </c>
      <c r="GB8">
        <f>'DADOS_FORMAS'!$AN8</f>
        <v/>
      </c>
      <c r="GC8">
        <f>IF('DADOS_FORMAS'!$AS8="",0,1)</f>
        <v/>
      </c>
      <c r="GD8">
        <f>'DADOS_FORMAS'!$AP8</f>
        <v/>
      </c>
      <c r="GE8">
        <f>IF('DADOS_FORMAS'!$AO8="Acerto","Ataque",IF('DADOS_FORMAS'!$AQ8,"TR","—"))</f>
        <v/>
      </c>
      <c r="GF8">
        <f>N(OR('DADOS_FORMAS'!$AQ8,'DADOS_FORMAS'!$AO8="TR, metade"))</f>
        <v/>
      </c>
      <c r="GG8">
        <f>'DADOS_FORMAS'!$BO8</f>
        <v/>
      </c>
      <c r="GH8">
        <f>'DADOS_FORMAS'!$BS8</f>
        <v/>
      </c>
      <c r="GI8">
        <f>'DADOS_FORMAS'!$BK8</f>
        <v/>
      </c>
      <c r="GJ8">
        <f>N('DADOS_FORMAS'!$AR8)</f>
        <v/>
      </c>
      <c r="GR8">
        <f>'DADOS_FORMAS'!$BL13</f>
        <v/>
      </c>
      <c r="GS8">
        <f>IF('DADOS_FORMAS'!$BL13="area",'DADOS_FORMAS'!$AU13,'DADOS_FORMAS'!$AT13)</f>
        <v/>
      </c>
      <c r="GT8">
        <f>IF('DADOS_FORMAS'!$BL13="area",'DADOS_FORMAS'!$BC13,'DADOS_FORMAS'!$AV13)</f>
        <v/>
      </c>
      <c r="GU8">
        <f>'DADOS_FORMAS'!$BM13</f>
        <v/>
      </c>
      <c r="GV8">
        <f>'DADOS_FORMAS'!$BN13</f>
        <v/>
      </c>
      <c r="GW8">
        <f>LET(base,'DADOS_FORMAS'!$GT8,escada,'DADOS_FORMAS'!$GS8,medida,LEFT(base,MAX(0,LEN(base)-2)),valor,IFERROR(VALUE(SUBSTITUTE(medida,",",""))/10^IFERROR(LEN(medida)-FIND(",",medida),0),1E99),IF(OR(escada="Fixo",base="—"),base,IF(escada="alcance",IFERROR(MATCH(base,{"1,5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8" t="inlineStr">
        <is>
          <t>Explosão · classe 0</t>
        </is>
      </c>
      <c r="GZ8" t="inlineStr">
        <is>
          <t>Raio 3 m</t>
        </is>
      </c>
      <c r="HA8" t="inlineStr">
        <is>
          <t>Raio 4,5 m</t>
        </is>
      </c>
      <c r="HB8" t="inlineStr">
        <is>
          <t>Raio 6 m</t>
        </is>
      </c>
      <c r="HC8" t="inlineStr">
        <is>
          <t>Raio 9 m</t>
        </is>
      </c>
      <c r="HD8" t="inlineStr">
        <is>
          <t>Raio 15 m</t>
        </is>
      </c>
      <c r="HE8" t="inlineStr">
        <is>
          <t>Raio 15 m</t>
        </is>
      </c>
      <c r="HF8" t="inlineStr">
        <is>
          <t>, a 9 m</t>
        </is>
      </c>
      <c r="HG8" t="inlineStr">
        <is>
          <t>, a 18 m</t>
        </is>
      </c>
      <c r="HH8" t="inlineStr">
        <is>
          <t>, a 36 m</t>
        </is>
      </c>
      <c r="HI8" t="inlineStr">
        <is>
          <t>, a 90 m</t>
        </is>
      </c>
      <c r="HJ8" t="inlineStr">
        <is>
          <t>, a visão a olho nu</t>
        </is>
      </c>
      <c r="HK8" t="inlineStr">
        <is>
          <t>, a visão a olho nu</t>
        </is>
      </c>
      <c r="HM8">
        <f>'DADOS_FORMAS'!$BL12</f>
        <v/>
      </c>
      <c r="HN8">
        <f>IF('DADOS_FORMAS'!$BL12="area",'DADOS_FORMAS'!$AU12,'DADOS_FORMAS'!$AT12)</f>
        <v/>
      </c>
      <c r="HO8">
        <f>IF('DADOS_FORMAS'!$BL12="area",'DADOS_FORMAS'!$BI12,'DADOS_FORMAS'!$BB12)</f>
        <v/>
      </c>
      <c r="HP8">
        <f>'DADOS_FORMAS'!$BM12</f>
        <v/>
      </c>
      <c r="HQ8">
        <f>'DADOS_FORMAS'!$BN12</f>
        <v/>
      </c>
      <c r="HR8">
        <f>LET(base,'DADOS_FORMAS'!$HO8,escada,'DADOS_FORMAS'!$HN8,medida,LEFT(base,MAX(0,LEN(base)-2)),valor,IFERROR(VALUE(SUBSTITUTE(medida,",",""))/10^IFERROR(LEN(medida)-FIND(",",medida),0),1E99),IF(OR(escada="Fixo",base="—"),base,IF(escada="alcance",IFERROR(MATCH(base,{"1,5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 t="inlineStr">
        <is>
          <t>Toque · classe 6</t>
        </is>
      </c>
      <c r="HU8" t="inlineStr">
        <is>
          <t>1,5 m, um alvo</t>
        </is>
      </c>
      <c r="HV8" t="inlineStr">
        <is>
          <t>1,5 m, um alvo</t>
        </is>
      </c>
      <c r="HW8" t="inlineStr">
        <is>
          <t>1,5 m, um alvo</t>
        </is>
      </c>
      <c r="HX8" t="inlineStr">
        <is>
          <t>1,5 m, um alvo</t>
        </is>
      </c>
      <c r="HY8" t="inlineStr">
        <is>
          <t>1,5 m, um alvo</t>
        </is>
      </c>
      <c r="HZ8" t="inlineStr">
        <is>
          <t>1,5 m, um alvo</t>
        </is>
      </c>
      <c r="IA8" t="inlineStr"/>
      <c r="IB8" t="inlineStr"/>
      <c r="IC8" t="inlineStr"/>
      <c r="ID8" t="inlineStr"/>
      <c r="IE8" t="inlineStr"/>
      <c r="IF8" t="inlineStr"/>
      <c r="IH8">
        <f>IF(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H8,"")</f>
        <v/>
      </c>
      <c r="II8">
        <f>IF(AND(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R8),'DADOS_FORMAS'!$AH8,"")</f>
        <v/>
      </c>
      <c r="IK8">
        <f>IF(OR('DADOS_FORMAS'!$AM8='INVOCAÇÕES'!$O$246,'DADOS_FORMAS'!$AM8='INVOCAÇÕES'!$P$246,'DADOS_FORMAS'!$AM8='INVOCAÇÕES'!$Q$246,'DADOS_FORMAS'!$AM8='INVOCAÇÕES'!$R$246,'DADOS_FORMAS'!$AM8='INVOCAÇÕES'!$S$246,'DADOS_FORMAS'!$AM8='INVOCAÇÕES'!$O$248,'DADOS_FORMAS'!$AM8='INVOCAÇÕES'!$P$248,'DADOS_FORMAS'!$AM8='INVOCAÇÕES'!$Q$248,'DADOS_FORMAS'!$AM8='INVOCAÇÕES'!$R$248,'DADOS_FORMAS'!$AM8=""),'DADOS_FORMAS'!$AH8,"")</f>
        <v/>
      </c>
      <c r="IL8">
        <f>IF(AND(OR('DADOS_FORMAS'!$AM8='INVOCAÇÕES'!$O$246,'DADOS_FORMAS'!$AM8='INVOCAÇÕES'!$P$246,'DADOS_FORMAS'!$AM8='INVOCAÇÕES'!$Q$246,'DADOS_FORMAS'!$AM8='INVOCAÇÕES'!$R$246,'DADOS_FORMAS'!$AM8='INVOCAÇÕES'!$S$246,'DADOS_FORMAS'!$AM8='INVOCAÇÕES'!$O$248,'DADOS_FORMAS'!$AM8='INVOCAÇÕES'!$P$248,'DADOS_FORMAS'!$AM8='INVOCAÇÕES'!$Q$248,'DADOS_FORMAS'!$AM8='INVOCAÇÕES'!$R$248,'DADOS_FORMAS'!$AM8=""),'DADOS_FORMAS'!$AR8),'DADOS_FORMAS'!$AH8,"")</f>
        <v/>
      </c>
      <c r="IN8">
        <f>IF(OR('DADOS_FORMAS'!$AM8='INVOCAÇÕES'!$O$444,'DADOS_FORMAS'!$AM8='INVOCAÇÕES'!$P$444,'DADOS_FORMAS'!$AM8='INVOCAÇÕES'!$Q$444,'DADOS_FORMAS'!$AM8='INVOCAÇÕES'!$R$444,'DADOS_FORMAS'!$AM8='INVOCAÇÕES'!$S$444,'DADOS_FORMAS'!$AM8='INVOCAÇÕES'!$O$446,'DADOS_FORMAS'!$AM8='INVOCAÇÕES'!$P$446,'DADOS_FORMAS'!$AM8='INVOCAÇÕES'!$Q$446,'DADOS_FORMAS'!$AM8='INVOCAÇÕES'!$R$446,'DADOS_FORMAS'!$AM8=""),'DADOS_FORMAS'!$AH8,"")</f>
        <v/>
      </c>
      <c r="IO8">
        <f>IF(AND(OR('DADOS_FORMAS'!$AM8='INVOCAÇÕES'!$O$444,'DADOS_FORMAS'!$AM8='INVOCAÇÕES'!$P$444,'DADOS_FORMAS'!$AM8='INVOCAÇÕES'!$Q$444,'DADOS_FORMAS'!$AM8='INVOCAÇÕES'!$R$444,'DADOS_FORMAS'!$AM8='INVOCAÇÕES'!$S$444,'DADOS_FORMAS'!$AM8='INVOCAÇÕES'!$O$446,'DADOS_FORMAS'!$AM8='INVOCAÇÕES'!$P$446,'DADOS_FORMAS'!$AM8='INVOCAÇÕES'!$Q$446,'DADOS_FORMAS'!$AM8='INVOCAÇÕES'!$R$446,'DADOS_FORMAS'!$AM8=""),'DADOS_FORMAS'!$AR8),'DADOS_FORMAS'!$AH8,"")</f>
        <v/>
      </c>
      <c r="IQ8">
        <f>IF(OR('DADOS_FORMAS'!$AM8='INVOCAÇÕES'!$O$642,'DADOS_FORMAS'!$AM8='INVOCAÇÕES'!$P$642,'DADOS_FORMAS'!$AM8='INVOCAÇÕES'!$Q$642,'DADOS_FORMAS'!$AM8='INVOCAÇÕES'!$R$642,'DADOS_FORMAS'!$AM8='INVOCAÇÕES'!$S$642,'DADOS_FORMAS'!$AM8='INVOCAÇÕES'!$O$644,'DADOS_FORMAS'!$AM8='INVOCAÇÕES'!$P$644,'DADOS_FORMAS'!$AM8='INVOCAÇÕES'!$Q$644,'DADOS_FORMAS'!$AM8='INVOCAÇÕES'!$R$644,'DADOS_FORMAS'!$AM8=""),'DADOS_FORMAS'!$AH8,"")</f>
        <v/>
      </c>
      <c r="IR8">
        <f>IF(AND(OR('DADOS_FORMAS'!$AM8='INVOCAÇÕES'!$O$642,'DADOS_FORMAS'!$AM8='INVOCAÇÕES'!$P$642,'DADOS_FORMAS'!$AM8='INVOCAÇÕES'!$Q$642,'DADOS_FORMAS'!$AM8='INVOCAÇÕES'!$R$642,'DADOS_FORMAS'!$AM8='INVOCAÇÕES'!$S$642,'DADOS_FORMAS'!$AM8='INVOCAÇÕES'!$O$644,'DADOS_FORMAS'!$AM8='INVOCAÇÕES'!$P$644,'DADOS_FORMAS'!$AM8='INVOCAÇÕES'!$Q$644,'DADOS_FORMAS'!$AM8='INVOCAÇÕES'!$R$644,'DADOS_FORMAS'!$AM8=""),'DADOS_FORMAS'!$AR8),'DADOS_FORMAS'!$AH8,"")</f>
        <v/>
      </c>
      <c r="IT8">
        <f>IF(OR('DADOS_FORMAS'!$AM8='INVOCAÇÕES'!$O$840,'DADOS_FORMAS'!$AM8='INVOCAÇÕES'!$P$840,'DADOS_FORMAS'!$AM8='INVOCAÇÕES'!$Q$840,'DADOS_FORMAS'!$AM8='INVOCAÇÕES'!$R$840,'DADOS_FORMAS'!$AM8='INVOCAÇÕES'!$S$840,'DADOS_FORMAS'!$AM8='INVOCAÇÕES'!$O$842,'DADOS_FORMAS'!$AM8='INVOCAÇÕES'!$P$842,'DADOS_FORMAS'!$AM8='INVOCAÇÕES'!$Q$842,'DADOS_FORMAS'!$AM8='INVOCAÇÕES'!$R$842,'DADOS_FORMAS'!$AM8=""),'DADOS_FORMAS'!$AH8,"")</f>
        <v/>
      </c>
      <c r="IU8">
        <f>IF(AND(OR('DADOS_FORMAS'!$AM8='INVOCAÇÕES'!$O$840,'DADOS_FORMAS'!$AM8='INVOCAÇÕES'!$P$840,'DADOS_FORMAS'!$AM8='INVOCAÇÕES'!$Q$840,'DADOS_FORMAS'!$AM8='INVOCAÇÕES'!$R$840,'DADOS_FORMAS'!$AM8='INVOCAÇÕES'!$S$840,'DADOS_FORMAS'!$AM8='INVOCAÇÕES'!$O$842,'DADOS_FORMAS'!$AM8='INVOCAÇÕES'!$P$842,'DADOS_FORMAS'!$AM8='INVOCAÇÕES'!$Q$842,'DADOS_FORMAS'!$AM8='INVOCAÇÕES'!$R$842,'DADOS_FORMAS'!$AM8=""),'DADOS_FORMAS'!$AR8),'DADOS_FORMAS'!$AH8,"")</f>
        <v/>
      </c>
      <c r="IW8">
        <f>IF(OR('DADOS_FORMAS'!$AM8='INVOCAÇÕES'!$O$1038,'DADOS_FORMAS'!$AM8='INVOCAÇÕES'!$P$1038,'DADOS_FORMAS'!$AM8='INVOCAÇÕES'!$Q$1038,'DADOS_FORMAS'!$AM8='INVOCAÇÕES'!$R$1038,'DADOS_FORMAS'!$AM8='INVOCAÇÕES'!$S$1038,'DADOS_FORMAS'!$AM8='INVOCAÇÕES'!$O$1040,'DADOS_FORMAS'!$AM8='INVOCAÇÕES'!$P$1040,'DADOS_FORMAS'!$AM8='INVOCAÇÕES'!$Q$1040,'DADOS_FORMAS'!$AM8='INVOCAÇÕES'!$R$1040,'DADOS_FORMAS'!$AM8=""),'DADOS_FORMAS'!$AH8,"")</f>
        <v/>
      </c>
      <c r="IX8">
        <f>IF(AND(OR('DADOS_FORMAS'!$AM8='INVOCAÇÕES'!$O$1038,'DADOS_FORMAS'!$AM8='INVOCAÇÕES'!$P$1038,'DADOS_FORMAS'!$AM8='INVOCAÇÕES'!$Q$1038,'DADOS_FORMAS'!$AM8='INVOCAÇÕES'!$R$1038,'DADOS_FORMAS'!$AM8='INVOCAÇÕES'!$S$1038,'DADOS_FORMAS'!$AM8='INVOCAÇÕES'!$O$1040,'DADOS_FORMAS'!$AM8='INVOCAÇÕES'!$P$1040,'DADOS_FORMAS'!$AM8='INVOCAÇÕES'!$Q$1040,'DADOS_FORMAS'!$AM8='INVOCAÇÕES'!$R$1040,'DADOS_FORMAS'!$AM8=""),'DADOS_FORMAS'!$AR8),'DADOS_FORMAS'!$AH8,"")</f>
        <v/>
      </c>
      <c r="IZ8">
        <f>IF(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H8,"")</f>
        <v/>
      </c>
      <c r="JA8">
        <f>IF(AND(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R8),'DADOS_FORMAS'!$AH8,"")</f>
        <v/>
      </c>
      <c r="JC8">
        <f>IF(OR('DADOS_FORMAS'!$AM8='INVOCAÇÕES'!$AH$246,'DADOS_FORMAS'!$AM8='INVOCAÇÕES'!$AI$246,'DADOS_FORMAS'!$AM8='INVOCAÇÕES'!$AJ$246,'DADOS_FORMAS'!$AM8='INVOCAÇÕES'!$AK$246,'DADOS_FORMAS'!$AM8='INVOCAÇÕES'!$AL$246,'DADOS_FORMAS'!$AM8='INVOCAÇÕES'!$AH$248,'DADOS_FORMAS'!$AM8='INVOCAÇÕES'!$AI$248,'DADOS_FORMAS'!$AM8='INVOCAÇÕES'!$AJ$248,'DADOS_FORMAS'!$AM8='INVOCAÇÕES'!$AK$248,'DADOS_FORMAS'!$AM8=""),'DADOS_FORMAS'!$AH8,"")</f>
        <v/>
      </c>
      <c r="JD8">
        <f>IF(AND(OR('DADOS_FORMAS'!$AM8='INVOCAÇÕES'!$AH$246,'DADOS_FORMAS'!$AM8='INVOCAÇÕES'!$AI$246,'DADOS_FORMAS'!$AM8='INVOCAÇÕES'!$AJ$246,'DADOS_FORMAS'!$AM8='INVOCAÇÕES'!$AK$246,'DADOS_FORMAS'!$AM8='INVOCAÇÕES'!$AL$246,'DADOS_FORMAS'!$AM8='INVOCAÇÕES'!$AH$248,'DADOS_FORMAS'!$AM8='INVOCAÇÕES'!$AI$248,'DADOS_FORMAS'!$AM8='INVOCAÇÕES'!$AJ$248,'DADOS_FORMAS'!$AM8='INVOCAÇÕES'!$AK$248,'DADOS_FORMAS'!$AM8=""),'DADOS_FORMAS'!$AR8),'DADOS_FORMAS'!$AH8,"")</f>
        <v/>
      </c>
      <c r="JF8">
        <f>IF(OR('DADOS_FORMAS'!$AM8='INVOCAÇÕES'!$AH$444,'DADOS_FORMAS'!$AM8='INVOCAÇÕES'!$AI$444,'DADOS_FORMAS'!$AM8='INVOCAÇÕES'!$AJ$444,'DADOS_FORMAS'!$AM8='INVOCAÇÕES'!$AK$444,'DADOS_FORMAS'!$AM8='INVOCAÇÕES'!$AL$444,'DADOS_FORMAS'!$AM8='INVOCAÇÕES'!$AH$446,'DADOS_FORMAS'!$AM8='INVOCAÇÕES'!$AI$446,'DADOS_FORMAS'!$AM8='INVOCAÇÕES'!$AJ$446,'DADOS_FORMAS'!$AM8='INVOCAÇÕES'!$AK$446,'DADOS_FORMAS'!$AM8=""),'DADOS_FORMAS'!$AH8,"")</f>
        <v/>
      </c>
      <c r="JG8">
        <f>IF(AND(OR('DADOS_FORMAS'!$AM8='INVOCAÇÕES'!$AH$444,'DADOS_FORMAS'!$AM8='INVOCAÇÕES'!$AI$444,'DADOS_FORMAS'!$AM8='INVOCAÇÕES'!$AJ$444,'DADOS_FORMAS'!$AM8='INVOCAÇÕES'!$AK$444,'DADOS_FORMAS'!$AM8='INVOCAÇÕES'!$AL$444,'DADOS_FORMAS'!$AM8='INVOCAÇÕES'!$AH$446,'DADOS_FORMAS'!$AM8='INVOCAÇÕES'!$AI$446,'DADOS_FORMAS'!$AM8='INVOCAÇÕES'!$AJ$446,'DADOS_FORMAS'!$AM8='INVOCAÇÕES'!$AK$446,'DADOS_FORMAS'!$AM8=""),'DADOS_FORMAS'!$AR8),'DADOS_FORMAS'!$AH8,"")</f>
        <v/>
      </c>
      <c r="JI8">
        <f>IF(OR('DADOS_FORMAS'!$AM8='INVOCAÇÕES'!$AH$642,'DADOS_FORMAS'!$AM8='INVOCAÇÕES'!$AI$642,'DADOS_FORMAS'!$AM8='INVOCAÇÕES'!$AJ$642,'DADOS_FORMAS'!$AM8='INVOCAÇÕES'!$AK$642,'DADOS_FORMAS'!$AM8='INVOCAÇÕES'!$AL$642,'DADOS_FORMAS'!$AM8='INVOCAÇÕES'!$AH$644,'DADOS_FORMAS'!$AM8='INVOCAÇÕES'!$AI$644,'DADOS_FORMAS'!$AM8='INVOCAÇÕES'!$AJ$644,'DADOS_FORMAS'!$AM8='INVOCAÇÕES'!$AK$644,'DADOS_FORMAS'!$AM8=""),'DADOS_FORMAS'!$AH8,"")</f>
        <v/>
      </c>
      <c r="JJ8">
        <f>IF(AND(OR('DADOS_FORMAS'!$AM8='INVOCAÇÕES'!$AH$642,'DADOS_FORMAS'!$AM8='INVOCAÇÕES'!$AI$642,'DADOS_FORMAS'!$AM8='INVOCAÇÕES'!$AJ$642,'DADOS_FORMAS'!$AM8='INVOCAÇÕES'!$AK$642,'DADOS_FORMAS'!$AM8='INVOCAÇÕES'!$AL$642,'DADOS_FORMAS'!$AM8='INVOCAÇÕES'!$AH$644,'DADOS_FORMAS'!$AM8='INVOCAÇÕES'!$AI$644,'DADOS_FORMAS'!$AM8='INVOCAÇÕES'!$AJ$644,'DADOS_FORMAS'!$AM8='INVOCAÇÕES'!$AK$644,'DADOS_FORMAS'!$AM8=""),'DADOS_FORMAS'!$AR8),'DADOS_FORMAS'!$AH8,"")</f>
        <v/>
      </c>
      <c r="JL8">
        <f>IF(OR('DADOS_FORMAS'!$AM8='INVOCAÇÕES'!$AH$840,'DADOS_FORMAS'!$AM8='INVOCAÇÕES'!$AI$840,'DADOS_FORMAS'!$AM8='INVOCAÇÕES'!$AJ$840,'DADOS_FORMAS'!$AM8='INVOCAÇÕES'!$AK$840,'DADOS_FORMAS'!$AM8='INVOCAÇÕES'!$AL$840,'DADOS_FORMAS'!$AM8='INVOCAÇÕES'!$AH$842,'DADOS_FORMAS'!$AM8='INVOCAÇÕES'!$AI$842,'DADOS_FORMAS'!$AM8='INVOCAÇÕES'!$AJ$842,'DADOS_FORMAS'!$AM8='INVOCAÇÕES'!$AK$842,'DADOS_FORMAS'!$AM8=""),'DADOS_FORMAS'!$AH8,"")</f>
        <v/>
      </c>
      <c r="JM8">
        <f>IF(AND(OR('DADOS_FORMAS'!$AM8='INVOCAÇÕES'!$AH$840,'DADOS_FORMAS'!$AM8='INVOCAÇÕES'!$AI$840,'DADOS_FORMAS'!$AM8='INVOCAÇÕES'!$AJ$840,'DADOS_FORMAS'!$AM8='INVOCAÇÕES'!$AK$840,'DADOS_FORMAS'!$AM8='INVOCAÇÕES'!$AL$840,'DADOS_FORMAS'!$AM8='INVOCAÇÕES'!$AH$842,'DADOS_FORMAS'!$AM8='INVOCAÇÕES'!$AI$842,'DADOS_FORMAS'!$AM8='INVOCAÇÕES'!$AJ$842,'DADOS_FORMAS'!$AM8='INVOCAÇÕES'!$AK$842,'DADOS_FORMAS'!$AM8=""),'DADOS_FORMAS'!$AR8),'DADOS_FORMAS'!$AH8,"")</f>
        <v/>
      </c>
      <c r="JO8">
        <f>IF(OR('DADOS_FORMAS'!$AM8='INVOCAÇÕES'!$AH$1038,'DADOS_FORMAS'!$AM8='INVOCAÇÕES'!$AI$1038,'DADOS_FORMAS'!$AM8='INVOCAÇÕES'!$AJ$1038,'DADOS_FORMAS'!$AM8='INVOCAÇÕES'!$AK$1038,'DADOS_FORMAS'!$AM8='INVOCAÇÕES'!$AL$1038,'DADOS_FORMAS'!$AM8='INVOCAÇÕES'!$AH$1040,'DADOS_FORMAS'!$AM8='INVOCAÇÕES'!$AI$1040,'DADOS_FORMAS'!$AM8='INVOCAÇÕES'!$AJ$1040,'DADOS_FORMAS'!$AM8='INVOCAÇÕES'!$AK$1040,'DADOS_FORMAS'!$AM8=""),'DADOS_FORMAS'!$AH8,"")</f>
        <v/>
      </c>
      <c r="JP8">
        <f>IF(AND(OR('DADOS_FORMAS'!$AM8='INVOCAÇÕES'!$AH$1038,'DADOS_FORMAS'!$AM8='INVOCAÇÕES'!$AI$1038,'DADOS_FORMAS'!$AM8='INVOCAÇÕES'!$AJ$1038,'DADOS_FORMAS'!$AM8='INVOCAÇÕES'!$AK$1038,'DADOS_FORMAS'!$AM8='INVOCAÇÕES'!$AL$1038,'DADOS_FORMAS'!$AM8='INVOCAÇÕES'!$AH$1040,'DADOS_FORMAS'!$AM8='INVOCAÇÕES'!$AI$1040,'DADOS_FORMAS'!$AM8='INVOCAÇÕES'!$AJ$1040,'DADOS_FORMAS'!$AM8='INVOCAÇÕES'!$AK$1040,'DADOS_FORMAS'!$AM8=""),'DADOS_FORMAS'!$AR8),'DADOS_FORMAS'!$AH8,"")</f>
        <v/>
      </c>
      <c r="JR8" t="inlineStr">
        <is>
          <t>Linha</t>
        </is>
      </c>
      <c r="JZ8">
        <f>IFERROR(INDEX('DADOS_CRIACAO'!$H$2:$H$20,6),"")</f>
        <v/>
      </c>
      <c r="KA8">
        <f>IFERROR(INDEX(INDEX('DADOS_RESTRICOES'!$M$2:$Q$54,0,1),6),"")</f>
        <v/>
      </c>
    </row>
    <row r="9">
      <c r="A9">
        <f>IF(ISBLANK('CONFIGURAÇÃO'!$J$2020),"",'CONFIGURAÇÃO'!$J$2020)</f>
        <v/>
      </c>
      <c r="B9">
        <f>IF(ISBLANK('CONFIGURAÇÃO'!$J$2022),"",'CONFIGURAÇÃO'!$J$2022)</f>
        <v/>
      </c>
      <c r="C9">
        <f>IF(ISBLANK('CONFIGURAÇÃO'!$M$2023),"",'CONFIGURAÇÃO'!$M$2023)</f>
        <v/>
      </c>
      <c r="D9">
        <f>IF(ISBLANK('CONFIGURAÇÃO'!$N$2020),"",'CONFIGURAÇÃO'!$N$2020)</f>
        <v/>
      </c>
      <c r="E9">
        <f>IF(ISBLANK('CONFIGURAÇÃO'!$J$2049),"",'CONFIGURAÇÃO'!$J$2049)</f>
        <v/>
      </c>
      <c r="F9">
        <f>IF(ISBLANK('CONFIGURAÇÃO'!$J$2055),"",'CONFIGURAÇÃO'!$J$2055)</f>
        <v/>
      </c>
      <c r="G9">
        <f>IF(ISBLANK('CONFIGURAÇÃO'!$M$2024),"",'CONFIGURAÇÃO'!$M$2024)</f>
        <v/>
      </c>
      <c r="H9">
        <f>IF(ISBLANK('CONFIGURAÇÃO'!$M$2025),"",'CONFIGURAÇÃO'!$M$2025)</f>
        <v/>
      </c>
      <c r="I9">
        <f>IF(ISBLANK('CONFIGURAÇÃO'!$M$2026),"",'CONFIGURAÇÃO'!$M$2026)</f>
        <v/>
      </c>
      <c r="J9">
        <f>IF(ISBLANK('CONFIGURAÇÃO'!$M$2027),"",'CONFIGURAÇÃO'!$M$2027)</f>
        <v/>
      </c>
      <c r="K9">
        <f>IF(ISBLANK('CONFIGURAÇÃO'!$M$2028),"",'CONFIGURAÇÃO'!$M$2028)</f>
        <v/>
      </c>
      <c r="L9">
        <f>IF(ISBLANK('CONFIGURAÇÃO'!$M$2029),"",'CONFIGURAÇÃO'!$M$2029)</f>
        <v/>
      </c>
      <c r="M9">
        <f>IF(ISBLANK('CONFIGURAÇÃO'!$M$2030),"",'CONFIGURAÇÃO'!$M$2030)</f>
        <v/>
      </c>
      <c r="N9">
        <f>IF(ISBLANK('CONFIGURAÇÃO'!$M$2031),"",'CONFIGURAÇÃO'!$M$2031)</f>
        <v/>
      </c>
      <c r="O9">
        <f>IF(ISBLANK('CONFIGURAÇÃO'!$M$2032),"",'CONFIGURAÇÃO'!$M$2032)</f>
        <v/>
      </c>
      <c r="P9">
        <f>IF(ISBLANK('CONFIGURAÇÃO'!$M$2033),"",'CONFIGURAÇÃO'!$M$2033)</f>
        <v/>
      </c>
      <c r="Q9">
        <f>IF(ISBLANK('CONFIGURAÇÃO'!$M$2034),"",'CONFIGURAÇÃO'!$M$2034)</f>
        <v/>
      </c>
      <c r="R9">
        <f>IF(ISBLANK('CONFIGURAÇÃO'!$M$2035),"",'CONFIGURAÇÃO'!$M$2035)</f>
        <v/>
      </c>
      <c r="S9">
        <f>IF(ISBLANK('CONFIGURAÇÃO'!$M$2036),"",'CONFIGURAÇÃO'!$M$2036)</f>
        <v/>
      </c>
      <c r="T9">
        <f>IF(ISBLANK('CONFIGURAÇÃO'!$M$2037),"",'CONFIGURAÇÃO'!$M$2037)</f>
        <v/>
      </c>
      <c r="U9">
        <f>IF(ISBLANK('CONFIGURAÇÃO'!$M$2038),"",'CONFIGURAÇÃO'!$M$2038)</f>
        <v/>
      </c>
      <c r="V9">
        <f>IF(ISBLANK('CONFIGURAÇÃO'!$M$2039),"",'CONFIGURAÇÃO'!$M$2039)</f>
        <v/>
      </c>
      <c r="W9">
        <f>IF(ISBLANK('CONFIGURAÇÃO'!$M$2040),"",'CONFIGURAÇÃO'!$M$2040)</f>
        <v/>
      </c>
      <c r="X9">
        <f>IF(ISBLANK('CONFIGURAÇÃO'!$M$2041),"",'CONFIGURAÇÃO'!$M$2041)</f>
        <v/>
      </c>
      <c r="Y9">
        <f>IF(ISBLANK('CONFIGURAÇÃO'!$M$2042),"",'CONFIGURAÇÃO'!$M$2042)</f>
        <v/>
      </c>
      <c r="Z9">
        <f>IF(ISBLANK('CONFIGURAÇÃO'!$M$2043),"",'CONFIGURAÇÃO'!$M$2043)</f>
        <v/>
      </c>
      <c r="AA9">
        <f>IF(ISBLANK('CONFIGURAÇÃO'!$M$2044),"",'CONFIGURAÇÃO'!$M$2044)</f>
        <v/>
      </c>
      <c r="AB9">
        <f>IF(ISBLANK('CONFIGURAÇÃO'!$M$2045),"",'CONFIGURAÇÃO'!$M$2045)</f>
        <v/>
      </c>
      <c r="AC9">
        <f>IF(ISBLANK('CONFIGURAÇÃO'!$M$2046),"",'CONFIGURAÇÃO'!$M$2046)</f>
        <v/>
      </c>
      <c r="AD9">
        <f>IF($AF9,TEXTJOIN(" · ",TRUE,$DJ9:$FH9),"")</f>
        <v/>
      </c>
      <c r="AE9">
        <f>IF(OR($C9="",$C9="Nenhuma"),0,IFERROR(MATCH(SUBSTITUTE(SUBSTITUTE(SUBSTITUTE($C9,"~","~~"),"*","~*"),"?","~?"),'DADOS_FORMAS'!$AH$2:$AH$11,0),-1))</f>
        <v/>
      </c>
      <c r="AF9">
        <f>OR($B9&lt;&gt;"",$C9&lt;&gt;"",$E9&lt;&gt;"",$F9&lt;&gt;"",$G9&lt;&gt;"",$H9&lt;&gt;"",$I9&lt;&gt;"",$J9&lt;&gt;"",$K9&lt;&gt;"",$L9&lt;&gt;"",$M9&lt;&gt;"",$N9&lt;&gt;"",$O9&lt;&gt;"",$P9&lt;&gt;"",$Q9&lt;&gt;"",$R9&lt;&gt;"",$S9&lt;&gt;"",$T9&lt;&gt;"",$U9&lt;&gt;"",$V9&lt;&gt;"",$W9&lt;&gt;"",$X9&lt;&gt;"",$Y9&lt;&gt;"",$Z9&lt;&gt;"",$AA9&lt;&gt;"",$AB9&lt;&gt;"",$AC9&lt;&gt;"",AND($D9&lt;&gt;"",$D9&lt;&gt;FALSE),AND($A9&lt;&gt;"",$A9&lt;&gt;"Forma"))</f>
        <v/>
      </c>
      <c r="AG9" t="inlineStr">
        <is>
          <t>Forma</t>
        </is>
      </c>
      <c r="AH9" t="inlineStr">
        <is>
          <t>Apoio</t>
        </is>
      </c>
      <c r="AI9">
        <f>""</f>
        <v/>
      </c>
      <c r="AJ9" t="b">
        <v>0</v>
      </c>
      <c r="AK9">
        <f>""</f>
        <v/>
      </c>
      <c r="AL9" t="inlineStr">
        <is>
          <t>Um aliado a até 9 m. Cada ponto do saldo concede 3 pontos de vida temporária.</t>
        </is>
      </c>
      <c r="AM9" t="inlineStr">
        <is>
          <t>Amparo</t>
        </is>
      </c>
      <c r="AN9" t="n">
        <v>0</v>
      </c>
      <c r="AO9" t="inlineStr">
        <is>
          <t>Automático</t>
        </is>
      </c>
      <c r="AP9" t="n">
        <v>2</v>
      </c>
      <c r="AQ9" t="b">
        <v>0</v>
      </c>
      <c r="AR9" t="b">
        <v>1</v>
      </c>
      <c r="AS9">
        <f>""</f>
        <v/>
      </c>
      <c r="AT9" t="inlineStr">
        <is>
          <t>alcance</t>
        </is>
      </c>
      <c r="AU9" t="inlineStr">
        <is>
          <t>Fixo</t>
        </is>
      </c>
      <c r="AV9" t="inlineStr">
        <is>
          <t>4,5 m</t>
        </is>
      </c>
      <c r="AW9" t="inlineStr">
        <is>
          <t>9 m</t>
        </is>
      </c>
      <c r="AX9" t="inlineStr">
        <is>
          <t>18 m</t>
        </is>
      </c>
      <c r="AY9" t="inlineStr">
        <is>
          <t>4,5 m</t>
        </is>
      </c>
      <c r="AZ9" t="inlineStr">
        <is>
          <t>9 m</t>
        </is>
      </c>
      <c r="BA9" t="inlineStr">
        <is>
          <t>18 m</t>
        </is>
      </c>
      <c r="BB9" t="inlineStr">
        <is>
          <t>18 m</t>
        </is>
      </c>
      <c r="BC9">
        <f>""</f>
        <v/>
      </c>
      <c r="BD9">
        <f>""</f>
        <v/>
      </c>
      <c r="BE9">
        <f>""</f>
        <v/>
      </c>
      <c r="BF9">
        <f>""</f>
        <v/>
      </c>
      <c r="BG9">
        <f>""</f>
        <v/>
      </c>
      <c r="BH9">
        <f>""</f>
        <v/>
      </c>
      <c r="BI9">
        <f>""</f>
        <v/>
      </c>
      <c r="BJ9" t="inlineStr">
        <is>
          <t>Apoio</t>
        </is>
      </c>
      <c r="BK9" t="n">
        <v>0</v>
      </c>
      <c r="BL9" t="inlineStr">
        <is>
          <t>alcance</t>
        </is>
      </c>
      <c r="BM9" t="inlineStr">
        <is>
          <t xml:space="preserve">um aliado a </t>
        </is>
      </c>
      <c r="BN9">
        <f>""</f>
        <v/>
      </c>
      <c r="BO9" t="n">
        <v>1</v>
      </c>
      <c r="BP9">
        <f>""</f>
        <v/>
      </c>
      <c r="BQ9">
        <f>""</f>
        <v/>
      </c>
      <c r="BR9">
        <f>""</f>
        <v/>
      </c>
      <c r="BS9" t="n">
        <v>0</v>
      </c>
      <c r="BV9">
        <f>IF($A9="",IF($AE9&gt;0,INDEX('DADOS_FORMAS'!$AG$2:$AG$11,MAX(1,$AE9)),"Forma"),$A9)</f>
        <v/>
      </c>
      <c r="BW9">
        <f>IF($B9="",IF($AE9&gt;0,INDEX('DADOS_FORMAS'!$AH$2:$AH$11,MAX(1,$AE9)),""),$B9)</f>
        <v/>
      </c>
      <c r="BX9">
        <f>IF($C9="",IF($AE9&gt;0,INDEX('DADOS_FORMAS'!$AI$2:$AI$11,MAX(1,$AE9)),""),$C9)</f>
        <v/>
      </c>
      <c r="BY9">
        <f>IF($D9="",IF($AE9&gt;0,INDEX('DADOS_FORMAS'!$AJ$2:$AJ$11,MAX(1,$AE9)),FALSE),$D9)</f>
        <v/>
      </c>
      <c r="BZ9">
        <f>IF($E9="",IF($AE9&gt;0,INDEX('DADOS_FORMAS'!$AK$2:$AK$11,MAX(1,$AE9)),""),$E9)</f>
        <v/>
      </c>
      <c r="CA9">
        <f>IF($F9="",IF($AE9&gt;0,INDEX('DADOS_FORMAS'!$AL$2:$AL$11,MAX(1,$AE9)),""),$F9)</f>
        <v/>
      </c>
      <c r="CB9">
        <f>IF($G9="Nenhuma","",IF($G9="",IF($AE9&gt;0,INDEX('DADOS_FORMAS'!$AM$2:$AM$11,MAX(1,$AE9)),""),$G9))</f>
        <v/>
      </c>
      <c r="CC9">
        <f>IF($H9="",IF($AE9&gt;0,INDEX('DADOS_FORMAS'!$AN$2:$AN$11,MAX(1,$AE9)),""),IF($H9="Sem custo",0,IF($H9="Leve",1,IF($H9="Média",2,IF($H9="Pesada",3,$H9)))))</f>
        <v/>
      </c>
      <c r="CD9">
        <f>IF($I9="",IF($AE9&gt;0,INDEX('DADOS_FORMAS'!$AO$2:$AO$11,MAX(1,$AE9)),""),$I9)</f>
        <v/>
      </c>
      <c r="CE9">
        <f>IF($J9="",IF($AE9&gt;0,INDEX('DADOS_FORMAS'!$AP$2:$AP$11,MAX(1,$AE9)),""),IF($J9="Dano",0,IF($J9="Cura",1,IF($J9="Vida temporária",2,IF($J9="Efeito",3,$J9)))))</f>
        <v/>
      </c>
      <c r="CF9">
        <f>IF($K9="",IF($AE9&gt;0,INDEX('DADOS_FORMAS'!$AQ$2:$AQ$11,MAX(1,$AE9)),""),IF($K9="Sim",TRUE,IF($K9="Não",FALSE,$K9)))</f>
        <v/>
      </c>
      <c r="CG9">
        <f>IF($L9="",IF($AE9&gt;0,INDEX('DADOS_FORMAS'!$AR$2:$AR$11,MAX(1,$AE9)),""),IF($L9="Sim",TRUE,IF($L9="Não",FALSE,$L9)))</f>
        <v/>
      </c>
      <c r="CH9">
        <f>IF($M9="Nenhuma","",IF($M9="",IF($AE9&gt;0,INDEX('DADOS_FORMAS'!$AS$2:$AS$11,MAX(1,$AE9)),""),$M9))</f>
        <v/>
      </c>
      <c r="CI9">
        <f>IF($N9="",IF($AE9&gt;0,INDEX('DADOS_FORMAS'!$AT$2:$AT$11,MAX(1,$AE9)),"Fixo"),$N9)</f>
        <v/>
      </c>
      <c r="CJ9">
        <f>IF($O9="",IF($AE9&gt;0,INDEX('DADOS_FORMAS'!$AU$2:$AU$11,MAX(1,$AE9)),"Fixo"),$O9)</f>
        <v/>
      </c>
      <c r="CK9">
        <f>IF($P9="",IF($AE9&gt;0,INDEX('DADOS_FORMAS'!$AV$2:$AV$11,MAX(1,$AE9)),""),$P9)</f>
        <v/>
      </c>
      <c r="CL9">
        <f>IF($Q9="",IF($AE9&gt;0,INDEX('DADOS_FORMAS'!$AW$2:$AW$11,MAX(1,$AE9)),""),$Q9)</f>
        <v/>
      </c>
      <c r="CM9">
        <f>IF($R9="",IF($AE9&gt;0,INDEX('DADOS_FORMAS'!$AX$2:$AX$11,MAX(1,$AE9)),""),$R9)</f>
        <v/>
      </c>
      <c r="CN9">
        <f>IF($S9="",IF($AE9&gt;0,INDEX('DADOS_FORMAS'!$AY$2:$AY$11,MAX(1,$AE9)),""),$S9)</f>
        <v/>
      </c>
      <c r="CO9">
        <f>IF($T9="",IF($AE9&gt;0,INDEX('DADOS_FORMAS'!$AZ$2:$AZ$11,MAX(1,$AE9)),""),$T9)</f>
        <v/>
      </c>
      <c r="CP9">
        <f>IF($U9="",IF($AE9&gt;0,INDEX('DADOS_FORMAS'!$BA$2:$BA$11,MAX(1,$AE9)),""),$U9)</f>
        <v/>
      </c>
      <c r="CQ9">
        <f>IF($V9="",IF($AE9&gt;0,INDEX('DADOS_FORMAS'!$BB$2:$BB$11,MAX(1,$AE9)),""),$V9)</f>
        <v/>
      </c>
      <c r="CR9">
        <f>IF($W9="",IF($AE9&gt;0,INDEX('DADOS_FORMAS'!$BC$2:$BC$11,MAX(1,$AE9)),""),$W9)</f>
        <v/>
      </c>
      <c r="CS9">
        <f>IF($X9="",IF($AE9&gt;0,INDEX('DADOS_FORMAS'!$BD$2:$BD$11,MAX(1,$AE9)),""),$X9)</f>
        <v/>
      </c>
      <c r="CT9">
        <f>IF($Y9="",IF($AE9&gt;0,INDEX('DADOS_FORMAS'!$BE$2:$BE$11,MAX(1,$AE9)),""),$Y9)</f>
        <v/>
      </c>
      <c r="CU9">
        <f>IF($Z9="",IF($AE9&gt;0,INDEX('DADOS_FORMAS'!$BF$2:$BF$11,MAX(1,$AE9)),""),$Z9)</f>
        <v/>
      </c>
      <c r="CV9">
        <f>IF($AA9="",IF($AE9&gt;0,INDEX('DADOS_FORMAS'!$BG$2:$BG$11,MAX(1,$AE9)),""),$AA9)</f>
        <v/>
      </c>
      <c r="CW9">
        <f>IF($AB9="",IF($AE9&gt;0,INDEX('DADOS_FORMAS'!$BH$2:$BH$11,MAX(1,$AE9)),""),$AB9)</f>
        <v/>
      </c>
      <c r="CX9">
        <f>IF($AC9="",IF($AE9&gt;0,INDEX('DADOS_FORMAS'!$BI$2:$BI$11,MAX(1,$AE9)),""),$AC9)</f>
        <v/>
      </c>
      <c r="CY9">
        <f>IF($AE9&gt;0,INDEX('DADOS_FORMAS'!$BJ$2:$BJ$11,MAX(1,$AE9)),"")</f>
        <v/>
      </c>
      <c r="CZ9">
        <f>IF($AE9&gt;0,INDEX('DADOS_FORMAS'!$BK$2:$BK$11,MAX(1,$AE9)),0)</f>
        <v/>
      </c>
      <c r="DA9">
        <f>IF($AE9&gt;0,INDEX('DADOS_FORMAS'!$BL$2:$BL$11,MAX(1,$AE9)),"alcance")</f>
        <v/>
      </c>
      <c r="DB9">
        <f>IF($AE9&gt;0,INDEX('DADOS_FORMAS'!$BM$2:$BM$11,MAX(1,$AE9)),"")</f>
        <v/>
      </c>
      <c r="DC9">
        <f>IF($AE9&gt;0,INDEX('DADOS_FORMAS'!$BN$2:$BN$11,MAX(1,$AE9)),"")</f>
        <v/>
      </c>
      <c r="DD9">
        <f>IF($AE9&gt;0,INDEX('DADOS_FORMAS'!$BO$2:$BO$11,MAX(1,$AE9)),1)</f>
        <v/>
      </c>
      <c r="DE9">
        <f>IF(AND($AE9&gt;0,INDEX('DADOS_FORMAS'!$BP$2:$BP$11,MAX(1,$AE9))=""),IF(AND(INDEX('DADOS_FORMAS'!$BL$2:$BL$11,MAX(1,$AE9))="alcance",OR($W9&lt;&gt;"",$X9&lt;&gt;"",$Y9&lt;&gt;"",$Z9&lt;&gt;"",$AA9&lt;&gt;"",$AB9&lt;&gt;"",$AC9&lt;&gt;"")),"area",IF(AND(INDEX('DADOS_FORMAS'!$BL$2:$BL$11,MAX(1,$AE9))="area",OR($P9&lt;&gt;"",$Q9&lt;&gt;"",$R9&lt;&gt;"",$S9&lt;&gt;"",$T9&lt;&gt;"",$U9&lt;&gt;"",$V9&lt;&gt;"")),"alcance","")),IF($AE9&gt;0,INDEX('DADOS_FORMAS'!$BP$2:$BP$11,MAX(1,$AE9)),"area"))</f>
        <v/>
      </c>
      <c r="DF9">
        <f>IF(AND($AE9&gt;0,INDEX('DADOS_FORMAS'!$BP$2:$BP$11,MAX(1,$AE9))=""),IF(IF(AND(INDEX('DADOS_FORMAS'!$BL$2:$BL$11,MAX(1,$AE9))="alcance",OR($W9&lt;&gt;"",$X9&lt;&gt;"",$Y9&lt;&gt;"",$Z9&lt;&gt;"",$AA9&lt;&gt;"",$AB9&lt;&gt;"",$AC9&lt;&gt;"")),"area",IF(AND(INDEX('DADOS_FORMAS'!$BL$2:$BL$11,MAX(1,$AE9))="area",OR($P9&lt;&gt;"",$Q9&lt;&gt;"",$R9&lt;&gt;"",$S9&lt;&gt;"",$T9&lt;&gt;"",$U9&lt;&gt;"",$V9&lt;&gt;"")),"alcance",""))="alcance"," · alcance ",IF(IF(AND(INDEX('DADOS_FORMAS'!$BL$2:$BL$11,MAX(1,$AE9))="alcance",OR($W9&lt;&gt;"",$X9&lt;&gt;"",$Y9&lt;&gt;"",$Z9&lt;&gt;"",$AA9&lt;&gt;"",$AB9&lt;&gt;"",$AC9&lt;&gt;"")),"area",IF(AND(INDEX('DADOS_FORMAS'!$BL$2:$BL$11,MAX(1,$AE9))="area",OR($P9&lt;&gt;"",$Q9&lt;&gt;"",$R9&lt;&gt;"",$S9&lt;&gt;"",$T9&lt;&gt;"",$U9&lt;&gt;"",$V9&lt;&gt;"")),"alcance",""))="area"," · área ","")),IF($AE9&gt;0,INDEX('DADOS_FORMAS'!$BQ$2:$BQ$11,MAX(1,$AE9))," · área "))</f>
        <v/>
      </c>
      <c r="DG9">
        <f>IF(AND($AE9&gt;0,INDEX('DADOS_FORMAS'!$BP$2:$BP$11,MAX(1,$AE9))=""),"",IF($AE9&gt;0,INDEX('DADOS_FORMAS'!$BR$2:$BR$11,MAX(1,$AE9)),""))</f>
        <v/>
      </c>
      <c r="DH9">
        <f>IF(AND($AE9&gt;0,INDEX('DADOS_FORMAS'!$BP$2:$BP$11,MAX(1,$AE9))=""),IF(IF(AND(INDEX('DADOS_FORMAS'!$BL$2:$BL$11,MAX(1,$AE9))="alcance",OR($W9&lt;&gt;"",$X9&lt;&gt;"",$Y9&lt;&gt;"",$Z9&lt;&gt;"",$AA9&lt;&gt;"",$AB9&lt;&gt;"",$AC9&lt;&gt;"")),"area",IF(AND(INDEX('DADOS_FORMAS'!$BL$2:$BL$11,MAX(1,$AE9))="area",OR($P9&lt;&gt;"",$Q9&lt;&gt;"",$R9&lt;&gt;"",$S9&lt;&gt;"",$T9&lt;&gt;"",$U9&lt;&gt;"",$V9&lt;&gt;"")),"alcance",""))="",0,IF(IF(AND(INDEX('DADOS_FORMAS'!$BL$2:$BL$11,MAX(1,$AE9))="alcance",OR($W9&lt;&gt;"",$X9&lt;&gt;"",$Y9&lt;&gt;"",$Z9&lt;&gt;"",$AA9&lt;&gt;"",$AB9&lt;&gt;"",$AC9&lt;&gt;"")),"area",IF(AND(INDEX('DADOS_FORMAS'!$BL$2:$BL$11,MAX(1,$AE9))="area",OR($P9&lt;&gt;"",$Q9&lt;&gt;"",$R9&lt;&gt;"",$S9&lt;&gt;"",$T9&lt;&gt;"",$U9&lt;&gt;"",$V9&lt;&gt;"")),"alcance",""))="alcance",1,IF($O9="comprimento",3,2))),IF($AE9&gt;0,INDEX('DADOS_FORMAS'!$BS$2:$BS$11,MAX(1,$AE9)),IF($O9="comprimento",3,2)))</f>
        <v/>
      </c>
      <c r="DJ9">
        <f>IF(AND(ISTEXT($B9),$B9&lt;&gt;"",TRIM($B9)=$B9),"","NOME precisa ser texto sem espaços nas pontas")</f>
        <v/>
      </c>
      <c r="DK9">
        <f>IF(COUNTIF('DADOS_FORMAS'!$B$2:$B$11,SUBSTITUTE(SUBSTITUTE(SUBSTITUTE($B9,"~","~~"),"*","~*"),"?","~?"))+COUNTIF('DADOS_FORMAS'!$AH$2:$AH$11,SUBSTITUTE(SUBSTITUTE(SUBSTITUTE($B9,"~","~~"),"*","~*"),"?","~?"))=1,"","Nome repetido no livro ou custom")</f>
        <v/>
      </c>
      <c r="DL9">
        <f>IF($AE9&gt;=0,"","BASE DO LIVRO inválida para o grupo")</f>
        <v/>
      </c>
      <c r="DM9">
        <f>IF(OR($BV9="Forma"),"","TIPO inválido para o grupo")</f>
        <v/>
      </c>
      <c r="DN9">
        <f>IF(ISLOGICAL($BY9),"","MESTRE VIU precisa ser caixa de seleção")</f>
        <v/>
      </c>
      <c r="DO9">
        <f>IF(ISTEXT($CA9),"","EFEITO precisa ser texto")</f>
        <v/>
      </c>
      <c r="DP9">
        <f>IF(ISTEXT($BZ9),"","REQUISITOS precisa ser texto")</f>
        <v/>
      </c>
      <c r="DQ9">
        <f>IF(IFERROR(AND(ISNUMBER($CC9),NOT(ISLOGICAL($CC9)),$CC9=INT($CC9),$CC9&gt;=0,$CC9&lt;=3),FALSE),"","PESO exige 0/1/2/3")</f>
        <v/>
      </c>
      <c r="DR9">
        <f>IF(IFERROR(AND(ISNUMBER($CE9),NOT(ISLOGICAL($CE9)),$CE9=INT($CE9),$CE9&gt;=0,$CE9&lt;=3),FALSE),"","RESULTADO exige 0/1/2/3")</f>
        <v/>
      </c>
      <c r="DS9">
        <f>IF(ISLOGICAL($CF9),"","EXIGE_TR exige Sim/Não")</f>
        <v/>
      </c>
      <c r="DT9">
        <f>IF(ISLOGICAL($CG9),"","CLASSE_0 exige Sim/Não")</f>
        <v/>
      </c>
      <c r="DU9">
        <f>IF(OR($CD9="Acerto",$CD9="TR, metade",$CD9="Automático"),"","RESOLUÇÃO inválida")</f>
        <v/>
      </c>
      <c r="DV9">
        <f>IF(OR($CB9="",COUNTIF('DADOS_CRIACAO'!$H$2:$H$20,SUBSTITUTE(SUBSTITUTE(SUBSTITUTE($CB9,"~","~~"),"*","~*"),"?","~?"))&gt;0),"","FAMÍLIA não cadastrada ou inválida")</f>
        <v/>
      </c>
      <c r="DW9">
        <f>IF(OR($CH9="",IFERROR(MATCH(SUBSTITUTE(SUBSTITUTE(SUBSTITUTE($CH9,"~","~~"),"*","~*"),"?","~?"),INDEX('DADOS_RESTRICOES'!$M$2:$Q$54,0,1),0),0)&gt;0),"","RESTRIÇÃO EMBUTIDA inválida")</f>
        <v/>
      </c>
      <c r="DX9">
        <f>IF(OR($CI9="Fixo",$CI9="alcance"),"","ESCADA inválida para alcance")</f>
        <v/>
      </c>
      <c r="DY9">
        <f>IF(OR(NOT(AND($CG9,OR($DA9="alcance",$DE9="alcance"))),$CK9&lt;&gt;""),"","Base de alcance ausente: personagem/classe_0")</f>
        <v/>
      </c>
      <c r="DZ9">
        <f>IF(ISTEXT($CK9),"","Base precisa ser texto: alcance/personagem/classe_0")</f>
        <v/>
      </c>
      <c r="EA9">
        <f>IF(OR(NOT(AND($CG9,OR($DA9="alcance",$DE9="alcance"))),$CI9="Fixo",$CK9="",$CK9="—",AND(RIGHT($CK9,2)=" m",IFERROR(VALUE(SUBSTITUTE(LEFT($CK9,MAX(0,LEN($CK9)-2)),",",""))/10^IFERROR(LEN(LEFT($CK9,MAX(0,LEN($CK9)-2)))-FIND(",",LEFT($CK9,MAX(0,LEN($CK9)-2))),0),-1)&gt;0)),"","Base incompatível com escada: alcance/personagem/classe_0")</f>
        <v/>
      </c>
      <c r="EB9">
        <f>IF(OR(NOT(OR($DA9="alcance",$DE9="alcance")),$CL9&lt;&gt;""),"","Base de alcance ausente: personagem/classes_1_a_5")</f>
        <v/>
      </c>
      <c r="EC9">
        <f>IF(ISTEXT($CL9),"","Base precisa ser texto: alcance/personagem/classes_1_a_5")</f>
        <v/>
      </c>
      <c r="ED9">
        <f>IF(OR(NOT(OR($DA9="alcance",$DE9="alcance")),$CI9="Fixo",$CL9="",$CL9="—",AND(RIGHT($CL9,2)=" m",IFERROR(VALUE(SUBSTITUTE(LEFT($CL9,MAX(0,LEN($CL9)-2)),",",""))/10^IFERROR(LEN(LEFT($CL9,MAX(0,LEN($CL9)-2)))-FIND(",",LEFT($CL9,MAX(0,LEN($CL9)-2))),0),-1)&gt;0)),"","Base incompatível com escada: alcance/personagem/classes_1_a_5")</f>
        <v/>
      </c>
      <c r="EE9">
        <f>IF(OR(NOT(OR($DA9="alcance",$DE9="alcance")),$CM9&lt;&gt;""),"","Base de alcance ausente: personagem/classes_6_e_7")</f>
        <v/>
      </c>
      <c r="EF9">
        <f>IF(ISTEXT($CM9),"","Base precisa ser texto: alcance/personagem/classes_6_e_7")</f>
        <v/>
      </c>
      <c r="EG9">
        <f>IF(OR(NOT(OR($DA9="alcance",$DE9="alcance")),$CI9="Fixo",$CM9="",$CM9="—",AND(RIGHT($CM9,2)=" m",IFERROR(VALUE(SUBSTITUTE(LEFT($CM9,MAX(0,LEN($CM9)-2)),",",""))/10^IFERROR(LEN(LEFT($CM9,MAX(0,LEN($CM9)-2)))-FIND(",",LEFT($CM9,MAX(0,LEN($CM9)-2))),0),-1)&gt;0)),"","Base incompatível com escada: alcance/personagem/classes_6_e_7")</f>
        <v/>
      </c>
      <c r="EH9">
        <f>IF(OR(NOT(AND($CG9,OR($DA9="alcance",$DE9="alcance"))),$CN9&lt;&gt;""),"","Base de alcance ausente: entidade/classe_0")</f>
        <v/>
      </c>
      <c r="EI9">
        <f>IF(ISTEXT($CN9),"","Base precisa ser texto: alcance/entidade/classe_0")</f>
        <v/>
      </c>
      <c r="EJ9">
        <f>IF(OR(NOT(AND($CG9,OR($DA9="alcance",$DE9="alcance"))),$CI9="Fixo",$CN9="",$CN9="—",AND(RIGHT($CN9,2)=" m",IFERROR(VALUE(SUBSTITUTE(LEFT($CN9,MAX(0,LEN($CN9)-2)),",",""))/10^IFERROR(LEN(LEFT($CN9,MAX(0,LEN($CN9)-2)))-FIND(",",LEFT($CN9,MAX(0,LEN($CN9)-2))),0),-1)&gt;0)),"","Base incompatível com escada: alcance/entidade/classe_0")</f>
        <v/>
      </c>
      <c r="EK9">
        <f>IF(OR(NOT(OR($DA9="alcance",$DE9="alcance")),$CO9&lt;&gt;""),"","Base de alcance ausente: entidade/classes_1_a_5")</f>
        <v/>
      </c>
      <c r="EL9">
        <f>IF(ISTEXT($CO9),"","Base precisa ser texto: alcance/entidade/classes_1_a_5")</f>
        <v/>
      </c>
      <c r="EM9">
        <f>IF(OR(NOT(OR($DA9="alcance",$DE9="alcance")),$CI9="Fixo",$CO9="",$CO9="—",AND(RIGHT($CO9,2)=" m",IFERROR(VALUE(SUBSTITUTE(LEFT($CO9,MAX(0,LEN($CO9)-2)),",",""))/10^IFERROR(LEN(LEFT($CO9,MAX(0,LEN($CO9)-2)))-FIND(",",LEFT($CO9,MAX(0,LEN($CO9)-2))),0),-1)&gt;0)),"","Base incompatível com escada: alcance/entidade/classes_1_a_5")</f>
        <v/>
      </c>
      <c r="EN9">
        <f>IF(OR(NOT(OR($DA9="alcance",$DE9="alcance")),$CP9&lt;&gt;""),"","Base de alcance ausente: entidade/classe_6")</f>
        <v/>
      </c>
      <c r="EO9">
        <f>IF(ISTEXT($CP9),"","Base precisa ser texto: alcance/entidade/classe_6")</f>
        <v/>
      </c>
      <c r="EP9">
        <f>IF(OR(NOT(OR($DA9="alcance",$DE9="alcance")),$CI9="Fixo",$CP9="",$CP9="—",AND(RIGHT($CP9,2)=" m",IFERROR(VALUE(SUBSTITUTE(LEFT($CP9,MAX(0,LEN($CP9)-2)),",",""))/10^IFERROR(LEN(LEFT($CP9,MAX(0,LEN($CP9)-2)))-FIND(",",LEFT($CP9,MAX(0,LEN($CP9)-2))),0),-1)&gt;0)),"","Base incompatível com escada: alcance/entidade/classe_6")</f>
        <v/>
      </c>
      <c r="EQ9">
        <f>IF(OR(NOT(OR($DA9="alcance",$DE9="alcance")),$CQ9&lt;&gt;""),"","Base de alcance ausente: entidade/classe_7")</f>
        <v/>
      </c>
      <c r="ER9">
        <f>IF(ISTEXT($CQ9),"","Base precisa ser texto: alcance/entidade/classe_7")</f>
        <v/>
      </c>
      <c r="ES9">
        <f>IF(OR(NOT(OR($DA9="alcance",$DE9="alcance")),$CI9="Fixo",$CQ9="",$CQ9="—",AND(RIGHT($CQ9,2)=" m",IFERROR(VALUE(SUBSTITUTE(LEFT($CQ9,MAX(0,LEN($CQ9)-2)),",",""))/10^IFERROR(LEN(LEFT($CQ9,MAX(0,LEN($CQ9)-2)))-FIND(",",LEFT($CQ9,MAX(0,LEN($CQ9)-2))),0),-1)&gt;0)),"","Base incompatível com escada: alcance/entidade/classe_7")</f>
        <v/>
      </c>
      <c r="ET9">
        <f>IF(OR($CJ9="Fixo",$CJ9="raio",$CJ9="comprimento"),"","ESCADA inválida para area")</f>
        <v/>
      </c>
      <c r="EU9">
        <f>IF(ISTEXT($CR9),"","Base precisa ser texto: area/personagem/classe_0")</f>
        <v/>
      </c>
      <c r="EV9">
        <f>IF(OR(NOT(AND($CG9,OR($DA9="area",$DE9="area"))),$CJ9="Fixo",$CR9="",$CR9="—",AND(AND(AND(RIGHT($CR9,2)=" m",IFERROR(VALUE(SUBSTITUTE(LEFT($CR9,MAX(0,LEN($CR9)-2)),",",""))/10^IFERROR(LEN(LEFT($CR9,MAX(0,LEN($CR9)-2)))-FIND(",",LEFT($CR9,MAX(0,LEN($CR9)-2))),0),-1)&gt;0),OR($CJ9&lt;&gt;"raio",IFERROR(VALUE(SUBSTITUTE(LEFT($CR9,MAX(0,LEN($CR9)-2)),",",""))/10^IFERROR(LEN(LEFT($CR9,MAX(0,LEN($CR9)-2)))-FIND(",",LEFT($CR9,MAX(0,LEN($CR9)-2))),0),-1)&lt;=15.0)),OR($CJ9&lt;&gt;"comprimento",IFERROR(VALUE(SUBSTITUTE(LEFT($CR9,MAX(0,LEN($CR9)-2)),",",""))/10^IFERROR(LEN(LEFT($CR9,MAX(0,LEN($CR9)-2)))-FIND(",",LEFT($CR9,MAX(0,LEN($CR9)-2))),0),-1)&lt;=60.0))),"","Base incompatível com escada: area/personagem/classe_0")</f>
        <v/>
      </c>
      <c r="EW9">
        <f>IF(ISTEXT($CS9),"","Base precisa ser texto: area/personagem/classes_1_a_5")</f>
        <v/>
      </c>
      <c r="EX9">
        <f>IF(OR(NOT(OR($DA9="area",$DE9="area")),$CJ9="Fixo",$CS9="",$CS9="—",AND(AND(AND(RIGHT($CS9,2)=" m",IFERROR(VALUE(SUBSTITUTE(LEFT($CS9,MAX(0,LEN($CS9)-2)),",",""))/10^IFERROR(LEN(LEFT($CS9,MAX(0,LEN($CS9)-2)))-FIND(",",LEFT($CS9,MAX(0,LEN($CS9)-2))),0),-1)&gt;0),OR($CJ9&lt;&gt;"raio",IFERROR(VALUE(SUBSTITUTE(LEFT($CS9,MAX(0,LEN($CS9)-2)),",",""))/10^IFERROR(LEN(LEFT($CS9,MAX(0,LEN($CS9)-2)))-FIND(",",LEFT($CS9,MAX(0,LEN($CS9)-2))),0),-1)&lt;=15.0)),OR($CJ9&lt;&gt;"comprimento",IFERROR(VALUE(SUBSTITUTE(LEFT($CS9,MAX(0,LEN($CS9)-2)),",",""))/10^IFERROR(LEN(LEFT($CS9,MAX(0,LEN($CS9)-2)))-FIND(",",LEFT($CS9,MAX(0,LEN($CS9)-2))),0),-1)&lt;=60.0))),"","Base incompatível com escada: area/personagem/classes_1_a_5")</f>
        <v/>
      </c>
      <c r="EY9">
        <f>IF(ISTEXT($CT9),"","Base precisa ser texto: area/personagem/classes_6_e_7")</f>
        <v/>
      </c>
      <c r="EZ9">
        <f>IF(OR(NOT(OR($DA9="area",$DE9="area")),$CJ9="Fixo",$CT9="",$CT9="—",AND(AND(AND(RIGHT($CT9,2)=" m",IFERROR(VALUE(SUBSTITUTE(LEFT($CT9,MAX(0,LEN($CT9)-2)),",",""))/10^IFERROR(LEN(LEFT($CT9,MAX(0,LEN($CT9)-2)))-FIND(",",LEFT($CT9,MAX(0,LEN($CT9)-2))),0),-1)&gt;0),OR($CJ9&lt;&gt;"raio",IFERROR(VALUE(SUBSTITUTE(LEFT($CT9,MAX(0,LEN($CT9)-2)),",",""))/10^IFERROR(LEN(LEFT($CT9,MAX(0,LEN($CT9)-2)))-FIND(",",LEFT($CT9,MAX(0,LEN($CT9)-2))),0),-1)&lt;=15.0)),OR($CJ9&lt;&gt;"comprimento",IFERROR(VALUE(SUBSTITUTE(LEFT($CT9,MAX(0,LEN($CT9)-2)),",",""))/10^IFERROR(LEN(LEFT($CT9,MAX(0,LEN($CT9)-2)))-FIND(",",LEFT($CT9,MAX(0,LEN($CT9)-2))),0),-1)&lt;=60.0))),"","Base incompatível com escada: area/personagem/classes_6_e_7")</f>
        <v/>
      </c>
      <c r="FA9">
        <f>IF(ISTEXT($CU9),"","Base precisa ser texto: area/entidade/classe_0")</f>
        <v/>
      </c>
      <c r="FB9">
        <f>IF(OR(NOT(AND($CG9,OR($DA9="area",$DE9="area"))),$CJ9="Fixo",$CU9="",$CU9="—",AND(AND(AND(RIGHT($CU9,2)=" m",IFERROR(VALUE(SUBSTITUTE(LEFT($CU9,MAX(0,LEN($CU9)-2)),",",""))/10^IFERROR(LEN(LEFT($CU9,MAX(0,LEN($CU9)-2)))-FIND(",",LEFT($CU9,MAX(0,LEN($CU9)-2))),0),-1)&gt;0),OR($CJ9&lt;&gt;"raio",IFERROR(VALUE(SUBSTITUTE(LEFT($CU9,MAX(0,LEN($CU9)-2)),",",""))/10^IFERROR(LEN(LEFT($CU9,MAX(0,LEN($CU9)-2)))-FIND(",",LEFT($CU9,MAX(0,LEN($CU9)-2))),0),-1)&lt;=15.0)),OR($CJ9&lt;&gt;"comprimento",IFERROR(VALUE(SUBSTITUTE(LEFT($CU9,MAX(0,LEN($CU9)-2)),",",""))/10^IFERROR(LEN(LEFT($CU9,MAX(0,LEN($CU9)-2)))-FIND(",",LEFT($CU9,MAX(0,LEN($CU9)-2))),0),-1)&lt;=60.0))),"","Base incompatível com escada: area/entidade/classe_0")</f>
        <v/>
      </c>
      <c r="FC9">
        <f>IF(ISTEXT($CV9),"","Base precisa ser texto: area/entidade/classes_1_a_5")</f>
        <v/>
      </c>
      <c r="FD9">
        <f>IF(OR(NOT(OR($DA9="area",$DE9="area")),$CJ9="Fixo",$CV9="",$CV9="—",AND(AND(AND(RIGHT($CV9,2)=" m",IFERROR(VALUE(SUBSTITUTE(LEFT($CV9,MAX(0,LEN($CV9)-2)),",",""))/10^IFERROR(LEN(LEFT($CV9,MAX(0,LEN($CV9)-2)))-FIND(",",LEFT($CV9,MAX(0,LEN($CV9)-2))),0),-1)&gt;0),OR($CJ9&lt;&gt;"raio",IFERROR(VALUE(SUBSTITUTE(LEFT($CV9,MAX(0,LEN($CV9)-2)),",",""))/10^IFERROR(LEN(LEFT($CV9,MAX(0,LEN($CV9)-2)))-FIND(",",LEFT($CV9,MAX(0,LEN($CV9)-2))),0),-1)&lt;=15.0)),OR($CJ9&lt;&gt;"comprimento",IFERROR(VALUE(SUBSTITUTE(LEFT($CV9,MAX(0,LEN($CV9)-2)),",",""))/10^IFERROR(LEN(LEFT($CV9,MAX(0,LEN($CV9)-2)))-FIND(",",LEFT($CV9,MAX(0,LEN($CV9)-2))),0),-1)&lt;=60.0))),"","Base incompatível com escada: area/entidade/classes_1_a_5")</f>
        <v/>
      </c>
      <c r="FE9">
        <f>IF(ISTEXT($CW9),"","Base precisa ser texto: area/entidade/classe_6")</f>
        <v/>
      </c>
      <c r="FF9">
        <f>IF(OR(NOT(OR($DA9="area",$DE9="area")),$CJ9="Fixo",$CW9="",$CW9="—",AND(AND(AND(RIGHT($CW9,2)=" m",IFERROR(VALUE(SUBSTITUTE(LEFT($CW9,MAX(0,LEN($CW9)-2)),",",""))/10^IFERROR(LEN(LEFT($CW9,MAX(0,LEN($CW9)-2)))-FIND(",",LEFT($CW9,MAX(0,LEN($CW9)-2))),0),-1)&gt;0),OR($CJ9&lt;&gt;"raio",IFERROR(VALUE(SUBSTITUTE(LEFT($CW9,MAX(0,LEN($CW9)-2)),",",""))/10^IFERROR(LEN(LEFT($CW9,MAX(0,LEN($CW9)-2)))-FIND(",",LEFT($CW9,MAX(0,LEN($CW9)-2))),0),-1)&lt;=15.0)),OR($CJ9&lt;&gt;"comprimento",IFERROR(VALUE(SUBSTITUTE(LEFT($CW9,MAX(0,LEN($CW9)-2)),",",""))/10^IFERROR(LEN(LEFT($CW9,MAX(0,LEN($CW9)-2)))-FIND(",",LEFT($CW9,MAX(0,LEN($CW9)-2))),0),-1)&lt;=60.0))),"","Base incompatível com escada: area/entidade/classe_6")</f>
        <v/>
      </c>
      <c r="FG9">
        <f>IF(ISTEXT($CX9),"","Base precisa ser texto: area/entidade/classe_7")</f>
        <v/>
      </c>
      <c r="FH9">
        <f>IF(OR(NOT(OR($DA9="area",$DE9="area")),$CJ9="Fixo",$CX9="",$CX9="—",AND(AND(AND(RIGHT($CX9,2)=" m",IFERROR(VALUE(SUBSTITUTE(LEFT($CX9,MAX(0,LEN($CX9)-2)),",",""))/10^IFERROR(LEN(LEFT($CX9,MAX(0,LEN($CX9)-2)))-FIND(",",LEFT($CX9,MAX(0,LEN($CX9)-2))),0),-1)&gt;0),OR($CJ9&lt;&gt;"raio",IFERROR(VALUE(SUBSTITUTE(LEFT($CX9,MAX(0,LEN($CX9)-2)),",",""))/10^IFERROR(LEN(LEFT($CX9,MAX(0,LEN($CX9)-2)))-FIND(",",LEFT($CX9,MAX(0,LEN($CX9)-2))),0),-1)&lt;=15.0)),OR($CJ9&lt;&gt;"comprimento",IFERROR(VALUE(SUBSTITUTE(LEFT($CX9,MAX(0,LEN($CX9)-2)),",",""))/10^IFERROR(LEN(LEFT($CX9,MAX(0,LEN($CX9)-2)))-FIND(",",LEFT($CX9,MAX(0,LEN($CX9)-2))),0),-1)&lt;=60.0))),"","Base incompatível com escada: area/entidade/classe_7")</f>
        <v/>
      </c>
      <c r="FJ9">
        <f>'DADOS_FORMAS'!$AH9</f>
        <v/>
      </c>
      <c r="FK9">
        <f>'DADOS_FORMAS'!$AM9</f>
        <v/>
      </c>
      <c r="FL9">
        <f>'DADOS_FORMAS'!$AN9</f>
        <v/>
      </c>
      <c r="FM9">
        <f>IF('DADOS_FORMAS'!$AN9=0,0,'DADOS_FORMAS'!$AN9+3*IFERROR(VLOOKUP(SUBSTITUTE(SUBSTITUTE(SUBSTITUTE('DADOS_FORMAS'!$AM9,"~","~~"),"*","~*"),"?","~?"),'DADOS_CRIACAO'!$H$2:$K$20,3,FALSE),0))</f>
        <v/>
      </c>
      <c r="FN9">
        <f>IFERROR(VLOOKUP(SUBSTITUTE(SUBSTITUTE(SUBSTITUTE('DADOS_FORMAS'!$AM9,"~","~~"),"*","~*"),"?","~?"),'DADOS_CRIACAO'!$H$2:$K$20,4,FALSE),0)</f>
        <v/>
      </c>
      <c r="FO9">
        <f>IF('DADOS_FORMAS'!$AS9="",0,1)</f>
        <v/>
      </c>
      <c r="FP9">
        <f>'DADOS_FORMAS'!$AP9</f>
        <v/>
      </c>
      <c r="FQ9">
        <f>IF(AND('DADOS_FORMAS'!$AO9="Acerto",'DADOS_FORMAS'!$AQ9),"Acerto + TR",'DADOS_FORMAS'!$AO9)</f>
        <v/>
      </c>
      <c r="FR9">
        <f>N(OR('DADOS_FORMAS'!$AQ9,'DADOS_FORMAS'!$AO9="TR, metade"))</f>
        <v/>
      </c>
      <c r="FS9">
        <f>'DADOS_FORMAS'!$BO9</f>
        <v/>
      </c>
      <c r="FT9">
        <f>'DADOS_FORMAS'!$BS9</f>
        <v/>
      </c>
      <c r="FU9">
        <f>'DADOS_FORMAS'!$BK9</f>
        <v/>
      </c>
      <c r="FV9">
        <f>N('DADOS_FORMAS'!$AR9)</f>
        <v/>
      </c>
      <c r="FW9">
        <f>IF(IFERROR(VLOOKUP(SUBSTITUTE(SUBSTITUTE(SUBSTITUTE('DADOS_FORMAS'!$AM9,"~","~~"),"*","~*"),"?","~?"),'DADOS_CRIACAO'!$H$2:$K$20,4,FALSE),0)=1,"",'DADOS_FORMAS'!$AH9)</f>
        <v/>
      </c>
      <c r="FX9">
        <f>IF(AND('DADOS_FORMAS'!$AR9,IFERROR(VLOOKUP(SUBSTITUTE(SUBSTITUTE(SUBSTITUTE('DADOS_FORMAS'!$AM9,"~","~~"),"*","~*"),"?","~?"),'DADOS_CRIACAO'!$H$2:$K$20,4,FALSE),0)=0),'DADOS_FORMAS'!$AH9,"")</f>
        <v/>
      </c>
      <c r="FZ9">
        <f>'DADOS_FORMAS'!$AH9</f>
        <v/>
      </c>
      <c r="GA9">
        <f>'DADOS_FORMAS'!$AM9</f>
        <v/>
      </c>
      <c r="GB9">
        <f>'DADOS_FORMAS'!$AN9</f>
        <v/>
      </c>
      <c r="GC9">
        <f>IF('DADOS_FORMAS'!$AS9="",0,1)</f>
        <v/>
      </c>
      <c r="GD9">
        <f>'DADOS_FORMAS'!$AP9</f>
        <v/>
      </c>
      <c r="GE9">
        <f>IF('DADOS_FORMAS'!$AO9="Acerto","Ataque",IF('DADOS_FORMAS'!$AQ9,"TR","—"))</f>
        <v/>
      </c>
      <c r="GF9">
        <f>N(OR('DADOS_FORMAS'!$AQ9,'DADOS_FORMAS'!$AO9="TR, metade"))</f>
        <v/>
      </c>
      <c r="GG9">
        <f>'DADOS_FORMAS'!$BO9</f>
        <v/>
      </c>
      <c r="GH9">
        <f>'DADOS_FORMAS'!$BS9</f>
        <v/>
      </c>
      <c r="GI9">
        <f>'DADOS_FORMAS'!$BK9</f>
        <v/>
      </c>
      <c r="GJ9">
        <f>N('DADOS_FORMAS'!$AR9)</f>
        <v/>
      </c>
      <c r="GR9">
        <f>'DADOS_FORMAS'!$BP13</f>
        <v/>
      </c>
      <c r="GS9">
        <f>IF('DADOS_FORMAS'!$BP13="area",'DADOS_FORMAS'!$AU13,'DADOS_FORMAS'!$AT13)</f>
        <v/>
      </c>
      <c r="GT9">
        <f>IF('DADOS_FORMAS'!$BP13="area",'DADOS_FORMAS'!$BC13,'DADOS_FORMAS'!$AV13)</f>
        <v/>
      </c>
      <c r="GU9">
        <f>'DADOS_FORMAS'!$BQ13</f>
        <v/>
      </c>
      <c r="GV9">
        <f>'DADOS_FORMAS'!$BR13</f>
        <v/>
      </c>
      <c r="GW9">
        <f>LET(base,'DADOS_FORMAS'!$GT9,escada,'DADOS_FORMAS'!$GS9,medida,LEFT(base,MAX(0,LEN(base)-2)),valor,IFERROR(VALUE(SUBSTITUTE(medida,",",""))/10^IFERROR(LEN(medida)-FIND(",",medida),0),1E99),IF(OR(escada="Fixo",base="—"),base,IF(escada="alcance",IFERROR(MATCH(base,{"1,5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9" t="inlineStr">
        <is>
          <t>Explosão · classes 1 a 5</t>
        </is>
      </c>
      <c r="GZ9" t="inlineStr">
        <is>
          <t>Raio 3 m</t>
        </is>
      </c>
      <c r="HA9" t="inlineStr">
        <is>
          <t>Raio 4,5 m</t>
        </is>
      </c>
      <c r="HB9" t="inlineStr">
        <is>
          <t>Raio 6 m</t>
        </is>
      </c>
      <c r="HC9" t="inlineStr">
        <is>
          <t>Raio 9 m</t>
        </is>
      </c>
      <c r="HD9" t="inlineStr">
        <is>
          <t>Raio 15 m</t>
        </is>
      </c>
      <c r="HE9" t="inlineStr">
        <is>
          <t>Raio 15 m</t>
        </is>
      </c>
      <c r="HF9" t="inlineStr">
        <is>
          <t>, a 18 m</t>
        </is>
      </c>
      <c r="HG9" t="inlineStr">
        <is>
          <t>, a 36 m</t>
        </is>
      </c>
      <c r="HH9" t="inlineStr">
        <is>
          <t>, a 90 m</t>
        </is>
      </c>
      <c r="HI9" t="inlineStr">
        <is>
          <t>, a visão a olho nu</t>
        </is>
      </c>
      <c r="HJ9" t="inlineStr">
        <is>
          <t>, a visão a olho nu</t>
        </is>
      </c>
      <c r="HK9" t="inlineStr">
        <is>
          <t>, a visão a olho nu</t>
        </is>
      </c>
      <c r="HM9">
        <f>'DADOS_FORMAS'!$BP12</f>
        <v/>
      </c>
      <c r="HN9">
        <f>IF('DADOS_FORMAS'!$BP12="area",'DADOS_FORMAS'!$AU12,'DADOS_FORMAS'!$AT12)</f>
        <v/>
      </c>
      <c r="HO9">
        <f>IF('DADOS_FORMAS'!$BP12="area",'DADOS_FORMAS'!$BI12,'DADOS_FORMAS'!$BB12)</f>
        <v/>
      </c>
      <c r="HP9">
        <f>'DADOS_FORMAS'!$BQ12</f>
        <v/>
      </c>
      <c r="HQ9">
        <f>'DADOS_FORMAS'!$BR12</f>
        <v/>
      </c>
      <c r="HR9">
        <f>LET(base,'DADOS_FORMAS'!$HO9,escada,'DADOS_FORMAS'!$HN9,medida,LEFT(base,MAX(0,LEN(base)-2)),valor,IFERROR(VALUE(SUBSTITUTE(medida,",",""))/10^IFERROR(LEN(medida)-FIND(",",medida),0),1E99),IF(OR(escada="Fixo",base="—"),base,IF(escada="alcance",IFERROR(MATCH(base,{"1,5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9" t="inlineStr">
        <is>
          <t>Toque · classe 7</t>
        </is>
      </c>
      <c r="HU9" t="inlineStr">
        <is>
          <t>1,5 m, um alvo</t>
        </is>
      </c>
      <c r="HV9" t="inlineStr">
        <is>
          <t>1,5 m, um alvo</t>
        </is>
      </c>
      <c r="HW9" t="inlineStr">
        <is>
          <t>1,5 m, um alvo</t>
        </is>
      </c>
      <c r="HX9" t="inlineStr">
        <is>
          <t>1,5 m, um alvo</t>
        </is>
      </c>
      <c r="HY9" t="inlineStr">
        <is>
          <t>1,5 m, um alvo</t>
        </is>
      </c>
      <c r="HZ9" t="inlineStr">
        <is>
          <t>1,5 m, um alvo</t>
        </is>
      </c>
      <c r="IA9" t="inlineStr"/>
      <c r="IB9" t="inlineStr"/>
      <c r="IC9" t="inlineStr"/>
      <c r="ID9" t="inlineStr"/>
      <c r="IE9" t="inlineStr"/>
      <c r="IF9" t="inlineStr"/>
      <c r="IH9">
        <f>IF(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H9,"")</f>
        <v/>
      </c>
      <c r="II9">
        <f>IF(AND(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R9),'DADOS_FORMAS'!$AH9,"")</f>
        <v/>
      </c>
      <c r="IK9">
        <f>IF(OR('DADOS_FORMAS'!$AM9='INVOCAÇÕES'!$O$246,'DADOS_FORMAS'!$AM9='INVOCAÇÕES'!$P$246,'DADOS_FORMAS'!$AM9='INVOCAÇÕES'!$Q$246,'DADOS_FORMAS'!$AM9='INVOCAÇÕES'!$R$246,'DADOS_FORMAS'!$AM9='INVOCAÇÕES'!$S$246,'DADOS_FORMAS'!$AM9='INVOCAÇÕES'!$O$248,'DADOS_FORMAS'!$AM9='INVOCAÇÕES'!$P$248,'DADOS_FORMAS'!$AM9='INVOCAÇÕES'!$Q$248,'DADOS_FORMAS'!$AM9='INVOCAÇÕES'!$R$248,'DADOS_FORMAS'!$AM9=""),'DADOS_FORMAS'!$AH9,"")</f>
        <v/>
      </c>
      <c r="IL9">
        <f>IF(AND(OR('DADOS_FORMAS'!$AM9='INVOCAÇÕES'!$O$246,'DADOS_FORMAS'!$AM9='INVOCAÇÕES'!$P$246,'DADOS_FORMAS'!$AM9='INVOCAÇÕES'!$Q$246,'DADOS_FORMAS'!$AM9='INVOCAÇÕES'!$R$246,'DADOS_FORMAS'!$AM9='INVOCAÇÕES'!$S$246,'DADOS_FORMAS'!$AM9='INVOCAÇÕES'!$O$248,'DADOS_FORMAS'!$AM9='INVOCAÇÕES'!$P$248,'DADOS_FORMAS'!$AM9='INVOCAÇÕES'!$Q$248,'DADOS_FORMAS'!$AM9='INVOCAÇÕES'!$R$248,'DADOS_FORMAS'!$AM9=""),'DADOS_FORMAS'!$AR9),'DADOS_FORMAS'!$AH9,"")</f>
        <v/>
      </c>
      <c r="IN9">
        <f>IF(OR('DADOS_FORMAS'!$AM9='INVOCAÇÕES'!$O$444,'DADOS_FORMAS'!$AM9='INVOCAÇÕES'!$P$444,'DADOS_FORMAS'!$AM9='INVOCAÇÕES'!$Q$444,'DADOS_FORMAS'!$AM9='INVOCAÇÕES'!$R$444,'DADOS_FORMAS'!$AM9='INVOCAÇÕES'!$S$444,'DADOS_FORMAS'!$AM9='INVOCAÇÕES'!$O$446,'DADOS_FORMAS'!$AM9='INVOCAÇÕES'!$P$446,'DADOS_FORMAS'!$AM9='INVOCAÇÕES'!$Q$446,'DADOS_FORMAS'!$AM9='INVOCAÇÕES'!$R$446,'DADOS_FORMAS'!$AM9=""),'DADOS_FORMAS'!$AH9,"")</f>
        <v/>
      </c>
      <c r="IO9">
        <f>IF(AND(OR('DADOS_FORMAS'!$AM9='INVOCAÇÕES'!$O$444,'DADOS_FORMAS'!$AM9='INVOCAÇÕES'!$P$444,'DADOS_FORMAS'!$AM9='INVOCAÇÕES'!$Q$444,'DADOS_FORMAS'!$AM9='INVOCAÇÕES'!$R$444,'DADOS_FORMAS'!$AM9='INVOCAÇÕES'!$S$444,'DADOS_FORMAS'!$AM9='INVOCAÇÕES'!$O$446,'DADOS_FORMAS'!$AM9='INVOCAÇÕES'!$P$446,'DADOS_FORMAS'!$AM9='INVOCAÇÕES'!$Q$446,'DADOS_FORMAS'!$AM9='INVOCAÇÕES'!$R$446,'DADOS_FORMAS'!$AM9=""),'DADOS_FORMAS'!$AR9),'DADOS_FORMAS'!$AH9,"")</f>
        <v/>
      </c>
      <c r="IQ9">
        <f>IF(OR('DADOS_FORMAS'!$AM9='INVOCAÇÕES'!$O$642,'DADOS_FORMAS'!$AM9='INVOCAÇÕES'!$P$642,'DADOS_FORMAS'!$AM9='INVOCAÇÕES'!$Q$642,'DADOS_FORMAS'!$AM9='INVOCAÇÕES'!$R$642,'DADOS_FORMAS'!$AM9='INVOCAÇÕES'!$S$642,'DADOS_FORMAS'!$AM9='INVOCAÇÕES'!$O$644,'DADOS_FORMAS'!$AM9='INVOCAÇÕES'!$P$644,'DADOS_FORMAS'!$AM9='INVOCAÇÕES'!$Q$644,'DADOS_FORMAS'!$AM9='INVOCAÇÕES'!$R$644,'DADOS_FORMAS'!$AM9=""),'DADOS_FORMAS'!$AH9,"")</f>
        <v/>
      </c>
      <c r="IR9">
        <f>IF(AND(OR('DADOS_FORMAS'!$AM9='INVOCAÇÕES'!$O$642,'DADOS_FORMAS'!$AM9='INVOCAÇÕES'!$P$642,'DADOS_FORMAS'!$AM9='INVOCAÇÕES'!$Q$642,'DADOS_FORMAS'!$AM9='INVOCAÇÕES'!$R$642,'DADOS_FORMAS'!$AM9='INVOCAÇÕES'!$S$642,'DADOS_FORMAS'!$AM9='INVOCAÇÕES'!$O$644,'DADOS_FORMAS'!$AM9='INVOCAÇÕES'!$P$644,'DADOS_FORMAS'!$AM9='INVOCAÇÕES'!$Q$644,'DADOS_FORMAS'!$AM9='INVOCAÇÕES'!$R$644,'DADOS_FORMAS'!$AM9=""),'DADOS_FORMAS'!$AR9),'DADOS_FORMAS'!$AH9,"")</f>
        <v/>
      </c>
      <c r="IT9">
        <f>IF(OR('DADOS_FORMAS'!$AM9='INVOCAÇÕES'!$O$840,'DADOS_FORMAS'!$AM9='INVOCAÇÕES'!$P$840,'DADOS_FORMAS'!$AM9='INVOCAÇÕES'!$Q$840,'DADOS_FORMAS'!$AM9='INVOCAÇÕES'!$R$840,'DADOS_FORMAS'!$AM9='INVOCAÇÕES'!$S$840,'DADOS_FORMAS'!$AM9='INVOCAÇÕES'!$O$842,'DADOS_FORMAS'!$AM9='INVOCAÇÕES'!$P$842,'DADOS_FORMAS'!$AM9='INVOCAÇÕES'!$Q$842,'DADOS_FORMAS'!$AM9='INVOCAÇÕES'!$R$842,'DADOS_FORMAS'!$AM9=""),'DADOS_FORMAS'!$AH9,"")</f>
        <v/>
      </c>
      <c r="IU9">
        <f>IF(AND(OR('DADOS_FORMAS'!$AM9='INVOCAÇÕES'!$O$840,'DADOS_FORMAS'!$AM9='INVOCAÇÕES'!$P$840,'DADOS_FORMAS'!$AM9='INVOCAÇÕES'!$Q$840,'DADOS_FORMAS'!$AM9='INVOCAÇÕES'!$R$840,'DADOS_FORMAS'!$AM9='INVOCAÇÕES'!$S$840,'DADOS_FORMAS'!$AM9='INVOCAÇÕES'!$O$842,'DADOS_FORMAS'!$AM9='INVOCAÇÕES'!$P$842,'DADOS_FORMAS'!$AM9='INVOCAÇÕES'!$Q$842,'DADOS_FORMAS'!$AM9='INVOCAÇÕES'!$R$842,'DADOS_FORMAS'!$AM9=""),'DADOS_FORMAS'!$AR9),'DADOS_FORMAS'!$AH9,"")</f>
        <v/>
      </c>
      <c r="IW9">
        <f>IF(OR('DADOS_FORMAS'!$AM9='INVOCAÇÕES'!$O$1038,'DADOS_FORMAS'!$AM9='INVOCAÇÕES'!$P$1038,'DADOS_FORMAS'!$AM9='INVOCAÇÕES'!$Q$1038,'DADOS_FORMAS'!$AM9='INVOCAÇÕES'!$R$1038,'DADOS_FORMAS'!$AM9='INVOCAÇÕES'!$S$1038,'DADOS_FORMAS'!$AM9='INVOCAÇÕES'!$O$1040,'DADOS_FORMAS'!$AM9='INVOCAÇÕES'!$P$1040,'DADOS_FORMAS'!$AM9='INVOCAÇÕES'!$Q$1040,'DADOS_FORMAS'!$AM9='INVOCAÇÕES'!$R$1040,'DADOS_FORMAS'!$AM9=""),'DADOS_FORMAS'!$AH9,"")</f>
        <v/>
      </c>
      <c r="IX9">
        <f>IF(AND(OR('DADOS_FORMAS'!$AM9='INVOCAÇÕES'!$O$1038,'DADOS_FORMAS'!$AM9='INVOCAÇÕES'!$P$1038,'DADOS_FORMAS'!$AM9='INVOCAÇÕES'!$Q$1038,'DADOS_FORMAS'!$AM9='INVOCAÇÕES'!$R$1038,'DADOS_FORMAS'!$AM9='INVOCAÇÕES'!$S$1038,'DADOS_FORMAS'!$AM9='INVOCAÇÕES'!$O$1040,'DADOS_FORMAS'!$AM9='INVOCAÇÕES'!$P$1040,'DADOS_FORMAS'!$AM9='INVOCAÇÕES'!$Q$1040,'DADOS_FORMAS'!$AM9='INVOCAÇÕES'!$R$1040,'DADOS_FORMAS'!$AM9=""),'DADOS_FORMAS'!$AR9),'DADOS_FORMAS'!$AH9,"")</f>
        <v/>
      </c>
      <c r="IZ9">
        <f>IF(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H9,"")</f>
        <v/>
      </c>
      <c r="JA9">
        <f>IF(AND(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R9),'DADOS_FORMAS'!$AH9,"")</f>
        <v/>
      </c>
      <c r="JC9">
        <f>IF(OR('DADOS_FORMAS'!$AM9='INVOCAÇÕES'!$AH$246,'DADOS_FORMAS'!$AM9='INVOCAÇÕES'!$AI$246,'DADOS_FORMAS'!$AM9='INVOCAÇÕES'!$AJ$246,'DADOS_FORMAS'!$AM9='INVOCAÇÕES'!$AK$246,'DADOS_FORMAS'!$AM9='INVOCAÇÕES'!$AL$246,'DADOS_FORMAS'!$AM9='INVOCAÇÕES'!$AH$248,'DADOS_FORMAS'!$AM9='INVOCAÇÕES'!$AI$248,'DADOS_FORMAS'!$AM9='INVOCAÇÕES'!$AJ$248,'DADOS_FORMAS'!$AM9='INVOCAÇÕES'!$AK$248,'DADOS_FORMAS'!$AM9=""),'DADOS_FORMAS'!$AH9,"")</f>
        <v/>
      </c>
      <c r="JD9">
        <f>IF(AND(OR('DADOS_FORMAS'!$AM9='INVOCAÇÕES'!$AH$246,'DADOS_FORMAS'!$AM9='INVOCAÇÕES'!$AI$246,'DADOS_FORMAS'!$AM9='INVOCAÇÕES'!$AJ$246,'DADOS_FORMAS'!$AM9='INVOCAÇÕES'!$AK$246,'DADOS_FORMAS'!$AM9='INVOCAÇÕES'!$AL$246,'DADOS_FORMAS'!$AM9='INVOCAÇÕES'!$AH$248,'DADOS_FORMAS'!$AM9='INVOCAÇÕES'!$AI$248,'DADOS_FORMAS'!$AM9='INVOCAÇÕES'!$AJ$248,'DADOS_FORMAS'!$AM9='INVOCAÇÕES'!$AK$248,'DADOS_FORMAS'!$AM9=""),'DADOS_FORMAS'!$AR9),'DADOS_FORMAS'!$AH9,"")</f>
        <v/>
      </c>
      <c r="JF9">
        <f>IF(OR('DADOS_FORMAS'!$AM9='INVOCAÇÕES'!$AH$444,'DADOS_FORMAS'!$AM9='INVOCAÇÕES'!$AI$444,'DADOS_FORMAS'!$AM9='INVOCAÇÕES'!$AJ$444,'DADOS_FORMAS'!$AM9='INVOCAÇÕES'!$AK$444,'DADOS_FORMAS'!$AM9='INVOCAÇÕES'!$AL$444,'DADOS_FORMAS'!$AM9='INVOCAÇÕES'!$AH$446,'DADOS_FORMAS'!$AM9='INVOCAÇÕES'!$AI$446,'DADOS_FORMAS'!$AM9='INVOCAÇÕES'!$AJ$446,'DADOS_FORMAS'!$AM9='INVOCAÇÕES'!$AK$446,'DADOS_FORMAS'!$AM9=""),'DADOS_FORMAS'!$AH9,"")</f>
        <v/>
      </c>
      <c r="JG9">
        <f>IF(AND(OR('DADOS_FORMAS'!$AM9='INVOCAÇÕES'!$AH$444,'DADOS_FORMAS'!$AM9='INVOCAÇÕES'!$AI$444,'DADOS_FORMAS'!$AM9='INVOCAÇÕES'!$AJ$444,'DADOS_FORMAS'!$AM9='INVOCAÇÕES'!$AK$444,'DADOS_FORMAS'!$AM9='INVOCAÇÕES'!$AL$444,'DADOS_FORMAS'!$AM9='INVOCAÇÕES'!$AH$446,'DADOS_FORMAS'!$AM9='INVOCAÇÕES'!$AI$446,'DADOS_FORMAS'!$AM9='INVOCAÇÕES'!$AJ$446,'DADOS_FORMAS'!$AM9='INVOCAÇÕES'!$AK$446,'DADOS_FORMAS'!$AM9=""),'DADOS_FORMAS'!$AR9),'DADOS_FORMAS'!$AH9,"")</f>
        <v/>
      </c>
      <c r="JI9">
        <f>IF(OR('DADOS_FORMAS'!$AM9='INVOCAÇÕES'!$AH$642,'DADOS_FORMAS'!$AM9='INVOCAÇÕES'!$AI$642,'DADOS_FORMAS'!$AM9='INVOCAÇÕES'!$AJ$642,'DADOS_FORMAS'!$AM9='INVOCAÇÕES'!$AK$642,'DADOS_FORMAS'!$AM9='INVOCAÇÕES'!$AL$642,'DADOS_FORMAS'!$AM9='INVOCAÇÕES'!$AH$644,'DADOS_FORMAS'!$AM9='INVOCAÇÕES'!$AI$644,'DADOS_FORMAS'!$AM9='INVOCAÇÕES'!$AJ$644,'DADOS_FORMAS'!$AM9='INVOCAÇÕES'!$AK$644,'DADOS_FORMAS'!$AM9=""),'DADOS_FORMAS'!$AH9,"")</f>
        <v/>
      </c>
      <c r="JJ9">
        <f>IF(AND(OR('DADOS_FORMAS'!$AM9='INVOCAÇÕES'!$AH$642,'DADOS_FORMAS'!$AM9='INVOCAÇÕES'!$AI$642,'DADOS_FORMAS'!$AM9='INVOCAÇÕES'!$AJ$642,'DADOS_FORMAS'!$AM9='INVOCAÇÕES'!$AK$642,'DADOS_FORMAS'!$AM9='INVOCAÇÕES'!$AL$642,'DADOS_FORMAS'!$AM9='INVOCAÇÕES'!$AH$644,'DADOS_FORMAS'!$AM9='INVOCAÇÕES'!$AI$644,'DADOS_FORMAS'!$AM9='INVOCAÇÕES'!$AJ$644,'DADOS_FORMAS'!$AM9='INVOCAÇÕES'!$AK$644,'DADOS_FORMAS'!$AM9=""),'DADOS_FORMAS'!$AR9),'DADOS_FORMAS'!$AH9,"")</f>
        <v/>
      </c>
      <c r="JL9">
        <f>IF(OR('DADOS_FORMAS'!$AM9='INVOCAÇÕES'!$AH$840,'DADOS_FORMAS'!$AM9='INVOCAÇÕES'!$AI$840,'DADOS_FORMAS'!$AM9='INVOCAÇÕES'!$AJ$840,'DADOS_FORMAS'!$AM9='INVOCAÇÕES'!$AK$840,'DADOS_FORMAS'!$AM9='INVOCAÇÕES'!$AL$840,'DADOS_FORMAS'!$AM9='INVOCAÇÕES'!$AH$842,'DADOS_FORMAS'!$AM9='INVOCAÇÕES'!$AI$842,'DADOS_FORMAS'!$AM9='INVOCAÇÕES'!$AJ$842,'DADOS_FORMAS'!$AM9='INVOCAÇÕES'!$AK$842,'DADOS_FORMAS'!$AM9=""),'DADOS_FORMAS'!$AH9,"")</f>
        <v/>
      </c>
      <c r="JM9">
        <f>IF(AND(OR('DADOS_FORMAS'!$AM9='INVOCAÇÕES'!$AH$840,'DADOS_FORMAS'!$AM9='INVOCAÇÕES'!$AI$840,'DADOS_FORMAS'!$AM9='INVOCAÇÕES'!$AJ$840,'DADOS_FORMAS'!$AM9='INVOCAÇÕES'!$AK$840,'DADOS_FORMAS'!$AM9='INVOCAÇÕES'!$AL$840,'DADOS_FORMAS'!$AM9='INVOCAÇÕES'!$AH$842,'DADOS_FORMAS'!$AM9='INVOCAÇÕES'!$AI$842,'DADOS_FORMAS'!$AM9='INVOCAÇÕES'!$AJ$842,'DADOS_FORMAS'!$AM9='INVOCAÇÕES'!$AK$842,'DADOS_FORMAS'!$AM9=""),'DADOS_FORMAS'!$AR9),'DADOS_FORMAS'!$AH9,"")</f>
        <v/>
      </c>
      <c r="JO9">
        <f>IF(OR('DADOS_FORMAS'!$AM9='INVOCAÇÕES'!$AH$1038,'DADOS_FORMAS'!$AM9='INVOCAÇÕES'!$AI$1038,'DADOS_FORMAS'!$AM9='INVOCAÇÕES'!$AJ$1038,'DADOS_FORMAS'!$AM9='INVOCAÇÕES'!$AK$1038,'DADOS_FORMAS'!$AM9='INVOCAÇÕES'!$AL$1038,'DADOS_FORMAS'!$AM9='INVOCAÇÕES'!$AH$1040,'DADOS_FORMAS'!$AM9='INVOCAÇÕES'!$AI$1040,'DADOS_FORMAS'!$AM9='INVOCAÇÕES'!$AJ$1040,'DADOS_FORMAS'!$AM9='INVOCAÇÕES'!$AK$1040,'DADOS_FORMAS'!$AM9=""),'DADOS_FORMAS'!$AH9,"")</f>
        <v/>
      </c>
      <c r="JP9">
        <f>IF(AND(OR('DADOS_FORMAS'!$AM9='INVOCAÇÕES'!$AH$1038,'DADOS_FORMAS'!$AM9='INVOCAÇÕES'!$AI$1038,'DADOS_FORMAS'!$AM9='INVOCAÇÕES'!$AJ$1038,'DADOS_FORMAS'!$AM9='INVOCAÇÕES'!$AK$1038,'DADOS_FORMAS'!$AM9='INVOCAÇÕES'!$AL$1038,'DADOS_FORMAS'!$AM9='INVOCAÇÕES'!$AH$1040,'DADOS_FORMAS'!$AM9='INVOCAÇÕES'!$AI$1040,'DADOS_FORMAS'!$AM9='INVOCAÇÕES'!$AJ$1040,'DADOS_FORMAS'!$AM9='INVOCAÇÕES'!$AK$1040,'DADOS_FORMAS'!$AM9=""),'DADOS_FORMAS'!$AR9),'DADOS_FORMAS'!$AH9,"")</f>
        <v/>
      </c>
      <c r="JR9" t="inlineStr">
        <is>
          <t>Cura</t>
        </is>
      </c>
      <c r="JZ9">
        <f>IFERROR(INDEX('DADOS_CRIACAO'!$H$2:$H$20,7),"")</f>
        <v/>
      </c>
      <c r="KA9">
        <f>IFERROR(INDEX(INDEX('DADOS_RESTRICOES'!$M$2:$Q$54,0,1),7),"")</f>
        <v/>
      </c>
    </row>
    <row r="10">
      <c r="A10">
        <f>IF(ISBLANK('CONFIGURAÇÃO'!$B$2066),"",'CONFIGURAÇÃO'!$B$2066)</f>
        <v/>
      </c>
      <c r="B10">
        <f>IF(ISBLANK('CONFIGURAÇÃO'!$B$2068),"",'CONFIGURAÇÃO'!$B$2068)</f>
        <v/>
      </c>
      <c r="C10">
        <f>IF(ISBLANK('CONFIGURAÇÃO'!$E$2069),"",'CONFIGURAÇÃO'!$E$2069)</f>
        <v/>
      </c>
      <c r="D10">
        <f>IF(ISBLANK('CONFIGURAÇÃO'!$F$2066),"",'CONFIGURAÇÃO'!$F$2066)</f>
        <v/>
      </c>
      <c r="E10">
        <f>IF(ISBLANK('CONFIGURAÇÃO'!$B$2095),"",'CONFIGURAÇÃO'!$B$2095)</f>
        <v/>
      </c>
      <c r="F10">
        <f>IF(ISBLANK('CONFIGURAÇÃO'!$B$2101),"",'CONFIGURAÇÃO'!$B$2101)</f>
        <v/>
      </c>
      <c r="G10">
        <f>IF(ISBLANK('CONFIGURAÇÃO'!$E$2070),"",'CONFIGURAÇÃO'!$E$2070)</f>
        <v/>
      </c>
      <c r="H10">
        <f>IF(ISBLANK('CONFIGURAÇÃO'!$E$2071),"",'CONFIGURAÇÃO'!$E$2071)</f>
        <v/>
      </c>
      <c r="I10">
        <f>IF(ISBLANK('CONFIGURAÇÃO'!$E$2072),"",'CONFIGURAÇÃO'!$E$2072)</f>
        <v/>
      </c>
      <c r="J10">
        <f>IF(ISBLANK('CONFIGURAÇÃO'!$E$2073),"",'CONFIGURAÇÃO'!$E$2073)</f>
        <v/>
      </c>
      <c r="K10">
        <f>IF(ISBLANK('CONFIGURAÇÃO'!$E$2074),"",'CONFIGURAÇÃO'!$E$2074)</f>
        <v/>
      </c>
      <c r="L10">
        <f>IF(ISBLANK('CONFIGURAÇÃO'!$E$2075),"",'CONFIGURAÇÃO'!$E$2075)</f>
        <v/>
      </c>
      <c r="M10">
        <f>IF(ISBLANK('CONFIGURAÇÃO'!$E$2076),"",'CONFIGURAÇÃO'!$E$2076)</f>
        <v/>
      </c>
      <c r="N10">
        <f>IF(ISBLANK('CONFIGURAÇÃO'!$E$2077),"",'CONFIGURAÇÃO'!$E$2077)</f>
        <v/>
      </c>
      <c r="O10">
        <f>IF(ISBLANK('CONFIGURAÇÃO'!$E$2078),"",'CONFIGURAÇÃO'!$E$2078)</f>
        <v/>
      </c>
      <c r="P10">
        <f>IF(ISBLANK('CONFIGURAÇÃO'!$E$2079),"",'CONFIGURAÇÃO'!$E$2079)</f>
        <v/>
      </c>
      <c r="Q10">
        <f>IF(ISBLANK('CONFIGURAÇÃO'!$E$2080),"",'CONFIGURAÇÃO'!$E$2080)</f>
        <v/>
      </c>
      <c r="R10">
        <f>IF(ISBLANK('CONFIGURAÇÃO'!$E$2081),"",'CONFIGURAÇÃO'!$E$2081)</f>
        <v/>
      </c>
      <c r="S10">
        <f>IF(ISBLANK('CONFIGURAÇÃO'!$E$2082),"",'CONFIGURAÇÃO'!$E$2082)</f>
        <v/>
      </c>
      <c r="T10">
        <f>IF(ISBLANK('CONFIGURAÇÃO'!$E$2083),"",'CONFIGURAÇÃO'!$E$2083)</f>
        <v/>
      </c>
      <c r="U10">
        <f>IF(ISBLANK('CONFIGURAÇÃO'!$E$2084),"",'CONFIGURAÇÃO'!$E$2084)</f>
        <v/>
      </c>
      <c r="V10">
        <f>IF(ISBLANK('CONFIGURAÇÃO'!$E$2085),"",'CONFIGURAÇÃO'!$E$2085)</f>
        <v/>
      </c>
      <c r="W10">
        <f>IF(ISBLANK('CONFIGURAÇÃO'!$E$2086),"",'CONFIGURAÇÃO'!$E$2086)</f>
        <v/>
      </c>
      <c r="X10">
        <f>IF(ISBLANK('CONFIGURAÇÃO'!$E$2087),"",'CONFIGURAÇÃO'!$E$2087)</f>
        <v/>
      </c>
      <c r="Y10">
        <f>IF(ISBLANK('CONFIGURAÇÃO'!$E$2088),"",'CONFIGURAÇÃO'!$E$2088)</f>
        <v/>
      </c>
      <c r="Z10">
        <f>IF(ISBLANK('CONFIGURAÇÃO'!$E$2089),"",'CONFIGURAÇÃO'!$E$2089)</f>
        <v/>
      </c>
      <c r="AA10">
        <f>IF(ISBLANK('CONFIGURAÇÃO'!$E$2090),"",'CONFIGURAÇÃO'!$E$2090)</f>
        <v/>
      </c>
      <c r="AB10">
        <f>IF(ISBLANK('CONFIGURAÇÃO'!$E$2091),"",'CONFIGURAÇÃO'!$E$2091)</f>
        <v/>
      </c>
      <c r="AC10">
        <f>IF(ISBLANK('CONFIGURAÇÃO'!$E$2092),"",'CONFIGURAÇÃO'!$E$2092)</f>
        <v/>
      </c>
      <c r="AD10">
        <f>IF($AF10,TEXTJOIN(" · ",TRUE,$DJ10:$FH10),"")</f>
        <v/>
      </c>
      <c r="AE10">
        <f>IF(OR($C10="",$C10="Nenhuma"),0,IFERROR(MATCH(SUBSTITUTE(SUBSTITUTE(SUBSTITUTE($C10,"~","~~"),"*","~*"),"?","~?"),'DADOS_FORMAS'!$AH$2:$AH$11,0),-1))</f>
        <v/>
      </c>
      <c r="AF10">
        <f>OR($B10&lt;&gt;"",$C10&lt;&gt;"",$E10&lt;&gt;"",$F10&lt;&gt;"",$G10&lt;&gt;"",$H10&lt;&gt;"",$I10&lt;&gt;"",$J10&lt;&gt;"",$K10&lt;&gt;"",$L10&lt;&gt;"",$M10&lt;&gt;"",$N10&lt;&gt;"",$O10&lt;&gt;"",$P10&lt;&gt;"",$Q10&lt;&gt;"",$R10&lt;&gt;"",$S10&lt;&gt;"",$T10&lt;&gt;"",$U10&lt;&gt;"",$V10&lt;&gt;"",$W10&lt;&gt;"",$X10&lt;&gt;"",$Y10&lt;&gt;"",$Z10&lt;&gt;"",$AA10&lt;&gt;"",$AB10&lt;&gt;"",$AC10&lt;&gt;"",AND($D10&lt;&gt;"",$D10&lt;&gt;FALSE),AND($A10&lt;&gt;"",$A10&lt;&gt;"Forma"))</f>
        <v/>
      </c>
      <c r="AG10" t="inlineStr">
        <is>
          <t>Forma</t>
        </is>
      </c>
      <c r="AH10" t="inlineStr">
        <is>
          <t>Onda</t>
        </is>
      </c>
      <c r="AI10">
        <f>""</f>
        <v/>
      </c>
      <c r="AJ10" t="b">
        <v>0</v>
      </c>
      <c r="AK10">
        <f>""</f>
        <v/>
      </c>
      <c r="AL10" t="inlineStr">
        <is>
          <t>Aliados numa esfera de raio 3 m centrada em você. Escolha cura ou apoio ao montar.</t>
        </is>
      </c>
      <c r="AM10" t="inlineStr">
        <is>
          <t>Amparo</t>
        </is>
      </c>
      <c r="AN10" t="n">
        <v>3</v>
      </c>
      <c r="AO10" t="inlineStr">
        <is>
          <t>Automático</t>
        </is>
      </c>
      <c r="AP10" t="n">
        <v>1</v>
      </c>
      <c r="AQ10" t="b">
        <v>0</v>
      </c>
      <c r="AR10" t="b">
        <v>0</v>
      </c>
      <c r="AS10">
        <f>""</f>
        <v/>
      </c>
      <c r="AT10" t="inlineStr">
        <is>
          <t>Fixo</t>
        </is>
      </c>
      <c r="AU10" t="inlineStr">
        <is>
          <t>raio</t>
        </is>
      </c>
      <c r="AV10">
        <f>""</f>
        <v/>
      </c>
      <c r="AW10">
        <f>""</f>
        <v/>
      </c>
      <c r="AX10">
        <f>""</f>
        <v/>
      </c>
      <c r="AY10">
        <f>""</f>
        <v/>
      </c>
      <c r="AZ10">
        <f>""</f>
        <v/>
      </c>
      <c r="BA10">
        <f>""</f>
        <v/>
      </c>
      <c r="BB10">
        <f>""</f>
        <v/>
      </c>
      <c r="BC10" t="inlineStr">
        <is>
          <t>—</t>
        </is>
      </c>
      <c r="BD10" t="inlineStr">
        <is>
          <t>3 m</t>
        </is>
      </c>
      <c r="BE10" t="inlineStr">
        <is>
          <t>4,5 m</t>
        </is>
      </c>
      <c r="BF10" t="inlineStr">
        <is>
          <t>—</t>
        </is>
      </c>
      <c r="BG10" t="inlineStr">
        <is>
          <t>3 m</t>
        </is>
      </c>
      <c r="BH10" t="inlineStr">
        <is>
          <t>3 m</t>
        </is>
      </c>
      <c r="BI10" t="inlineStr">
        <is>
          <t>4,5 m</t>
        </is>
      </c>
      <c r="BJ10" t="inlineStr">
        <is>
          <t>Onda</t>
        </is>
      </c>
      <c r="BK10" t="n">
        <v>0</v>
      </c>
      <c r="BL10" t="inlineStr">
        <is>
          <t>area</t>
        </is>
      </c>
      <c r="BM10" t="inlineStr">
        <is>
          <t xml:space="preserve">raio </t>
        </is>
      </c>
      <c r="BN10" t="inlineStr">
        <is>
          <t>, em você</t>
        </is>
      </c>
      <c r="BO10" t="n">
        <v>2</v>
      </c>
      <c r="BP10">
        <f>""</f>
        <v/>
      </c>
      <c r="BQ10">
        <f>""</f>
        <v/>
      </c>
      <c r="BR10">
        <f>""</f>
        <v/>
      </c>
      <c r="BS10" t="n">
        <v>0</v>
      </c>
      <c r="BV10">
        <f>IF($A10="",IF($AE10&gt;0,INDEX('DADOS_FORMAS'!$AG$2:$AG$11,MAX(1,$AE10)),"Forma"),$A10)</f>
        <v/>
      </c>
      <c r="BW10">
        <f>IF($B10="",IF($AE10&gt;0,INDEX('DADOS_FORMAS'!$AH$2:$AH$11,MAX(1,$AE10)),""),$B10)</f>
        <v/>
      </c>
      <c r="BX10">
        <f>IF($C10="",IF($AE10&gt;0,INDEX('DADOS_FORMAS'!$AI$2:$AI$11,MAX(1,$AE10)),""),$C10)</f>
        <v/>
      </c>
      <c r="BY10">
        <f>IF($D10="",IF($AE10&gt;0,INDEX('DADOS_FORMAS'!$AJ$2:$AJ$11,MAX(1,$AE10)),FALSE),$D10)</f>
        <v/>
      </c>
      <c r="BZ10">
        <f>IF($E10="",IF($AE10&gt;0,INDEX('DADOS_FORMAS'!$AK$2:$AK$11,MAX(1,$AE10)),""),$E10)</f>
        <v/>
      </c>
      <c r="CA10">
        <f>IF($F10="",IF($AE10&gt;0,INDEX('DADOS_FORMAS'!$AL$2:$AL$11,MAX(1,$AE10)),""),$F10)</f>
        <v/>
      </c>
      <c r="CB10">
        <f>IF($G10="Nenhuma","",IF($G10="",IF($AE10&gt;0,INDEX('DADOS_FORMAS'!$AM$2:$AM$11,MAX(1,$AE10)),""),$G10))</f>
        <v/>
      </c>
      <c r="CC10">
        <f>IF($H10="",IF($AE10&gt;0,INDEX('DADOS_FORMAS'!$AN$2:$AN$11,MAX(1,$AE10)),""),IF($H10="Sem custo",0,IF($H10="Leve",1,IF($H10="Média",2,IF($H10="Pesada",3,$H10)))))</f>
        <v/>
      </c>
      <c r="CD10">
        <f>IF($I10="",IF($AE10&gt;0,INDEX('DADOS_FORMAS'!$AO$2:$AO$11,MAX(1,$AE10)),""),$I10)</f>
        <v/>
      </c>
      <c r="CE10">
        <f>IF($J10="",IF($AE10&gt;0,INDEX('DADOS_FORMAS'!$AP$2:$AP$11,MAX(1,$AE10)),""),IF($J10="Dano",0,IF($J10="Cura",1,IF($J10="Vida temporária",2,IF($J10="Efeito",3,$J10)))))</f>
        <v/>
      </c>
      <c r="CF10">
        <f>IF($K10="",IF($AE10&gt;0,INDEX('DADOS_FORMAS'!$AQ$2:$AQ$11,MAX(1,$AE10)),""),IF($K10="Sim",TRUE,IF($K10="Não",FALSE,$K10)))</f>
        <v/>
      </c>
      <c r="CG10">
        <f>IF($L10="",IF($AE10&gt;0,INDEX('DADOS_FORMAS'!$AR$2:$AR$11,MAX(1,$AE10)),""),IF($L10="Sim",TRUE,IF($L10="Não",FALSE,$L10)))</f>
        <v/>
      </c>
      <c r="CH10">
        <f>IF($M10="Nenhuma","",IF($M10="",IF($AE10&gt;0,INDEX('DADOS_FORMAS'!$AS$2:$AS$11,MAX(1,$AE10)),""),$M10))</f>
        <v/>
      </c>
      <c r="CI10">
        <f>IF($N10="",IF($AE10&gt;0,INDEX('DADOS_FORMAS'!$AT$2:$AT$11,MAX(1,$AE10)),"Fixo"),$N10)</f>
        <v/>
      </c>
      <c r="CJ10">
        <f>IF($O10="",IF($AE10&gt;0,INDEX('DADOS_FORMAS'!$AU$2:$AU$11,MAX(1,$AE10)),"Fixo"),$O10)</f>
        <v/>
      </c>
      <c r="CK10">
        <f>IF($P10="",IF($AE10&gt;0,INDEX('DADOS_FORMAS'!$AV$2:$AV$11,MAX(1,$AE10)),""),$P10)</f>
        <v/>
      </c>
      <c r="CL10">
        <f>IF($Q10="",IF($AE10&gt;0,INDEX('DADOS_FORMAS'!$AW$2:$AW$11,MAX(1,$AE10)),""),$Q10)</f>
        <v/>
      </c>
      <c r="CM10">
        <f>IF($R10="",IF($AE10&gt;0,INDEX('DADOS_FORMAS'!$AX$2:$AX$11,MAX(1,$AE10)),""),$R10)</f>
        <v/>
      </c>
      <c r="CN10">
        <f>IF($S10="",IF($AE10&gt;0,INDEX('DADOS_FORMAS'!$AY$2:$AY$11,MAX(1,$AE10)),""),$S10)</f>
        <v/>
      </c>
      <c r="CO10">
        <f>IF($T10="",IF($AE10&gt;0,INDEX('DADOS_FORMAS'!$AZ$2:$AZ$11,MAX(1,$AE10)),""),$T10)</f>
        <v/>
      </c>
      <c r="CP10">
        <f>IF($U10="",IF($AE10&gt;0,INDEX('DADOS_FORMAS'!$BA$2:$BA$11,MAX(1,$AE10)),""),$U10)</f>
        <v/>
      </c>
      <c r="CQ10">
        <f>IF($V10="",IF($AE10&gt;0,INDEX('DADOS_FORMAS'!$BB$2:$BB$11,MAX(1,$AE10)),""),$V10)</f>
        <v/>
      </c>
      <c r="CR10">
        <f>IF($W10="",IF($AE10&gt;0,INDEX('DADOS_FORMAS'!$BC$2:$BC$11,MAX(1,$AE10)),""),$W10)</f>
        <v/>
      </c>
      <c r="CS10">
        <f>IF($X10="",IF($AE10&gt;0,INDEX('DADOS_FORMAS'!$BD$2:$BD$11,MAX(1,$AE10)),""),$X10)</f>
        <v/>
      </c>
      <c r="CT10">
        <f>IF($Y10="",IF($AE10&gt;0,INDEX('DADOS_FORMAS'!$BE$2:$BE$11,MAX(1,$AE10)),""),$Y10)</f>
        <v/>
      </c>
      <c r="CU10">
        <f>IF($Z10="",IF($AE10&gt;0,INDEX('DADOS_FORMAS'!$BF$2:$BF$11,MAX(1,$AE10)),""),$Z10)</f>
        <v/>
      </c>
      <c r="CV10">
        <f>IF($AA10="",IF($AE10&gt;0,INDEX('DADOS_FORMAS'!$BG$2:$BG$11,MAX(1,$AE10)),""),$AA10)</f>
        <v/>
      </c>
      <c r="CW10">
        <f>IF($AB10="",IF($AE10&gt;0,INDEX('DADOS_FORMAS'!$BH$2:$BH$11,MAX(1,$AE10)),""),$AB10)</f>
        <v/>
      </c>
      <c r="CX10">
        <f>IF($AC10="",IF($AE10&gt;0,INDEX('DADOS_FORMAS'!$BI$2:$BI$11,MAX(1,$AE10)),""),$AC10)</f>
        <v/>
      </c>
      <c r="CY10">
        <f>IF($AE10&gt;0,INDEX('DADOS_FORMAS'!$BJ$2:$BJ$11,MAX(1,$AE10)),"")</f>
        <v/>
      </c>
      <c r="CZ10">
        <f>IF($AE10&gt;0,INDEX('DADOS_FORMAS'!$BK$2:$BK$11,MAX(1,$AE10)),0)</f>
        <v/>
      </c>
      <c r="DA10">
        <f>IF($AE10&gt;0,INDEX('DADOS_FORMAS'!$BL$2:$BL$11,MAX(1,$AE10)),"alcance")</f>
        <v/>
      </c>
      <c r="DB10">
        <f>IF($AE10&gt;0,INDEX('DADOS_FORMAS'!$BM$2:$BM$11,MAX(1,$AE10)),"")</f>
        <v/>
      </c>
      <c r="DC10">
        <f>IF($AE10&gt;0,INDEX('DADOS_FORMAS'!$BN$2:$BN$11,MAX(1,$AE10)),"")</f>
        <v/>
      </c>
      <c r="DD10">
        <f>IF($AE10&gt;0,INDEX('DADOS_FORMAS'!$BO$2:$BO$11,MAX(1,$AE10)),1)</f>
        <v/>
      </c>
      <c r="DE10">
        <f>IF(AND($AE10&gt;0,INDEX('DADOS_FORMAS'!$BP$2:$BP$11,MAX(1,$AE10))=""),IF(AND(INDEX('DADOS_FORMAS'!$BL$2:$BL$11,MAX(1,$AE10))="alcance",OR($W10&lt;&gt;"",$X10&lt;&gt;"",$Y10&lt;&gt;"",$Z10&lt;&gt;"",$AA10&lt;&gt;"",$AB10&lt;&gt;"",$AC10&lt;&gt;"")),"area",IF(AND(INDEX('DADOS_FORMAS'!$BL$2:$BL$11,MAX(1,$AE10))="area",OR($P10&lt;&gt;"",$Q10&lt;&gt;"",$R10&lt;&gt;"",$S10&lt;&gt;"",$T10&lt;&gt;"",$U10&lt;&gt;"",$V10&lt;&gt;"")),"alcance","")),IF($AE10&gt;0,INDEX('DADOS_FORMAS'!$BP$2:$BP$11,MAX(1,$AE10)),"area"))</f>
        <v/>
      </c>
      <c r="DF10">
        <f>IF(AND($AE10&gt;0,INDEX('DADOS_FORMAS'!$BP$2:$BP$11,MAX(1,$AE10))=""),IF(IF(AND(INDEX('DADOS_FORMAS'!$BL$2:$BL$11,MAX(1,$AE10))="alcance",OR($W10&lt;&gt;"",$X10&lt;&gt;"",$Y10&lt;&gt;"",$Z10&lt;&gt;"",$AA10&lt;&gt;"",$AB10&lt;&gt;"",$AC10&lt;&gt;"")),"area",IF(AND(INDEX('DADOS_FORMAS'!$BL$2:$BL$11,MAX(1,$AE10))="area",OR($P10&lt;&gt;"",$Q10&lt;&gt;"",$R10&lt;&gt;"",$S10&lt;&gt;"",$T10&lt;&gt;"",$U10&lt;&gt;"",$V10&lt;&gt;"")),"alcance",""))="alcance"," · alcance ",IF(IF(AND(INDEX('DADOS_FORMAS'!$BL$2:$BL$11,MAX(1,$AE10))="alcance",OR($W10&lt;&gt;"",$X10&lt;&gt;"",$Y10&lt;&gt;"",$Z10&lt;&gt;"",$AA10&lt;&gt;"",$AB10&lt;&gt;"",$AC10&lt;&gt;"")),"area",IF(AND(INDEX('DADOS_FORMAS'!$BL$2:$BL$11,MAX(1,$AE10))="area",OR($P10&lt;&gt;"",$Q10&lt;&gt;"",$R10&lt;&gt;"",$S10&lt;&gt;"",$T10&lt;&gt;"",$U10&lt;&gt;"",$V10&lt;&gt;"")),"alcance",""))="area"," · área ","")),IF($AE10&gt;0,INDEX('DADOS_FORMAS'!$BQ$2:$BQ$11,MAX(1,$AE10))," · área "))</f>
        <v/>
      </c>
      <c r="DG10">
        <f>IF(AND($AE10&gt;0,INDEX('DADOS_FORMAS'!$BP$2:$BP$11,MAX(1,$AE10))=""),"",IF($AE10&gt;0,INDEX('DADOS_FORMAS'!$BR$2:$BR$11,MAX(1,$AE10)),""))</f>
        <v/>
      </c>
      <c r="DH10">
        <f>IF(AND($AE10&gt;0,INDEX('DADOS_FORMAS'!$BP$2:$BP$11,MAX(1,$AE10))=""),IF(IF(AND(INDEX('DADOS_FORMAS'!$BL$2:$BL$11,MAX(1,$AE10))="alcance",OR($W10&lt;&gt;"",$X10&lt;&gt;"",$Y10&lt;&gt;"",$Z10&lt;&gt;"",$AA10&lt;&gt;"",$AB10&lt;&gt;"",$AC10&lt;&gt;"")),"area",IF(AND(INDEX('DADOS_FORMAS'!$BL$2:$BL$11,MAX(1,$AE10))="area",OR($P10&lt;&gt;"",$Q10&lt;&gt;"",$R10&lt;&gt;"",$S10&lt;&gt;"",$T10&lt;&gt;"",$U10&lt;&gt;"",$V10&lt;&gt;"")),"alcance",""))="",0,IF(IF(AND(INDEX('DADOS_FORMAS'!$BL$2:$BL$11,MAX(1,$AE10))="alcance",OR($W10&lt;&gt;"",$X10&lt;&gt;"",$Y10&lt;&gt;"",$Z10&lt;&gt;"",$AA10&lt;&gt;"",$AB10&lt;&gt;"",$AC10&lt;&gt;"")),"area",IF(AND(INDEX('DADOS_FORMAS'!$BL$2:$BL$11,MAX(1,$AE10))="area",OR($P10&lt;&gt;"",$Q10&lt;&gt;"",$R10&lt;&gt;"",$S10&lt;&gt;"",$T10&lt;&gt;"",$U10&lt;&gt;"",$V10&lt;&gt;"")),"alcance",""))="alcance",1,IF($O10="comprimento",3,2))),IF($AE10&gt;0,INDEX('DADOS_FORMAS'!$BS$2:$BS$11,MAX(1,$AE10)),IF($O10="comprimento",3,2)))</f>
        <v/>
      </c>
      <c r="DJ10">
        <f>IF(AND(ISTEXT($B10),$B10&lt;&gt;"",TRIM($B10)=$B10),"","NOME precisa ser texto sem espaços nas pontas")</f>
        <v/>
      </c>
      <c r="DK10">
        <f>IF(COUNTIF('DADOS_FORMAS'!$B$2:$B$11,SUBSTITUTE(SUBSTITUTE(SUBSTITUTE($B10,"~","~~"),"*","~*"),"?","~?"))+COUNTIF('DADOS_FORMAS'!$AH$2:$AH$11,SUBSTITUTE(SUBSTITUTE(SUBSTITUTE($B10,"~","~~"),"*","~*"),"?","~?"))=1,"","Nome repetido no livro ou custom")</f>
        <v/>
      </c>
      <c r="DL10">
        <f>IF($AE10&gt;=0,"","BASE DO LIVRO inválida para o grupo")</f>
        <v/>
      </c>
      <c r="DM10">
        <f>IF(OR($BV10="Forma"),"","TIPO inválido para o grupo")</f>
        <v/>
      </c>
      <c r="DN10">
        <f>IF(ISLOGICAL($BY10),"","MESTRE VIU precisa ser caixa de seleção")</f>
        <v/>
      </c>
      <c r="DO10">
        <f>IF(ISTEXT($CA10),"","EFEITO precisa ser texto")</f>
        <v/>
      </c>
      <c r="DP10">
        <f>IF(ISTEXT($BZ10),"","REQUISITOS precisa ser texto")</f>
        <v/>
      </c>
      <c r="DQ10">
        <f>IF(IFERROR(AND(ISNUMBER($CC10),NOT(ISLOGICAL($CC10)),$CC10=INT($CC10),$CC10&gt;=0,$CC10&lt;=3),FALSE),"","PESO exige 0/1/2/3")</f>
        <v/>
      </c>
      <c r="DR10">
        <f>IF(IFERROR(AND(ISNUMBER($CE10),NOT(ISLOGICAL($CE10)),$CE10=INT($CE10),$CE10&gt;=0,$CE10&lt;=3),FALSE),"","RESULTADO exige 0/1/2/3")</f>
        <v/>
      </c>
      <c r="DS10">
        <f>IF(ISLOGICAL($CF10),"","EXIGE_TR exige Sim/Não")</f>
        <v/>
      </c>
      <c r="DT10">
        <f>IF(ISLOGICAL($CG10),"","CLASSE_0 exige Sim/Não")</f>
        <v/>
      </c>
      <c r="DU10">
        <f>IF(OR($CD10="Acerto",$CD10="TR, metade",$CD10="Automático"),"","RESOLUÇÃO inválida")</f>
        <v/>
      </c>
      <c r="DV10">
        <f>IF(OR($CB10="",COUNTIF('DADOS_CRIACAO'!$H$2:$H$20,SUBSTITUTE(SUBSTITUTE(SUBSTITUTE($CB10,"~","~~"),"*","~*"),"?","~?"))&gt;0),"","FAMÍLIA não cadastrada ou inválida")</f>
        <v/>
      </c>
      <c r="DW10">
        <f>IF(OR($CH10="",IFERROR(MATCH(SUBSTITUTE(SUBSTITUTE(SUBSTITUTE($CH10,"~","~~"),"*","~*"),"?","~?"),INDEX('DADOS_RESTRICOES'!$M$2:$Q$54,0,1),0),0)&gt;0),"","RESTRIÇÃO EMBUTIDA inválida")</f>
        <v/>
      </c>
      <c r="DX10">
        <f>IF(OR($CI10="Fixo",$CI10="alcance"),"","ESCADA inválida para alcance")</f>
        <v/>
      </c>
      <c r="DY10">
        <f>IF(OR(NOT(AND($CG10,OR($DA10="alcance",$DE10="alcance"))),$CK10&lt;&gt;""),"","Base de alcance ausente: personagem/classe_0")</f>
        <v/>
      </c>
      <c r="DZ10">
        <f>IF(ISTEXT($CK10),"","Base precisa ser texto: alcance/personagem/classe_0")</f>
        <v/>
      </c>
      <c r="EA10">
        <f>IF(OR(NOT(AND($CG10,OR($DA10="alcance",$DE10="alcance"))),$CI10="Fixo",$CK10="",$CK10="—",AND(RIGHT($CK10,2)=" m",IFERROR(VALUE(SUBSTITUTE(LEFT($CK10,MAX(0,LEN($CK10)-2)),",",""))/10^IFERROR(LEN(LEFT($CK10,MAX(0,LEN($CK10)-2)))-FIND(",",LEFT($CK10,MAX(0,LEN($CK10)-2))),0),-1)&gt;0)),"","Base incompatível com escada: alcance/personagem/classe_0")</f>
        <v/>
      </c>
      <c r="EB10">
        <f>IF(OR(NOT(OR($DA10="alcance",$DE10="alcance")),$CL10&lt;&gt;""),"","Base de alcance ausente: personagem/classes_1_a_5")</f>
        <v/>
      </c>
      <c r="EC10">
        <f>IF(ISTEXT($CL10),"","Base precisa ser texto: alcance/personagem/classes_1_a_5")</f>
        <v/>
      </c>
      <c r="ED10">
        <f>IF(OR(NOT(OR($DA10="alcance",$DE10="alcance")),$CI10="Fixo",$CL10="",$CL10="—",AND(RIGHT($CL10,2)=" m",IFERROR(VALUE(SUBSTITUTE(LEFT($CL10,MAX(0,LEN($CL10)-2)),",",""))/10^IFERROR(LEN(LEFT($CL10,MAX(0,LEN($CL10)-2)))-FIND(",",LEFT($CL10,MAX(0,LEN($CL10)-2))),0),-1)&gt;0)),"","Base incompatível com escada: alcance/personagem/classes_1_a_5")</f>
        <v/>
      </c>
      <c r="EE10">
        <f>IF(OR(NOT(OR($DA10="alcance",$DE10="alcance")),$CM10&lt;&gt;""),"","Base de alcance ausente: personagem/classes_6_e_7")</f>
        <v/>
      </c>
      <c r="EF10">
        <f>IF(ISTEXT($CM10),"","Base precisa ser texto: alcance/personagem/classes_6_e_7")</f>
        <v/>
      </c>
      <c r="EG10">
        <f>IF(OR(NOT(OR($DA10="alcance",$DE10="alcance")),$CI10="Fixo",$CM10="",$CM10="—",AND(RIGHT($CM10,2)=" m",IFERROR(VALUE(SUBSTITUTE(LEFT($CM10,MAX(0,LEN($CM10)-2)),",",""))/10^IFERROR(LEN(LEFT($CM10,MAX(0,LEN($CM10)-2)))-FIND(",",LEFT($CM10,MAX(0,LEN($CM10)-2))),0),-1)&gt;0)),"","Base incompatível com escada: alcance/personagem/classes_6_e_7")</f>
        <v/>
      </c>
      <c r="EH10">
        <f>IF(OR(NOT(AND($CG10,OR($DA10="alcance",$DE10="alcance"))),$CN10&lt;&gt;""),"","Base de alcance ausente: entidade/classe_0")</f>
        <v/>
      </c>
      <c r="EI10">
        <f>IF(ISTEXT($CN10),"","Base precisa ser texto: alcance/entidade/classe_0")</f>
        <v/>
      </c>
      <c r="EJ10">
        <f>IF(OR(NOT(AND($CG10,OR($DA10="alcance",$DE10="alcance"))),$CI10="Fixo",$CN10="",$CN10="—",AND(RIGHT($CN10,2)=" m",IFERROR(VALUE(SUBSTITUTE(LEFT($CN10,MAX(0,LEN($CN10)-2)),",",""))/10^IFERROR(LEN(LEFT($CN10,MAX(0,LEN($CN10)-2)))-FIND(",",LEFT($CN10,MAX(0,LEN($CN10)-2))),0),-1)&gt;0)),"","Base incompatível com escada: alcance/entidade/classe_0")</f>
        <v/>
      </c>
      <c r="EK10">
        <f>IF(OR(NOT(OR($DA10="alcance",$DE10="alcance")),$CO10&lt;&gt;""),"","Base de alcance ausente: entidade/classes_1_a_5")</f>
        <v/>
      </c>
      <c r="EL10">
        <f>IF(ISTEXT($CO10),"","Base precisa ser texto: alcance/entidade/classes_1_a_5")</f>
        <v/>
      </c>
      <c r="EM10">
        <f>IF(OR(NOT(OR($DA10="alcance",$DE10="alcance")),$CI10="Fixo",$CO10="",$CO10="—",AND(RIGHT($CO10,2)=" m",IFERROR(VALUE(SUBSTITUTE(LEFT($CO10,MAX(0,LEN($CO10)-2)),",",""))/10^IFERROR(LEN(LEFT($CO10,MAX(0,LEN($CO10)-2)))-FIND(",",LEFT($CO10,MAX(0,LEN($CO10)-2))),0),-1)&gt;0)),"","Base incompatível com escada: alcance/entidade/classes_1_a_5")</f>
        <v/>
      </c>
      <c r="EN10">
        <f>IF(OR(NOT(OR($DA10="alcance",$DE10="alcance")),$CP10&lt;&gt;""),"","Base de alcance ausente: entidade/classe_6")</f>
        <v/>
      </c>
      <c r="EO10">
        <f>IF(ISTEXT($CP10),"","Base precisa ser texto: alcance/entidade/classe_6")</f>
        <v/>
      </c>
      <c r="EP10">
        <f>IF(OR(NOT(OR($DA10="alcance",$DE10="alcance")),$CI10="Fixo",$CP10="",$CP10="—",AND(RIGHT($CP10,2)=" m",IFERROR(VALUE(SUBSTITUTE(LEFT($CP10,MAX(0,LEN($CP10)-2)),",",""))/10^IFERROR(LEN(LEFT($CP10,MAX(0,LEN($CP10)-2)))-FIND(",",LEFT($CP10,MAX(0,LEN($CP10)-2))),0),-1)&gt;0)),"","Base incompatível com escada: alcance/entidade/classe_6")</f>
        <v/>
      </c>
      <c r="EQ10">
        <f>IF(OR(NOT(OR($DA10="alcance",$DE10="alcance")),$CQ10&lt;&gt;""),"","Base de alcance ausente: entidade/classe_7")</f>
        <v/>
      </c>
      <c r="ER10">
        <f>IF(ISTEXT($CQ10),"","Base precisa ser texto: alcance/entidade/classe_7")</f>
        <v/>
      </c>
      <c r="ES10">
        <f>IF(OR(NOT(OR($DA10="alcance",$DE10="alcance")),$CI10="Fixo",$CQ10="",$CQ10="—",AND(RIGHT($CQ10,2)=" m",IFERROR(VALUE(SUBSTITUTE(LEFT($CQ10,MAX(0,LEN($CQ10)-2)),",",""))/10^IFERROR(LEN(LEFT($CQ10,MAX(0,LEN($CQ10)-2)))-FIND(",",LEFT($CQ10,MAX(0,LEN($CQ10)-2))),0),-1)&gt;0)),"","Base incompatível com escada: alcance/entidade/classe_7")</f>
        <v/>
      </c>
      <c r="ET10">
        <f>IF(OR($CJ10="Fixo",$CJ10="raio",$CJ10="comprimento"),"","ESCADA inválida para area")</f>
        <v/>
      </c>
      <c r="EU10">
        <f>IF(ISTEXT($CR10),"","Base precisa ser texto: area/personagem/classe_0")</f>
        <v/>
      </c>
      <c r="EV10">
        <f>IF(OR(NOT(AND($CG10,OR($DA10="area",$DE10="area"))),$CJ10="Fixo",$CR10="",$CR10="—",AND(AND(AND(RIGHT($CR10,2)=" m",IFERROR(VALUE(SUBSTITUTE(LEFT($CR10,MAX(0,LEN($CR10)-2)),",",""))/10^IFERROR(LEN(LEFT($CR10,MAX(0,LEN($CR10)-2)))-FIND(",",LEFT($CR10,MAX(0,LEN($CR10)-2))),0),-1)&gt;0),OR($CJ10&lt;&gt;"raio",IFERROR(VALUE(SUBSTITUTE(LEFT($CR10,MAX(0,LEN($CR10)-2)),",",""))/10^IFERROR(LEN(LEFT($CR10,MAX(0,LEN($CR10)-2)))-FIND(",",LEFT($CR10,MAX(0,LEN($CR10)-2))),0),-1)&lt;=15.0)),OR($CJ10&lt;&gt;"comprimento",IFERROR(VALUE(SUBSTITUTE(LEFT($CR10,MAX(0,LEN($CR10)-2)),",",""))/10^IFERROR(LEN(LEFT($CR10,MAX(0,LEN($CR10)-2)))-FIND(",",LEFT($CR10,MAX(0,LEN($CR10)-2))),0),-1)&lt;=60.0))),"","Base incompatível com escada: area/personagem/classe_0")</f>
        <v/>
      </c>
      <c r="EW10">
        <f>IF(ISTEXT($CS10),"","Base precisa ser texto: area/personagem/classes_1_a_5")</f>
        <v/>
      </c>
      <c r="EX10">
        <f>IF(OR(NOT(OR($DA10="area",$DE10="area")),$CJ10="Fixo",$CS10="",$CS10="—",AND(AND(AND(RIGHT($CS10,2)=" m",IFERROR(VALUE(SUBSTITUTE(LEFT($CS10,MAX(0,LEN($CS10)-2)),",",""))/10^IFERROR(LEN(LEFT($CS10,MAX(0,LEN($CS10)-2)))-FIND(",",LEFT($CS10,MAX(0,LEN($CS10)-2))),0),-1)&gt;0),OR($CJ10&lt;&gt;"raio",IFERROR(VALUE(SUBSTITUTE(LEFT($CS10,MAX(0,LEN($CS10)-2)),",",""))/10^IFERROR(LEN(LEFT($CS10,MAX(0,LEN($CS10)-2)))-FIND(",",LEFT($CS10,MAX(0,LEN($CS10)-2))),0),-1)&lt;=15.0)),OR($CJ10&lt;&gt;"comprimento",IFERROR(VALUE(SUBSTITUTE(LEFT($CS10,MAX(0,LEN($CS10)-2)),",",""))/10^IFERROR(LEN(LEFT($CS10,MAX(0,LEN($CS10)-2)))-FIND(",",LEFT($CS10,MAX(0,LEN($CS10)-2))),0),-1)&lt;=60.0))),"","Base incompatível com escada: area/personagem/classes_1_a_5")</f>
        <v/>
      </c>
      <c r="EY10">
        <f>IF(ISTEXT($CT10),"","Base precisa ser texto: area/personagem/classes_6_e_7")</f>
        <v/>
      </c>
      <c r="EZ10">
        <f>IF(OR(NOT(OR($DA10="area",$DE10="area")),$CJ10="Fixo",$CT10="",$CT10="—",AND(AND(AND(RIGHT($CT10,2)=" m",IFERROR(VALUE(SUBSTITUTE(LEFT($CT10,MAX(0,LEN($CT10)-2)),",",""))/10^IFERROR(LEN(LEFT($CT10,MAX(0,LEN($CT10)-2)))-FIND(",",LEFT($CT10,MAX(0,LEN($CT10)-2))),0),-1)&gt;0),OR($CJ10&lt;&gt;"raio",IFERROR(VALUE(SUBSTITUTE(LEFT($CT10,MAX(0,LEN($CT10)-2)),",",""))/10^IFERROR(LEN(LEFT($CT10,MAX(0,LEN($CT10)-2)))-FIND(",",LEFT($CT10,MAX(0,LEN($CT10)-2))),0),-1)&lt;=15.0)),OR($CJ10&lt;&gt;"comprimento",IFERROR(VALUE(SUBSTITUTE(LEFT($CT10,MAX(0,LEN($CT10)-2)),",",""))/10^IFERROR(LEN(LEFT($CT10,MAX(0,LEN($CT10)-2)))-FIND(",",LEFT($CT10,MAX(0,LEN($CT10)-2))),0),-1)&lt;=60.0))),"","Base incompatível com escada: area/personagem/classes_6_e_7")</f>
        <v/>
      </c>
      <c r="FA10">
        <f>IF(ISTEXT($CU10),"","Base precisa ser texto: area/entidade/classe_0")</f>
        <v/>
      </c>
      <c r="FB10">
        <f>IF(OR(NOT(AND($CG10,OR($DA10="area",$DE10="area"))),$CJ10="Fixo",$CU10="",$CU10="—",AND(AND(AND(RIGHT($CU10,2)=" m",IFERROR(VALUE(SUBSTITUTE(LEFT($CU10,MAX(0,LEN($CU10)-2)),",",""))/10^IFERROR(LEN(LEFT($CU10,MAX(0,LEN($CU10)-2)))-FIND(",",LEFT($CU10,MAX(0,LEN($CU10)-2))),0),-1)&gt;0),OR($CJ10&lt;&gt;"raio",IFERROR(VALUE(SUBSTITUTE(LEFT($CU10,MAX(0,LEN($CU10)-2)),",",""))/10^IFERROR(LEN(LEFT($CU10,MAX(0,LEN($CU10)-2)))-FIND(",",LEFT($CU10,MAX(0,LEN($CU10)-2))),0),-1)&lt;=15.0)),OR($CJ10&lt;&gt;"comprimento",IFERROR(VALUE(SUBSTITUTE(LEFT($CU10,MAX(0,LEN($CU10)-2)),",",""))/10^IFERROR(LEN(LEFT($CU10,MAX(0,LEN($CU10)-2)))-FIND(",",LEFT($CU10,MAX(0,LEN($CU10)-2))),0),-1)&lt;=60.0))),"","Base incompatível com escada: area/entidade/classe_0")</f>
        <v/>
      </c>
      <c r="FC10">
        <f>IF(ISTEXT($CV10),"","Base precisa ser texto: area/entidade/classes_1_a_5")</f>
        <v/>
      </c>
      <c r="FD10">
        <f>IF(OR(NOT(OR($DA10="area",$DE10="area")),$CJ10="Fixo",$CV10="",$CV10="—",AND(AND(AND(RIGHT($CV10,2)=" m",IFERROR(VALUE(SUBSTITUTE(LEFT($CV10,MAX(0,LEN($CV10)-2)),",",""))/10^IFERROR(LEN(LEFT($CV10,MAX(0,LEN($CV10)-2)))-FIND(",",LEFT($CV10,MAX(0,LEN($CV10)-2))),0),-1)&gt;0),OR($CJ10&lt;&gt;"raio",IFERROR(VALUE(SUBSTITUTE(LEFT($CV10,MAX(0,LEN($CV10)-2)),",",""))/10^IFERROR(LEN(LEFT($CV10,MAX(0,LEN($CV10)-2)))-FIND(",",LEFT($CV10,MAX(0,LEN($CV10)-2))),0),-1)&lt;=15.0)),OR($CJ10&lt;&gt;"comprimento",IFERROR(VALUE(SUBSTITUTE(LEFT($CV10,MAX(0,LEN($CV10)-2)),",",""))/10^IFERROR(LEN(LEFT($CV10,MAX(0,LEN($CV10)-2)))-FIND(",",LEFT($CV10,MAX(0,LEN($CV10)-2))),0),-1)&lt;=60.0))),"","Base incompatível com escada: area/entidade/classes_1_a_5")</f>
        <v/>
      </c>
      <c r="FE10">
        <f>IF(ISTEXT($CW10),"","Base precisa ser texto: area/entidade/classe_6")</f>
        <v/>
      </c>
      <c r="FF10">
        <f>IF(OR(NOT(OR($DA10="area",$DE10="area")),$CJ10="Fixo",$CW10="",$CW10="—",AND(AND(AND(RIGHT($CW10,2)=" m",IFERROR(VALUE(SUBSTITUTE(LEFT($CW10,MAX(0,LEN($CW10)-2)),",",""))/10^IFERROR(LEN(LEFT($CW10,MAX(0,LEN($CW10)-2)))-FIND(",",LEFT($CW10,MAX(0,LEN($CW10)-2))),0),-1)&gt;0),OR($CJ10&lt;&gt;"raio",IFERROR(VALUE(SUBSTITUTE(LEFT($CW10,MAX(0,LEN($CW10)-2)),",",""))/10^IFERROR(LEN(LEFT($CW10,MAX(0,LEN($CW10)-2)))-FIND(",",LEFT($CW10,MAX(0,LEN($CW10)-2))),0),-1)&lt;=15.0)),OR($CJ10&lt;&gt;"comprimento",IFERROR(VALUE(SUBSTITUTE(LEFT($CW10,MAX(0,LEN($CW10)-2)),",",""))/10^IFERROR(LEN(LEFT($CW10,MAX(0,LEN($CW10)-2)))-FIND(",",LEFT($CW10,MAX(0,LEN($CW10)-2))),0),-1)&lt;=60.0))),"","Base incompatível com escada: area/entidade/classe_6")</f>
        <v/>
      </c>
      <c r="FG10">
        <f>IF(ISTEXT($CX10),"","Base precisa ser texto: area/entidade/classe_7")</f>
        <v/>
      </c>
      <c r="FH10">
        <f>IF(OR(NOT(OR($DA10="area",$DE10="area")),$CJ10="Fixo",$CX10="",$CX10="—",AND(AND(AND(RIGHT($CX10,2)=" m",IFERROR(VALUE(SUBSTITUTE(LEFT($CX10,MAX(0,LEN($CX10)-2)),",",""))/10^IFERROR(LEN(LEFT($CX10,MAX(0,LEN($CX10)-2)))-FIND(",",LEFT($CX10,MAX(0,LEN($CX10)-2))),0),-1)&gt;0),OR($CJ10&lt;&gt;"raio",IFERROR(VALUE(SUBSTITUTE(LEFT($CX10,MAX(0,LEN($CX10)-2)),",",""))/10^IFERROR(LEN(LEFT($CX10,MAX(0,LEN($CX10)-2)))-FIND(",",LEFT($CX10,MAX(0,LEN($CX10)-2))),0),-1)&lt;=15.0)),OR($CJ10&lt;&gt;"comprimento",IFERROR(VALUE(SUBSTITUTE(LEFT($CX10,MAX(0,LEN($CX10)-2)),",",""))/10^IFERROR(LEN(LEFT($CX10,MAX(0,LEN($CX10)-2)))-FIND(",",LEFT($CX10,MAX(0,LEN($CX10)-2))),0),-1)&lt;=60.0))),"","Base incompatível com escada: area/entidade/classe_7")</f>
        <v/>
      </c>
      <c r="FJ10">
        <f>'DADOS_FORMAS'!$AH10</f>
        <v/>
      </c>
      <c r="FK10">
        <f>'DADOS_FORMAS'!$AM10</f>
        <v/>
      </c>
      <c r="FL10">
        <f>'DADOS_FORMAS'!$AN10</f>
        <v/>
      </c>
      <c r="FM10">
        <f>IF('DADOS_FORMAS'!$AN10=0,0,'DADOS_FORMAS'!$AN10+3*IFERROR(VLOOKUP(SUBSTITUTE(SUBSTITUTE(SUBSTITUTE('DADOS_FORMAS'!$AM10,"~","~~"),"*","~*"),"?","~?"),'DADOS_CRIACAO'!$H$2:$K$20,3,FALSE),0))</f>
        <v/>
      </c>
      <c r="FN10">
        <f>IFERROR(VLOOKUP(SUBSTITUTE(SUBSTITUTE(SUBSTITUTE('DADOS_FORMAS'!$AM10,"~","~~"),"*","~*"),"?","~?"),'DADOS_CRIACAO'!$H$2:$K$20,4,FALSE),0)</f>
        <v/>
      </c>
      <c r="FO10">
        <f>IF('DADOS_FORMAS'!$AS10="",0,1)</f>
        <v/>
      </c>
      <c r="FP10">
        <f>'DADOS_FORMAS'!$AP10</f>
        <v/>
      </c>
      <c r="FQ10">
        <f>IF(AND('DADOS_FORMAS'!$AO10="Acerto",'DADOS_FORMAS'!$AQ10),"Acerto + TR",'DADOS_FORMAS'!$AO10)</f>
        <v/>
      </c>
      <c r="FR10">
        <f>N(OR('DADOS_FORMAS'!$AQ10,'DADOS_FORMAS'!$AO10="TR, metade"))</f>
        <v/>
      </c>
      <c r="FS10">
        <f>'DADOS_FORMAS'!$BO10</f>
        <v/>
      </c>
      <c r="FT10">
        <f>'DADOS_FORMAS'!$BS10</f>
        <v/>
      </c>
      <c r="FU10">
        <f>'DADOS_FORMAS'!$BK10</f>
        <v/>
      </c>
      <c r="FV10">
        <f>N('DADOS_FORMAS'!$AR10)</f>
        <v/>
      </c>
      <c r="FW10">
        <f>IF(IFERROR(VLOOKUP(SUBSTITUTE(SUBSTITUTE(SUBSTITUTE('DADOS_FORMAS'!$AM10,"~","~~"),"*","~*"),"?","~?"),'DADOS_CRIACAO'!$H$2:$K$20,4,FALSE),0)=1,"",'DADOS_FORMAS'!$AH10)</f>
        <v/>
      </c>
      <c r="FX10">
        <f>IF(AND('DADOS_FORMAS'!$AR10,IFERROR(VLOOKUP(SUBSTITUTE(SUBSTITUTE(SUBSTITUTE('DADOS_FORMAS'!$AM10,"~","~~"),"*","~*"),"?","~?"),'DADOS_CRIACAO'!$H$2:$K$20,4,FALSE),0)=0),'DADOS_FORMAS'!$AH10,"")</f>
        <v/>
      </c>
      <c r="FZ10">
        <f>'DADOS_FORMAS'!$AH10</f>
        <v/>
      </c>
      <c r="GA10">
        <f>'DADOS_FORMAS'!$AM10</f>
        <v/>
      </c>
      <c r="GB10">
        <f>'DADOS_FORMAS'!$AN10</f>
        <v/>
      </c>
      <c r="GC10">
        <f>IF('DADOS_FORMAS'!$AS10="",0,1)</f>
        <v/>
      </c>
      <c r="GD10">
        <f>'DADOS_FORMAS'!$AP10</f>
        <v/>
      </c>
      <c r="GE10">
        <f>IF('DADOS_FORMAS'!$AO10="Acerto","Ataque",IF('DADOS_FORMAS'!$AQ10,"TR","—"))</f>
        <v/>
      </c>
      <c r="GF10">
        <f>N(OR('DADOS_FORMAS'!$AQ10,'DADOS_FORMAS'!$AO10="TR, metade"))</f>
        <v/>
      </c>
      <c r="GG10">
        <f>'DADOS_FORMAS'!$BO10</f>
        <v/>
      </c>
      <c r="GH10">
        <f>'DADOS_FORMAS'!$BS10</f>
        <v/>
      </c>
      <c r="GI10">
        <f>'DADOS_FORMAS'!$BK10</f>
        <v/>
      </c>
      <c r="GJ10">
        <f>N('DADOS_FORMAS'!$AR10)</f>
        <v/>
      </c>
      <c r="GR10">
        <f>'DADOS_FORMAS'!$BL13</f>
        <v/>
      </c>
      <c r="GS10">
        <f>IF('DADOS_FORMAS'!$BL13="area",'DADOS_FORMAS'!$AU13,'DADOS_FORMAS'!$AT13)</f>
        <v/>
      </c>
      <c r="GT10">
        <f>IF('DADOS_FORMAS'!$BL13="area",'DADOS_FORMAS'!$BD13,'DADOS_FORMAS'!$AW13)</f>
        <v/>
      </c>
      <c r="GU10">
        <f>'DADOS_FORMAS'!$BM13</f>
        <v/>
      </c>
      <c r="GV10">
        <f>'DADOS_FORMAS'!$BN13</f>
        <v/>
      </c>
      <c r="GW10">
        <f>LET(base,'DADOS_FORMAS'!$GT10,escada,'DADOS_FORMAS'!$GS10,medida,LEFT(base,MAX(0,LEN(base)-2)),valor,IFERROR(VALUE(SUBSTITUTE(medida,",",""))/10^IFERROR(LEN(medida)-FIND(",",medida),0),1E99),IF(OR(escada="Fixo",base="—"),base,IF(escada="alcance",IFERROR(MATCH(base,{"1,5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0" t="inlineStr">
        <is>
          <t>Explosão · classes 6 e 7</t>
        </is>
      </c>
      <c r="GZ10" t="inlineStr">
        <is>
          <t>Raio 4,5 m</t>
        </is>
      </c>
      <c r="HA10" t="inlineStr">
        <is>
          <t>Raio 6 m</t>
        </is>
      </c>
      <c r="HB10" t="inlineStr">
        <is>
          <t>Raio 9 m</t>
        </is>
      </c>
      <c r="HC10" t="inlineStr">
        <is>
          <t>Raio 15 m</t>
        </is>
      </c>
      <c r="HD10" t="inlineStr">
        <is>
          <t>Raio 15 m</t>
        </is>
      </c>
      <c r="HE10" t="inlineStr">
        <is>
          <t>Raio 15 m</t>
        </is>
      </c>
      <c r="HF10" t="inlineStr">
        <is>
          <t>, a 36 m</t>
        </is>
      </c>
      <c r="HG10" t="inlineStr">
        <is>
          <t>, a 90 m</t>
        </is>
      </c>
      <c r="HH10" t="inlineStr">
        <is>
          <t>, a visão a olho nu</t>
        </is>
      </c>
      <c r="HI10" t="inlineStr">
        <is>
          <t>, a visão a olho nu</t>
        </is>
      </c>
      <c r="HJ10" t="inlineStr">
        <is>
          <t>, a visão a olho nu</t>
        </is>
      </c>
      <c r="HK10" t="inlineStr">
        <is>
          <t>, a visão a olho nu</t>
        </is>
      </c>
      <c r="HM10">
        <f>'DADOS_FORMAS'!$BL13</f>
        <v/>
      </c>
      <c r="HN10">
        <f>IF('DADOS_FORMAS'!$BL13="area",'DADOS_FORMAS'!$AU13,'DADOS_FORMAS'!$AT13)</f>
        <v/>
      </c>
      <c r="HO10">
        <f>IF('DADOS_FORMAS'!$BL13="area",'DADOS_FORMAS'!$BF13,'DADOS_FORMAS'!$AY13)</f>
        <v/>
      </c>
      <c r="HP10">
        <f>'DADOS_FORMAS'!$BM13</f>
        <v/>
      </c>
      <c r="HQ10">
        <f>'DADOS_FORMAS'!$BN13</f>
        <v/>
      </c>
      <c r="HR10">
        <f>LET(base,'DADOS_FORMAS'!$HO10,escada,'DADOS_FORMAS'!$HN10,medida,LEFT(base,MAX(0,LEN(base)-2)),valor,IFERROR(VALUE(SUBSTITUTE(medida,",",""))/10^IFERROR(LEN(medida)-FIND(",",medida),0),1E99),IF(OR(escada="Fixo",base="—"),base,IF(escada="alcance",IFERROR(MATCH(base,{"1,5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0" t="inlineStr">
        <is>
          <t>Explosão · classe 0</t>
        </is>
      </c>
      <c r="HU10" t="inlineStr">
        <is>
          <t>Raio 3 m</t>
        </is>
      </c>
      <c r="HV10" t="inlineStr">
        <is>
          <t>Raio 4,5 m</t>
        </is>
      </c>
      <c r="HW10" t="inlineStr">
        <is>
          <t>Raio 6 m</t>
        </is>
      </c>
      <c r="HX10" t="inlineStr">
        <is>
          <t>Raio 9 m</t>
        </is>
      </c>
      <c r="HY10" t="inlineStr">
        <is>
          <t>Raio 15 m</t>
        </is>
      </c>
      <c r="HZ10" t="inlineStr">
        <is>
          <t>Raio 15 m</t>
        </is>
      </c>
      <c r="IA10" t="inlineStr">
        <is>
          <t>, a 9 m</t>
        </is>
      </c>
      <c r="IB10" t="inlineStr">
        <is>
          <t>, a 18 m</t>
        </is>
      </c>
      <c r="IC10" t="inlineStr">
        <is>
          <t>, a 36 m</t>
        </is>
      </c>
      <c r="ID10" t="inlineStr">
        <is>
          <t>, a 90 m</t>
        </is>
      </c>
      <c r="IE10" t="inlineStr">
        <is>
          <t>, a visão a olho nu</t>
        </is>
      </c>
      <c r="IF10" t="inlineStr">
        <is>
          <t>, a visão a olho nu</t>
        </is>
      </c>
      <c r="IH10">
        <f>IF(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H10,"")</f>
        <v/>
      </c>
      <c r="II10">
        <f>IF(AND(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R10),'DADOS_FORMAS'!$AH10,"")</f>
        <v/>
      </c>
      <c r="IK10">
        <f>IF(OR('DADOS_FORMAS'!$AM10='INVOCAÇÕES'!$O$246,'DADOS_FORMAS'!$AM10='INVOCAÇÕES'!$P$246,'DADOS_FORMAS'!$AM10='INVOCAÇÕES'!$Q$246,'DADOS_FORMAS'!$AM10='INVOCAÇÕES'!$R$246,'DADOS_FORMAS'!$AM10='INVOCAÇÕES'!$S$246,'DADOS_FORMAS'!$AM10='INVOCAÇÕES'!$O$248,'DADOS_FORMAS'!$AM10='INVOCAÇÕES'!$P$248,'DADOS_FORMAS'!$AM10='INVOCAÇÕES'!$Q$248,'DADOS_FORMAS'!$AM10='INVOCAÇÕES'!$R$248,'DADOS_FORMAS'!$AM10=""),'DADOS_FORMAS'!$AH10,"")</f>
        <v/>
      </c>
      <c r="IL10">
        <f>IF(AND(OR('DADOS_FORMAS'!$AM10='INVOCAÇÕES'!$O$246,'DADOS_FORMAS'!$AM10='INVOCAÇÕES'!$P$246,'DADOS_FORMAS'!$AM10='INVOCAÇÕES'!$Q$246,'DADOS_FORMAS'!$AM10='INVOCAÇÕES'!$R$246,'DADOS_FORMAS'!$AM10='INVOCAÇÕES'!$S$246,'DADOS_FORMAS'!$AM10='INVOCAÇÕES'!$O$248,'DADOS_FORMAS'!$AM10='INVOCAÇÕES'!$P$248,'DADOS_FORMAS'!$AM10='INVOCAÇÕES'!$Q$248,'DADOS_FORMAS'!$AM10='INVOCAÇÕES'!$R$248,'DADOS_FORMAS'!$AM10=""),'DADOS_FORMAS'!$AR10),'DADOS_FORMAS'!$AH10,"")</f>
        <v/>
      </c>
      <c r="IN10">
        <f>IF(OR('DADOS_FORMAS'!$AM10='INVOCAÇÕES'!$O$444,'DADOS_FORMAS'!$AM10='INVOCAÇÕES'!$P$444,'DADOS_FORMAS'!$AM10='INVOCAÇÕES'!$Q$444,'DADOS_FORMAS'!$AM10='INVOCAÇÕES'!$R$444,'DADOS_FORMAS'!$AM10='INVOCAÇÕES'!$S$444,'DADOS_FORMAS'!$AM10='INVOCAÇÕES'!$O$446,'DADOS_FORMAS'!$AM10='INVOCAÇÕES'!$P$446,'DADOS_FORMAS'!$AM10='INVOCAÇÕES'!$Q$446,'DADOS_FORMAS'!$AM10='INVOCAÇÕES'!$R$446,'DADOS_FORMAS'!$AM10=""),'DADOS_FORMAS'!$AH10,"")</f>
        <v/>
      </c>
      <c r="IO10">
        <f>IF(AND(OR('DADOS_FORMAS'!$AM10='INVOCAÇÕES'!$O$444,'DADOS_FORMAS'!$AM10='INVOCAÇÕES'!$P$444,'DADOS_FORMAS'!$AM10='INVOCAÇÕES'!$Q$444,'DADOS_FORMAS'!$AM10='INVOCAÇÕES'!$R$444,'DADOS_FORMAS'!$AM10='INVOCAÇÕES'!$S$444,'DADOS_FORMAS'!$AM10='INVOCAÇÕES'!$O$446,'DADOS_FORMAS'!$AM10='INVOCAÇÕES'!$P$446,'DADOS_FORMAS'!$AM10='INVOCAÇÕES'!$Q$446,'DADOS_FORMAS'!$AM10='INVOCAÇÕES'!$R$446,'DADOS_FORMAS'!$AM10=""),'DADOS_FORMAS'!$AR10),'DADOS_FORMAS'!$AH10,"")</f>
        <v/>
      </c>
      <c r="IQ10">
        <f>IF(OR('DADOS_FORMAS'!$AM10='INVOCAÇÕES'!$O$642,'DADOS_FORMAS'!$AM10='INVOCAÇÕES'!$P$642,'DADOS_FORMAS'!$AM10='INVOCAÇÕES'!$Q$642,'DADOS_FORMAS'!$AM10='INVOCAÇÕES'!$R$642,'DADOS_FORMAS'!$AM10='INVOCAÇÕES'!$S$642,'DADOS_FORMAS'!$AM10='INVOCAÇÕES'!$O$644,'DADOS_FORMAS'!$AM10='INVOCAÇÕES'!$P$644,'DADOS_FORMAS'!$AM10='INVOCAÇÕES'!$Q$644,'DADOS_FORMAS'!$AM10='INVOCAÇÕES'!$R$644,'DADOS_FORMAS'!$AM10=""),'DADOS_FORMAS'!$AH10,"")</f>
        <v/>
      </c>
      <c r="IR10">
        <f>IF(AND(OR('DADOS_FORMAS'!$AM10='INVOCAÇÕES'!$O$642,'DADOS_FORMAS'!$AM10='INVOCAÇÕES'!$P$642,'DADOS_FORMAS'!$AM10='INVOCAÇÕES'!$Q$642,'DADOS_FORMAS'!$AM10='INVOCAÇÕES'!$R$642,'DADOS_FORMAS'!$AM10='INVOCAÇÕES'!$S$642,'DADOS_FORMAS'!$AM10='INVOCAÇÕES'!$O$644,'DADOS_FORMAS'!$AM10='INVOCAÇÕES'!$P$644,'DADOS_FORMAS'!$AM10='INVOCAÇÕES'!$Q$644,'DADOS_FORMAS'!$AM10='INVOCAÇÕES'!$R$644,'DADOS_FORMAS'!$AM10=""),'DADOS_FORMAS'!$AR10),'DADOS_FORMAS'!$AH10,"")</f>
        <v/>
      </c>
      <c r="IT10">
        <f>IF(OR('DADOS_FORMAS'!$AM10='INVOCAÇÕES'!$O$840,'DADOS_FORMAS'!$AM10='INVOCAÇÕES'!$P$840,'DADOS_FORMAS'!$AM10='INVOCAÇÕES'!$Q$840,'DADOS_FORMAS'!$AM10='INVOCAÇÕES'!$R$840,'DADOS_FORMAS'!$AM10='INVOCAÇÕES'!$S$840,'DADOS_FORMAS'!$AM10='INVOCAÇÕES'!$O$842,'DADOS_FORMAS'!$AM10='INVOCAÇÕES'!$P$842,'DADOS_FORMAS'!$AM10='INVOCAÇÕES'!$Q$842,'DADOS_FORMAS'!$AM10='INVOCAÇÕES'!$R$842,'DADOS_FORMAS'!$AM10=""),'DADOS_FORMAS'!$AH10,"")</f>
        <v/>
      </c>
      <c r="IU10">
        <f>IF(AND(OR('DADOS_FORMAS'!$AM10='INVOCAÇÕES'!$O$840,'DADOS_FORMAS'!$AM10='INVOCAÇÕES'!$P$840,'DADOS_FORMAS'!$AM10='INVOCAÇÕES'!$Q$840,'DADOS_FORMAS'!$AM10='INVOCAÇÕES'!$R$840,'DADOS_FORMAS'!$AM10='INVOCAÇÕES'!$S$840,'DADOS_FORMAS'!$AM10='INVOCAÇÕES'!$O$842,'DADOS_FORMAS'!$AM10='INVOCAÇÕES'!$P$842,'DADOS_FORMAS'!$AM10='INVOCAÇÕES'!$Q$842,'DADOS_FORMAS'!$AM10='INVOCAÇÕES'!$R$842,'DADOS_FORMAS'!$AM10=""),'DADOS_FORMAS'!$AR10),'DADOS_FORMAS'!$AH10,"")</f>
        <v/>
      </c>
      <c r="IW10">
        <f>IF(OR('DADOS_FORMAS'!$AM10='INVOCAÇÕES'!$O$1038,'DADOS_FORMAS'!$AM10='INVOCAÇÕES'!$P$1038,'DADOS_FORMAS'!$AM10='INVOCAÇÕES'!$Q$1038,'DADOS_FORMAS'!$AM10='INVOCAÇÕES'!$R$1038,'DADOS_FORMAS'!$AM10='INVOCAÇÕES'!$S$1038,'DADOS_FORMAS'!$AM10='INVOCAÇÕES'!$O$1040,'DADOS_FORMAS'!$AM10='INVOCAÇÕES'!$P$1040,'DADOS_FORMAS'!$AM10='INVOCAÇÕES'!$Q$1040,'DADOS_FORMAS'!$AM10='INVOCAÇÕES'!$R$1040,'DADOS_FORMAS'!$AM10=""),'DADOS_FORMAS'!$AH10,"")</f>
        <v/>
      </c>
      <c r="IX10">
        <f>IF(AND(OR('DADOS_FORMAS'!$AM10='INVOCAÇÕES'!$O$1038,'DADOS_FORMAS'!$AM10='INVOCAÇÕES'!$P$1038,'DADOS_FORMAS'!$AM10='INVOCAÇÕES'!$Q$1038,'DADOS_FORMAS'!$AM10='INVOCAÇÕES'!$R$1038,'DADOS_FORMAS'!$AM10='INVOCAÇÕES'!$S$1038,'DADOS_FORMAS'!$AM10='INVOCAÇÕES'!$O$1040,'DADOS_FORMAS'!$AM10='INVOCAÇÕES'!$P$1040,'DADOS_FORMAS'!$AM10='INVOCAÇÕES'!$Q$1040,'DADOS_FORMAS'!$AM10='INVOCAÇÕES'!$R$1040,'DADOS_FORMAS'!$AM10=""),'DADOS_FORMAS'!$AR10),'DADOS_FORMAS'!$AH10,"")</f>
        <v/>
      </c>
      <c r="IZ10">
        <f>IF(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H10,"")</f>
        <v/>
      </c>
      <c r="JA10">
        <f>IF(AND(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R10),'DADOS_FORMAS'!$AH10,"")</f>
        <v/>
      </c>
      <c r="JC10">
        <f>IF(OR('DADOS_FORMAS'!$AM10='INVOCAÇÕES'!$AH$246,'DADOS_FORMAS'!$AM10='INVOCAÇÕES'!$AI$246,'DADOS_FORMAS'!$AM10='INVOCAÇÕES'!$AJ$246,'DADOS_FORMAS'!$AM10='INVOCAÇÕES'!$AK$246,'DADOS_FORMAS'!$AM10='INVOCAÇÕES'!$AL$246,'DADOS_FORMAS'!$AM10='INVOCAÇÕES'!$AH$248,'DADOS_FORMAS'!$AM10='INVOCAÇÕES'!$AI$248,'DADOS_FORMAS'!$AM10='INVOCAÇÕES'!$AJ$248,'DADOS_FORMAS'!$AM10='INVOCAÇÕES'!$AK$248,'DADOS_FORMAS'!$AM10=""),'DADOS_FORMAS'!$AH10,"")</f>
        <v/>
      </c>
      <c r="JD10">
        <f>IF(AND(OR('DADOS_FORMAS'!$AM10='INVOCAÇÕES'!$AH$246,'DADOS_FORMAS'!$AM10='INVOCAÇÕES'!$AI$246,'DADOS_FORMAS'!$AM10='INVOCAÇÕES'!$AJ$246,'DADOS_FORMAS'!$AM10='INVOCAÇÕES'!$AK$246,'DADOS_FORMAS'!$AM10='INVOCAÇÕES'!$AL$246,'DADOS_FORMAS'!$AM10='INVOCAÇÕES'!$AH$248,'DADOS_FORMAS'!$AM10='INVOCAÇÕES'!$AI$248,'DADOS_FORMAS'!$AM10='INVOCAÇÕES'!$AJ$248,'DADOS_FORMAS'!$AM10='INVOCAÇÕES'!$AK$248,'DADOS_FORMAS'!$AM10=""),'DADOS_FORMAS'!$AR10),'DADOS_FORMAS'!$AH10,"")</f>
        <v/>
      </c>
      <c r="JF10">
        <f>IF(OR('DADOS_FORMAS'!$AM10='INVOCAÇÕES'!$AH$444,'DADOS_FORMAS'!$AM10='INVOCAÇÕES'!$AI$444,'DADOS_FORMAS'!$AM10='INVOCAÇÕES'!$AJ$444,'DADOS_FORMAS'!$AM10='INVOCAÇÕES'!$AK$444,'DADOS_FORMAS'!$AM10='INVOCAÇÕES'!$AL$444,'DADOS_FORMAS'!$AM10='INVOCAÇÕES'!$AH$446,'DADOS_FORMAS'!$AM10='INVOCAÇÕES'!$AI$446,'DADOS_FORMAS'!$AM10='INVOCAÇÕES'!$AJ$446,'DADOS_FORMAS'!$AM10='INVOCAÇÕES'!$AK$446,'DADOS_FORMAS'!$AM10=""),'DADOS_FORMAS'!$AH10,"")</f>
        <v/>
      </c>
      <c r="JG10">
        <f>IF(AND(OR('DADOS_FORMAS'!$AM10='INVOCAÇÕES'!$AH$444,'DADOS_FORMAS'!$AM10='INVOCAÇÕES'!$AI$444,'DADOS_FORMAS'!$AM10='INVOCAÇÕES'!$AJ$444,'DADOS_FORMAS'!$AM10='INVOCAÇÕES'!$AK$444,'DADOS_FORMAS'!$AM10='INVOCAÇÕES'!$AL$444,'DADOS_FORMAS'!$AM10='INVOCAÇÕES'!$AH$446,'DADOS_FORMAS'!$AM10='INVOCAÇÕES'!$AI$446,'DADOS_FORMAS'!$AM10='INVOCAÇÕES'!$AJ$446,'DADOS_FORMAS'!$AM10='INVOCAÇÕES'!$AK$446,'DADOS_FORMAS'!$AM10=""),'DADOS_FORMAS'!$AR10),'DADOS_FORMAS'!$AH10,"")</f>
        <v/>
      </c>
      <c r="JI10">
        <f>IF(OR('DADOS_FORMAS'!$AM10='INVOCAÇÕES'!$AH$642,'DADOS_FORMAS'!$AM10='INVOCAÇÕES'!$AI$642,'DADOS_FORMAS'!$AM10='INVOCAÇÕES'!$AJ$642,'DADOS_FORMAS'!$AM10='INVOCAÇÕES'!$AK$642,'DADOS_FORMAS'!$AM10='INVOCAÇÕES'!$AL$642,'DADOS_FORMAS'!$AM10='INVOCAÇÕES'!$AH$644,'DADOS_FORMAS'!$AM10='INVOCAÇÕES'!$AI$644,'DADOS_FORMAS'!$AM10='INVOCAÇÕES'!$AJ$644,'DADOS_FORMAS'!$AM10='INVOCAÇÕES'!$AK$644,'DADOS_FORMAS'!$AM10=""),'DADOS_FORMAS'!$AH10,"")</f>
        <v/>
      </c>
      <c r="JJ10">
        <f>IF(AND(OR('DADOS_FORMAS'!$AM10='INVOCAÇÕES'!$AH$642,'DADOS_FORMAS'!$AM10='INVOCAÇÕES'!$AI$642,'DADOS_FORMAS'!$AM10='INVOCAÇÕES'!$AJ$642,'DADOS_FORMAS'!$AM10='INVOCAÇÕES'!$AK$642,'DADOS_FORMAS'!$AM10='INVOCAÇÕES'!$AL$642,'DADOS_FORMAS'!$AM10='INVOCAÇÕES'!$AH$644,'DADOS_FORMAS'!$AM10='INVOCAÇÕES'!$AI$644,'DADOS_FORMAS'!$AM10='INVOCAÇÕES'!$AJ$644,'DADOS_FORMAS'!$AM10='INVOCAÇÕES'!$AK$644,'DADOS_FORMAS'!$AM10=""),'DADOS_FORMAS'!$AR10),'DADOS_FORMAS'!$AH10,"")</f>
        <v/>
      </c>
      <c r="JL10">
        <f>IF(OR('DADOS_FORMAS'!$AM10='INVOCAÇÕES'!$AH$840,'DADOS_FORMAS'!$AM10='INVOCAÇÕES'!$AI$840,'DADOS_FORMAS'!$AM10='INVOCAÇÕES'!$AJ$840,'DADOS_FORMAS'!$AM10='INVOCAÇÕES'!$AK$840,'DADOS_FORMAS'!$AM10='INVOCAÇÕES'!$AL$840,'DADOS_FORMAS'!$AM10='INVOCAÇÕES'!$AH$842,'DADOS_FORMAS'!$AM10='INVOCAÇÕES'!$AI$842,'DADOS_FORMAS'!$AM10='INVOCAÇÕES'!$AJ$842,'DADOS_FORMAS'!$AM10='INVOCAÇÕES'!$AK$842,'DADOS_FORMAS'!$AM10=""),'DADOS_FORMAS'!$AH10,"")</f>
        <v/>
      </c>
      <c r="JM10">
        <f>IF(AND(OR('DADOS_FORMAS'!$AM10='INVOCAÇÕES'!$AH$840,'DADOS_FORMAS'!$AM10='INVOCAÇÕES'!$AI$840,'DADOS_FORMAS'!$AM10='INVOCAÇÕES'!$AJ$840,'DADOS_FORMAS'!$AM10='INVOCAÇÕES'!$AK$840,'DADOS_FORMAS'!$AM10='INVOCAÇÕES'!$AL$840,'DADOS_FORMAS'!$AM10='INVOCAÇÕES'!$AH$842,'DADOS_FORMAS'!$AM10='INVOCAÇÕES'!$AI$842,'DADOS_FORMAS'!$AM10='INVOCAÇÕES'!$AJ$842,'DADOS_FORMAS'!$AM10='INVOCAÇÕES'!$AK$842,'DADOS_FORMAS'!$AM10=""),'DADOS_FORMAS'!$AR10),'DADOS_FORMAS'!$AH10,"")</f>
        <v/>
      </c>
      <c r="JO10">
        <f>IF(OR('DADOS_FORMAS'!$AM10='INVOCAÇÕES'!$AH$1038,'DADOS_FORMAS'!$AM10='INVOCAÇÕES'!$AI$1038,'DADOS_FORMAS'!$AM10='INVOCAÇÕES'!$AJ$1038,'DADOS_FORMAS'!$AM10='INVOCAÇÕES'!$AK$1038,'DADOS_FORMAS'!$AM10='INVOCAÇÕES'!$AL$1038,'DADOS_FORMAS'!$AM10='INVOCAÇÕES'!$AH$1040,'DADOS_FORMAS'!$AM10='INVOCAÇÕES'!$AI$1040,'DADOS_FORMAS'!$AM10='INVOCAÇÕES'!$AJ$1040,'DADOS_FORMAS'!$AM10='INVOCAÇÕES'!$AK$1040,'DADOS_FORMAS'!$AM10=""),'DADOS_FORMAS'!$AH10,"")</f>
        <v/>
      </c>
      <c r="JP10">
        <f>IF(AND(OR('DADOS_FORMAS'!$AM10='INVOCAÇÕES'!$AH$1038,'DADOS_FORMAS'!$AM10='INVOCAÇÕES'!$AI$1038,'DADOS_FORMAS'!$AM10='INVOCAÇÕES'!$AJ$1038,'DADOS_FORMAS'!$AM10='INVOCAÇÕES'!$AK$1038,'DADOS_FORMAS'!$AM10='INVOCAÇÕES'!$AL$1038,'DADOS_FORMAS'!$AM10='INVOCAÇÕES'!$AH$1040,'DADOS_FORMAS'!$AM10='INVOCAÇÕES'!$AI$1040,'DADOS_FORMAS'!$AM10='INVOCAÇÕES'!$AJ$1040,'DADOS_FORMAS'!$AM10='INVOCAÇÕES'!$AK$1040,'DADOS_FORMAS'!$AM10=""),'DADOS_FORMAS'!$AR10),'DADOS_FORMAS'!$AH10,"")</f>
        <v/>
      </c>
      <c r="JR10" t="inlineStr">
        <is>
          <t>Apoio</t>
        </is>
      </c>
      <c r="JZ10">
        <f>IFERROR(INDEX('DADOS_CRIACAO'!$H$2:$H$20,8),"")</f>
        <v/>
      </c>
      <c r="KA10">
        <f>IFERROR(INDEX(INDEX('DADOS_RESTRICOES'!$M$2:$Q$54,0,1),8),"")</f>
        <v/>
      </c>
    </row>
    <row r="11">
      <c r="A11">
        <f>IF(ISBLANK('CONFIGURAÇÃO'!$J$2066),"",'CONFIGURAÇÃO'!$J$2066)</f>
        <v/>
      </c>
      <c r="B11">
        <f>IF(ISBLANK('CONFIGURAÇÃO'!$J$2068),"",'CONFIGURAÇÃO'!$J$2068)</f>
        <v/>
      </c>
      <c r="C11">
        <f>IF(ISBLANK('CONFIGURAÇÃO'!$M$2069),"",'CONFIGURAÇÃO'!$M$2069)</f>
        <v/>
      </c>
      <c r="D11">
        <f>IF(ISBLANK('CONFIGURAÇÃO'!$N$2066),"",'CONFIGURAÇÃO'!$N$2066)</f>
        <v/>
      </c>
      <c r="E11">
        <f>IF(ISBLANK('CONFIGURAÇÃO'!$J$2095),"",'CONFIGURAÇÃO'!$J$2095)</f>
        <v/>
      </c>
      <c r="F11">
        <f>IF(ISBLANK('CONFIGURAÇÃO'!$J$2101),"",'CONFIGURAÇÃO'!$J$2101)</f>
        <v/>
      </c>
      <c r="G11">
        <f>IF(ISBLANK('CONFIGURAÇÃO'!$M$2070),"",'CONFIGURAÇÃO'!$M$2070)</f>
        <v/>
      </c>
      <c r="H11">
        <f>IF(ISBLANK('CONFIGURAÇÃO'!$M$2071),"",'CONFIGURAÇÃO'!$M$2071)</f>
        <v/>
      </c>
      <c r="I11">
        <f>IF(ISBLANK('CONFIGURAÇÃO'!$M$2072),"",'CONFIGURAÇÃO'!$M$2072)</f>
        <v/>
      </c>
      <c r="J11">
        <f>IF(ISBLANK('CONFIGURAÇÃO'!$M$2073),"",'CONFIGURAÇÃO'!$M$2073)</f>
        <v/>
      </c>
      <c r="K11">
        <f>IF(ISBLANK('CONFIGURAÇÃO'!$M$2074),"",'CONFIGURAÇÃO'!$M$2074)</f>
        <v/>
      </c>
      <c r="L11">
        <f>IF(ISBLANK('CONFIGURAÇÃO'!$M$2075),"",'CONFIGURAÇÃO'!$M$2075)</f>
        <v/>
      </c>
      <c r="M11">
        <f>IF(ISBLANK('CONFIGURAÇÃO'!$M$2076),"",'CONFIGURAÇÃO'!$M$2076)</f>
        <v/>
      </c>
      <c r="N11">
        <f>IF(ISBLANK('CONFIGURAÇÃO'!$M$2077),"",'CONFIGURAÇÃO'!$M$2077)</f>
        <v/>
      </c>
      <c r="O11">
        <f>IF(ISBLANK('CONFIGURAÇÃO'!$M$2078),"",'CONFIGURAÇÃO'!$M$2078)</f>
        <v/>
      </c>
      <c r="P11">
        <f>IF(ISBLANK('CONFIGURAÇÃO'!$M$2079),"",'CONFIGURAÇÃO'!$M$2079)</f>
        <v/>
      </c>
      <c r="Q11">
        <f>IF(ISBLANK('CONFIGURAÇÃO'!$M$2080),"",'CONFIGURAÇÃO'!$M$2080)</f>
        <v/>
      </c>
      <c r="R11">
        <f>IF(ISBLANK('CONFIGURAÇÃO'!$M$2081),"",'CONFIGURAÇÃO'!$M$2081)</f>
        <v/>
      </c>
      <c r="S11">
        <f>IF(ISBLANK('CONFIGURAÇÃO'!$M$2082),"",'CONFIGURAÇÃO'!$M$2082)</f>
        <v/>
      </c>
      <c r="T11">
        <f>IF(ISBLANK('CONFIGURAÇÃO'!$M$2083),"",'CONFIGURAÇÃO'!$M$2083)</f>
        <v/>
      </c>
      <c r="U11">
        <f>IF(ISBLANK('CONFIGURAÇÃO'!$M$2084),"",'CONFIGURAÇÃO'!$M$2084)</f>
        <v/>
      </c>
      <c r="V11">
        <f>IF(ISBLANK('CONFIGURAÇÃO'!$M$2085),"",'CONFIGURAÇÃO'!$M$2085)</f>
        <v/>
      </c>
      <c r="W11">
        <f>IF(ISBLANK('CONFIGURAÇÃO'!$M$2086),"",'CONFIGURAÇÃO'!$M$2086)</f>
        <v/>
      </c>
      <c r="X11">
        <f>IF(ISBLANK('CONFIGURAÇÃO'!$M$2087),"",'CONFIGURAÇÃO'!$M$2087)</f>
        <v/>
      </c>
      <c r="Y11">
        <f>IF(ISBLANK('CONFIGURAÇÃO'!$M$2088),"",'CONFIGURAÇÃO'!$M$2088)</f>
        <v/>
      </c>
      <c r="Z11">
        <f>IF(ISBLANK('CONFIGURAÇÃO'!$M$2089),"",'CONFIGURAÇÃO'!$M$2089)</f>
        <v/>
      </c>
      <c r="AA11">
        <f>IF(ISBLANK('CONFIGURAÇÃO'!$M$2090),"",'CONFIGURAÇÃO'!$M$2090)</f>
        <v/>
      </c>
      <c r="AB11">
        <f>IF(ISBLANK('CONFIGURAÇÃO'!$M$2091),"",'CONFIGURAÇÃO'!$M$2091)</f>
        <v/>
      </c>
      <c r="AC11">
        <f>IF(ISBLANK('CONFIGURAÇÃO'!$M$2092),"",'CONFIGURAÇÃO'!$M$2092)</f>
        <v/>
      </c>
      <c r="AD11">
        <f>IF($AF11,TEXTJOIN(" · ",TRUE,$DJ11:$FH11),"")</f>
        <v/>
      </c>
      <c r="AE11">
        <f>IF(OR($C11="",$C11="Nenhuma"),0,IFERROR(MATCH(SUBSTITUTE(SUBSTITUTE(SUBSTITUTE($C11,"~","~~"),"*","~*"),"?","~?"),'DADOS_FORMAS'!$AH$2:$AH$11,0),-1))</f>
        <v/>
      </c>
      <c r="AF11">
        <f>OR($B11&lt;&gt;"",$C11&lt;&gt;"",$E11&lt;&gt;"",$F11&lt;&gt;"",$G11&lt;&gt;"",$H11&lt;&gt;"",$I11&lt;&gt;"",$J11&lt;&gt;"",$K11&lt;&gt;"",$L11&lt;&gt;"",$M11&lt;&gt;"",$N11&lt;&gt;"",$O11&lt;&gt;"",$P11&lt;&gt;"",$Q11&lt;&gt;"",$R11&lt;&gt;"",$S11&lt;&gt;"",$T11&lt;&gt;"",$U11&lt;&gt;"",$V11&lt;&gt;"",$W11&lt;&gt;"",$X11&lt;&gt;"",$Y11&lt;&gt;"",$Z11&lt;&gt;"",$AA11&lt;&gt;"",$AB11&lt;&gt;"",$AC11&lt;&gt;"",AND($D11&lt;&gt;"",$D11&lt;&gt;FALSE),AND($A11&lt;&gt;"",$A11&lt;&gt;"Forma"))</f>
        <v/>
      </c>
      <c r="AG11" t="inlineStr">
        <is>
          <t>Forma</t>
        </is>
      </c>
      <c r="AH11" t="inlineStr">
        <is>
          <t>Efeito</t>
        </is>
      </c>
      <c r="AI11">
        <f>""</f>
        <v/>
      </c>
      <c r="AJ11" t="b">
        <v>0</v>
      </c>
      <c r="AK11">
        <f>""</f>
        <v/>
      </c>
      <c r="AL11" t="inlineStr">
        <is>
          <t>Uma aplicação fora de combate. Usa a escala de Efeitos fora de combate, sem dano ou vida temporária.</t>
        </is>
      </c>
      <c r="AM11">
        <f>""</f>
        <v/>
      </c>
      <c r="AN11" t="n">
        <v>0</v>
      </c>
      <c r="AO11" t="inlineStr">
        <is>
          <t>Automático</t>
        </is>
      </c>
      <c r="AP11" t="n">
        <v>3</v>
      </c>
      <c r="AQ11" t="b">
        <v>0</v>
      </c>
      <c r="AR11" t="b">
        <v>1</v>
      </c>
      <c r="AS11">
        <f>""</f>
        <v/>
      </c>
      <c r="AT11" t="inlineStr">
        <is>
          <t>Fixo</t>
        </is>
      </c>
      <c r="AU11" t="inlineStr">
        <is>
          <t>Fixo</t>
        </is>
      </c>
      <c r="AV11" t="inlineStr">
        <is>
          <t>fora de combate</t>
        </is>
      </c>
      <c r="AW11" t="inlineStr">
        <is>
          <t>fora de combate</t>
        </is>
      </c>
      <c r="AX11" t="inlineStr">
        <is>
          <t>fora de combate</t>
        </is>
      </c>
      <c r="AY11" t="inlineStr">
        <is>
          <t>fora de combate</t>
        </is>
      </c>
      <c r="AZ11" t="inlineStr">
        <is>
          <t>fora de combate</t>
        </is>
      </c>
      <c r="BA11" t="inlineStr">
        <is>
          <t>fora de combate</t>
        </is>
      </c>
      <c r="BB11" t="inlineStr">
        <is>
          <t>fora de combate</t>
        </is>
      </c>
      <c r="BC11">
        <f>""</f>
        <v/>
      </c>
      <c r="BD11">
        <f>""</f>
        <v/>
      </c>
      <c r="BE11">
        <f>""</f>
        <v/>
      </c>
      <c r="BF11">
        <f>""</f>
        <v/>
      </c>
      <c r="BG11">
        <f>""</f>
        <v/>
      </c>
      <c r="BH11">
        <f>""</f>
        <v/>
      </c>
      <c r="BI11">
        <f>""</f>
        <v/>
      </c>
      <c r="BJ11" t="inlineStr">
        <is>
          <t>Efeito</t>
        </is>
      </c>
      <c r="BK11" t="n">
        <v>0</v>
      </c>
      <c r="BL11" t="inlineStr">
        <is>
          <t>alcance</t>
        </is>
      </c>
      <c r="BM11">
        <f>""</f>
        <v/>
      </c>
      <c r="BN11">
        <f>""</f>
        <v/>
      </c>
      <c r="BO11" t="n">
        <v>0</v>
      </c>
      <c r="BP11">
        <f>""</f>
        <v/>
      </c>
      <c r="BQ11">
        <f>""</f>
        <v/>
      </c>
      <c r="BR11">
        <f>""</f>
        <v/>
      </c>
      <c r="BS11" t="n">
        <v>0</v>
      </c>
      <c r="BV11">
        <f>IF($A11="",IF($AE11&gt;0,INDEX('DADOS_FORMAS'!$AG$2:$AG$11,MAX(1,$AE11)),"Forma"),$A11)</f>
        <v/>
      </c>
      <c r="BW11">
        <f>IF($B11="",IF($AE11&gt;0,INDEX('DADOS_FORMAS'!$AH$2:$AH$11,MAX(1,$AE11)),""),$B11)</f>
        <v/>
      </c>
      <c r="BX11">
        <f>IF($C11="",IF($AE11&gt;0,INDEX('DADOS_FORMAS'!$AI$2:$AI$11,MAX(1,$AE11)),""),$C11)</f>
        <v/>
      </c>
      <c r="BY11">
        <f>IF($D11="",IF($AE11&gt;0,INDEX('DADOS_FORMAS'!$AJ$2:$AJ$11,MAX(1,$AE11)),FALSE),$D11)</f>
        <v/>
      </c>
      <c r="BZ11">
        <f>IF($E11="",IF($AE11&gt;0,INDEX('DADOS_FORMAS'!$AK$2:$AK$11,MAX(1,$AE11)),""),$E11)</f>
        <v/>
      </c>
      <c r="CA11">
        <f>IF($F11="",IF($AE11&gt;0,INDEX('DADOS_FORMAS'!$AL$2:$AL$11,MAX(1,$AE11)),""),$F11)</f>
        <v/>
      </c>
      <c r="CB11">
        <f>IF($G11="Nenhuma","",IF($G11="",IF($AE11&gt;0,INDEX('DADOS_FORMAS'!$AM$2:$AM$11,MAX(1,$AE11)),""),$G11))</f>
        <v/>
      </c>
      <c r="CC11">
        <f>IF($H11="",IF($AE11&gt;0,INDEX('DADOS_FORMAS'!$AN$2:$AN$11,MAX(1,$AE11)),""),IF($H11="Sem custo",0,IF($H11="Leve",1,IF($H11="Média",2,IF($H11="Pesada",3,$H11)))))</f>
        <v/>
      </c>
      <c r="CD11">
        <f>IF($I11="",IF($AE11&gt;0,INDEX('DADOS_FORMAS'!$AO$2:$AO$11,MAX(1,$AE11)),""),$I11)</f>
        <v/>
      </c>
      <c r="CE11">
        <f>IF($J11="",IF($AE11&gt;0,INDEX('DADOS_FORMAS'!$AP$2:$AP$11,MAX(1,$AE11)),""),IF($J11="Dano",0,IF($J11="Cura",1,IF($J11="Vida temporária",2,IF($J11="Efeito",3,$J11)))))</f>
        <v/>
      </c>
      <c r="CF11">
        <f>IF($K11="",IF($AE11&gt;0,INDEX('DADOS_FORMAS'!$AQ$2:$AQ$11,MAX(1,$AE11)),""),IF($K11="Sim",TRUE,IF($K11="Não",FALSE,$K11)))</f>
        <v/>
      </c>
      <c r="CG11">
        <f>IF($L11="",IF($AE11&gt;0,INDEX('DADOS_FORMAS'!$AR$2:$AR$11,MAX(1,$AE11)),""),IF($L11="Sim",TRUE,IF($L11="Não",FALSE,$L11)))</f>
        <v/>
      </c>
      <c r="CH11">
        <f>IF($M11="Nenhuma","",IF($M11="",IF($AE11&gt;0,INDEX('DADOS_FORMAS'!$AS$2:$AS$11,MAX(1,$AE11)),""),$M11))</f>
        <v/>
      </c>
      <c r="CI11">
        <f>IF($N11="",IF($AE11&gt;0,INDEX('DADOS_FORMAS'!$AT$2:$AT$11,MAX(1,$AE11)),"Fixo"),$N11)</f>
        <v/>
      </c>
      <c r="CJ11">
        <f>IF($O11="",IF($AE11&gt;0,INDEX('DADOS_FORMAS'!$AU$2:$AU$11,MAX(1,$AE11)),"Fixo"),$O11)</f>
        <v/>
      </c>
      <c r="CK11">
        <f>IF($P11="",IF($AE11&gt;0,INDEX('DADOS_FORMAS'!$AV$2:$AV$11,MAX(1,$AE11)),""),$P11)</f>
        <v/>
      </c>
      <c r="CL11">
        <f>IF($Q11="",IF($AE11&gt;0,INDEX('DADOS_FORMAS'!$AW$2:$AW$11,MAX(1,$AE11)),""),$Q11)</f>
        <v/>
      </c>
      <c r="CM11">
        <f>IF($R11="",IF($AE11&gt;0,INDEX('DADOS_FORMAS'!$AX$2:$AX$11,MAX(1,$AE11)),""),$R11)</f>
        <v/>
      </c>
      <c r="CN11">
        <f>IF($S11="",IF($AE11&gt;0,INDEX('DADOS_FORMAS'!$AY$2:$AY$11,MAX(1,$AE11)),""),$S11)</f>
        <v/>
      </c>
      <c r="CO11">
        <f>IF($T11="",IF($AE11&gt;0,INDEX('DADOS_FORMAS'!$AZ$2:$AZ$11,MAX(1,$AE11)),""),$T11)</f>
        <v/>
      </c>
      <c r="CP11">
        <f>IF($U11="",IF($AE11&gt;0,INDEX('DADOS_FORMAS'!$BA$2:$BA$11,MAX(1,$AE11)),""),$U11)</f>
        <v/>
      </c>
      <c r="CQ11">
        <f>IF($V11="",IF($AE11&gt;0,INDEX('DADOS_FORMAS'!$BB$2:$BB$11,MAX(1,$AE11)),""),$V11)</f>
        <v/>
      </c>
      <c r="CR11">
        <f>IF($W11="",IF($AE11&gt;0,INDEX('DADOS_FORMAS'!$BC$2:$BC$11,MAX(1,$AE11)),""),$W11)</f>
        <v/>
      </c>
      <c r="CS11">
        <f>IF($X11="",IF($AE11&gt;0,INDEX('DADOS_FORMAS'!$BD$2:$BD$11,MAX(1,$AE11)),""),$X11)</f>
        <v/>
      </c>
      <c r="CT11">
        <f>IF($Y11="",IF($AE11&gt;0,INDEX('DADOS_FORMAS'!$BE$2:$BE$11,MAX(1,$AE11)),""),$Y11)</f>
        <v/>
      </c>
      <c r="CU11">
        <f>IF($Z11="",IF($AE11&gt;0,INDEX('DADOS_FORMAS'!$BF$2:$BF$11,MAX(1,$AE11)),""),$Z11)</f>
        <v/>
      </c>
      <c r="CV11">
        <f>IF($AA11="",IF($AE11&gt;0,INDEX('DADOS_FORMAS'!$BG$2:$BG$11,MAX(1,$AE11)),""),$AA11)</f>
        <v/>
      </c>
      <c r="CW11">
        <f>IF($AB11="",IF($AE11&gt;0,INDEX('DADOS_FORMAS'!$BH$2:$BH$11,MAX(1,$AE11)),""),$AB11)</f>
        <v/>
      </c>
      <c r="CX11">
        <f>IF($AC11="",IF($AE11&gt;0,INDEX('DADOS_FORMAS'!$BI$2:$BI$11,MAX(1,$AE11)),""),$AC11)</f>
        <v/>
      </c>
      <c r="CY11">
        <f>IF($AE11&gt;0,INDEX('DADOS_FORMAS'!$BJ$2:$BJ$11,MAX(1,$AE11)),"")</f>
        <v/>
      </c>
      <c r="CZ11">
        <f>IF($AE11&gt;0,INDEX('DADOS_FORMAS'!$BK$2:$BK$11,MAX(1,$AE11)),0)</f>
        <v/>
      </c>
      <c r="DA11">
        <f>IF($AE11&gt;0,INDEX('DADOS_FORMAS'!$BL$2:$BL$11,MAX(1,$AE11)),"alcance")</f>
        <v/>
      </c>
      <c r="DB11">
        <f>IF($AE11&gt;0,INDEX('DADOS_FORMAS'!$BM$2:$BM$11,MAX(1,$AE11)),"")</f>
        <v/>
      </c>
      <c r="DC11">
        <f>IF($AE11&gt;0,INDEX('DADOS_FORMAS'!$BN$2:$BN$11,MAX(1,$AE11)),"")</f>
        <v/>
      </c>
      <c r="DD11">
        <f>IF($AE11&gt;0,INDEX('DADOS_FORMAS'!$BO$2:$BO$11,MAX(1,$AE11)),1)</f>
        <v/>
      </c>
      <c r="DE11">
        <f>IF(AND($AE11&gt;0,INDEX('DADOS_FORMAS'!$BP$2:$BP$11,MAX(1,$AE11))=""),IF(AND(INDEX('DADOS_FORMAS'!$BL$2:$BL$11,MAX(1,$AE11))="alcance",OR($W11&lt;&gt;"",$X11&lt;&gt;"",$Y11&lt;&gt;"",$Z11&lt;&gt;"",$AA11&lt;&gt;"",$AB11&lt;&gt;"",$AC11&lt;&gt;"")),"area",IF(AND(INDEX('DADOS_FORMAS'!$BL$2:$BL$11,MAX(1,$AE11))="area",OR($P11&lt;&gt;"",$Q11&lt;&gt;"",$R11&lt;&gt;"",$S11&lt;&gt;"",$T11&lt;&gt;"",$U11&lt;&gt;"",$V11&lt;&gt;"")),"alcance","")),IF($AE11&gt;0,INDEX('DADOS_FORMAS'!$BP$2:$BP$11,MAX(1,$AE11)),"area"))</f>
        <v/>
      </c>
      <c r="DF11">
        <f>IF(AND($AE11&gt;0,INDEX('DADOS_FORMAS'!$BP$2:$BP$11,MAX(1,$AE11))=""),IF(IF(AND(INDEX('DADOS_FORMAS'!$BL$2:$BL$11,MAX(1,$AE11))="alcance",OR($W11&lt;&gt;"",$X11&lt;&gt;"",$Y11&lt;&gt;"",$Z11&lt;&gt;"",$AA11&lt;&gt;"",$AB11&lt;&gt;"",$AC11&lt;&gt;"")),"area",IF(AND(INDEX('DADOS_FORMAS'!$BL$2:$BL$11,MAX(1,$AE11))="area",OR($P11&lt;&gt;"",$Q11&lt;&gt;"",$R11&lt;&gt;"",$S11&lt;&gt;"",$T11&lt;&gt;"",$U11&lt;&gt;"",$V11&lt;&gt;"")),"alcance",""))="alcance"," · alcance ",IF(IF(AND(INDEX('DADOS_FORMAS'!$BL$2:$BL$11,MAX(1,$AE11))="alcance",OR($W11&lt;&gt;"",$X11&lt;&gt;"",$Y11&lt;&gt;"",$Z11&lt;&gt;"",$AA11&lt;&gt;"",$AB11&lt;&gt;"",$AC11&lt;&gt;"")),"area",IF(AND(INDEX('DADOS_FORMAS'!$BL$2:$BL$11,MAX(1,$AE11))="area",OR($P11&lt;&gt;"",$Q11&lt;&gt;"",$R11&lt;&gt;"",$S11&lt;&gt;"",$T11&lt;&gt;"",$U11&lt;&gt;"",$V11&lt;&gt;"")),"alcance",""))="area"," · área ","")),IF($AE11&gt;0,INDEX('DADOS_FORMAS'!$BQ$2:$BQ$11,MAX(1,$AE11))," · área "))</f>
        <v/>
      </c>
      <c r="DG11">
        <f>IF(AND($AE11&gt;0,INDEX('DADOS_FORMAS'!$BP$2:$BP$11,MAX(1,$AE11))=""),"",IF($AE11&gt;0,INDEX('DADOS_FORMAS'!$BR$2:$BR$11,MAX(1,$AE11)),""))</f>
        <v/>
      </c>
      <c r="DH11">
        <f>IF(AND($AE11&gt;0,INDEX('DADOS_FORMAS'!$BP$2:$BP$11,MAX(1,$AE11))=""),IF(IF(AND(INDEX('DADOS_FORMAS'!$BL$2:$BL$11,MAX(1,$AE11))="alcance",OR($W11&lt;&gt;"",$X11&lt;&gt;"",$Y11&lt;&gt;"",$Z11&lt;&gt;"",$AA11&lt;&gt;"",$AB11&lt;&gt;"",$AC11&lt;&gt;"")),"area",IF(AND(INDEX('DADOS_FORMAS'!$BL$2:$BL$11,MAX(1,$AE11))="area",OR($P11&lt;&gt;"",$Q11&lt;&gt;"",$R11&lt;&gt;"",$S11&lt;&gt;"",$T11&lt;&gt;"",$U11&lt;&gt;"",$V11&lt;&gt;"")),"alcance",""))="",0,IF(IF(AND(INDEX('DADOS_FORMAS'!$BL$2:$BL$11,MAX(1,$AE11))="alcance",OR($W11&lt;&gt;"",$X11&lt;&gt;"",$Y11&lt;&gt;"",$Z11&lt;&gt;"",$AA11&lt;&gt;"",$AB11&lt;&gt;"",$AC11&lt;&gt;"")),"area",IF(AND(INDEX('DADOS_FORMAS'!$BL$2:$BL$11,MAX(1,$AE11))="area",OR($P11&lt;&gt;"",$Q11&lt;&gt;"",$R11&lt;&gt;"",$S11&lt;&gt;"",$T11&lt;&gt;"",$U11&lt;&gt;"",$V11&lt;&gt;"")),"alcance",""))="alcance",1,IF($O11="comprimento",3,2))),IF($AE11&gt;0,INDEX('DADOS_FORMAS'!$BS$2:$BS$11,MAX(1,$AE11)),IF($O11="comprimento",3,2)))</f>
        <v/>
      </c>
      <c r="DJ11">
        <f>IF(AND(ISTEXT($B11),$B11&lt;&gt;"",TRIM($B11)=$B11),"","NOME precisa ser texto sem espaços nas pontas")</f>
        <v/>
      </c>
      <c r="DK11">
        <f>IF(COUNTIF('DADOS_FORMAS'!$B$2:$B$11,SUBSTITUTE(SUBSTITUTE(SUBSTITUTE($B11,"~","~~"),"*","~*"),"?","~?"))+COUNTIF('DADOS_FORMAS'!$AH$2:$AH$11,SUBSTITUTE(SUBSTITUTE(SUBSTITUTE($B11,"~","~~"),"*","~*"),"?","~?"))=1,"","Nome repetido no livro ou custom")</f>
        <v/>
      </c>
      <c r="DL11">
        <f>IF($AE11&gt;=0,"","BASE DO LIVRO inválida para o grupo")</f>
        <v/>
      </c>
      <c r="DM11">
        <f>IF(OR($BV11="Forma"),"","TIPO inválido para o grupo")</f>
        <v/>
      </c>
      <c r="DN11">
        <f>IF(ISLOGICAL($BY11),"","MESTRE VIU precisa ser caixa de seleção")</f>
        <v/>
      </c>
      <c r="DO11">
        <f>IF(ISTEXT($CA11),"","EFEITO precisa ser texto")</f>
        <v/>
      </c>
      <c r="DP11">
        <f>IF(ISTEXT($BZ11),"","REQUISITOS precisa ser texto")</f>
        <v/>
      </c>
      <c r="DQ11">
        <f>IF(IFERROR(AND(ISNUMBER($CC11),NOT(ISLOGICAL($CC11)),$CC11=INT($CC11),$CC11&gt;=0,$CC11&lt;=3),FALSE),"","PESO exige 0/1/2/3")</f>
        <v/>
      </c>
      <c r="DR11">
        <f>IF(IFERROR(AND(ISNUMBER($CE11),NOT(ISLOGICAL($CE11)),$CE11=INT($CE11),$CE11&gt;=0,$CE11&lt;=3),FALSE),"","RESULTADO exige 0/1/2/3")</f>
        <v/>
      </c>
      <c r="DS11">
        <f>IF(ISLOGICAL($CF11),"","EXIGE_TR exige Sim/Não")</f>
        <v/>
      </c>
      <c r="DT11">
        <f>IF(ISLOGICAL($CG11),"","CLASSE_0 exige Sim/Não")</f>
        <v/>
      </c>
      <c r="DU11">
        <f>IF(OR($CD11="Acerto",$CD11="TR, metade",$CD11="Automático"),"","RESOLUÇÃO inválida")</f>
        <v/>
      </c>
      <c r="DV11">
        <f>IF(OR($CB11="",COUNTIF('DADOS_CRIACAO'!$H$2:$H$20,SUBSTITUTE(SUBSTITUTE(SUBSTITUTE($CB11,"~","~~"),"*","~*"),"?","~?"))&gt;0),"","FAMÍLIA não cadastrada ou inválida")</f>
        <v/>
      </c>
      <c r="DW11">
        <f>IF(OR($CH11="",IFERROR(MATCH(SUBSTITUTE(SUBSTITUTE(SUBSTITUTE($CH11,"~","~~"),"*","~*"),"?","~?"),INDEX('DADOS_RESTRICOES'!$M$2:$Q$54,0,1),0),0)&gt;0),"","RESTRIÇÃO EMBUTIDA inválida")</f>
        <v/>
      </c>
      <c r="DX11">
        <f>IF(OR($CI11="Fixo",$CI11="alcance"),"","ESCADA inválida para alcance")</f>
        <v/>
      </c>
      <c r="DY11">
        <f>IF(OR(NOT(AND($CG11,OR($DA11="alcance",$DE11="alcance"))),$CK11&lt;&gt;""),"","Base de alcance ausente: personagem/classe_0")</f>
        <v/>
      </c>
      <c r="DZ11">
        <f>IF(ISTEXT($CK11),"","Base precisa ser texto: alcance/personagem/classe_0")</f>
        <v/>
      </c>
      <c r="EA11">
        <f>IF(OR(NOT(AND($CG11,OR($DA11="alcance",$DE11="alcance"))),$CI11="Fixo",$CK11="",$CK11="—",AND(RIGHT($CK11,2)=" m",IFERROR(VALUE(SUBSTITUTE(LEFT($CK11,MAX(0,LEN($CK11)-2)),",",""))/10^IFERROR(LEN(LEFT($CK11,MAX(0,LEN($CK11)-2)))-FIND(",",LEFT($CK11,MAX(0,LEN($CK11)-2))),0),-1)&gt;0)),"","Base incompatível com escada: alcance/personagem/classe_0")</f>
        <v/>
      </c>
      <c r="EB11">
        <f>IF(OR(NOT(OR($DA11="alcance",$DE11="alcance")),$CL11&lt;&gt;""),"","Base de alcance ausente: personagem/classes_1_a_5")</f>
        <v/>
      </c>
      <c r="EC11">
        <f>IF(ISTEXT($CL11),"","Base precisa ser texto: alcance/personagem/classes_1_a_5")</f>
        <v/>
      </c>
      <c r="ED11">
        <f>IF(OR(NOT(OR($DA11="alcance",$DE11="alcance")),$CI11="Fixo",$CL11="",$CL11="—",AND(RIGHT($CL11,2)=" m",IFERROR(VALUE(SUBSTITUTE(LEFT($CL11,MAX(0,LEN($CL11)-2)),",",""))/10^IFERROR(LEN(LEFT($CL11,MAX(0,LEN($CL11)-2)))-FIND(",",LEFT($CL11,MAX(0,LEN($CL11)-2))),0),-1)&gt;0)),"","Base incompatível com escada: alcance/personagem/classes_1_a_5")</f>
        <v/>
      </c>
      <c r="EE11">
        <f>IF(OR(NOT(OR($DA11="alcance",$DE11="alcance")),$CM11&lt;&gt;""),"","Base de alcance ausente: personagem/classes_6_e_7")</f>
        <v/>
      </c>
      <c r="EF11">
        <f>IF(ISTEXT($CM11),"","Base precisa ser texto: alcance/personagem/classes_6_e_7")</f>
        <v/>
      </c>
      <c r="EG11">
        <f>IF(OR(NOT(OR($DA11="alcance",$DE11="alcance")),$CI11="Fixo",$CM11="",$CM11="—",AND(RIGHT($CM11,2)=" m",IFERROR(VALUE(SUBSTITUTE(LEFT($CM11,MAX(0,LEN($CM11)-2)),",",""))/10^IFERROR(LEN(LEFT($CM11,MAX(0,LEN($CM11)-2)))-FIND(",",LEFT($CM11,MAX(0,LEN($CM11)-2))),0),-1)&gt;0)),"","Base incompatível com escada: alcance/personagem/classes_6_e_7")</f>
        <v/>
      </c>
      <c r="EH11">
        <f>IF(OR(NOT(AND($CG11,OR($DA11="alcance",$DE11="alcance"))),$CN11&lt;&gt;""),"","Base de alcance ausente: entidade/classe_0")</f>
        <v/>
      </c>
      <c r="EI11">
        <f>IF(ISTEXT($CN11),"","Base precisa ser texto: alcance/entidade/classe_0")</f>
        <v/>
      </c>
      <c r="EJ11">
        <f>IF(OR(NOT(AND($CG11,OR($DA11="alcance",$DE11="alcance"))),$CI11="Fixo",$CN11="",$CN11="—",AND(RIGHT($CN11,2)=" m",IFERROR(VALUE(SUBSTITUTE(LEFT($CN11,MAX(0,LEN($CN11)-2)),",",""))/10^IFERROR(LEN(LEFT($CN11,MAX(0,LEN($CN11)-2)))-FIND(",",LEFT($CN11,MAX(0,LEN($CN11)-2))),0),-1)&gt;0)),"","Base incompatível com escada: alcance/entidade/classe_0")</f>
        <v/>
      </c>
      <c r="EK11">
        <f>IF(OR(NOT(OR($DA11="alcance",$DE11="alcance")),$CO11&lt;&gt;""),"","Base de alcance ausente: entidade/classes_1_a_5")</f>
        <v/>
      </c>
      <c r="EL11">
        <f>IF(ISTEXT($CO11),"","Base precisa ser texto: alcance/entidade/classes_1_a_5")</f>
        <v/>
      </c>
      <c r="EM11">
        <f>IF(OR(NOT(OR($DA11="alcance",$DE11="alcance")),$CI11="Fixo",$CO11="",$CO11="—",AND(RIGHT($CO11,2)=" m",IFERROR(VALUE(SUBSTITUTE(LEFT($CO11,MAX(0,LEN($CO11)-2)),",",""))/10^IFERROR(LEN(LEFT($CO11,MAX(0,LEN($CO11)-2)))-FIND(",",LEFT($CO11,MAX(0,LEN($CO11)-2))),0),-1)&gt;0)),"","Base incompatível com escada: alcance/entidade/classes_1_a_5")</f>
        <v/>
      </c>
      <c r="EN11">
        <f>IF(OR(NOT(OR($DA11="alcance",$DE11="alcance")),$CP11&lt;&gt;""),"","Base de alcance ausente: entidade/classe_6")</f>
        <v/>
      </c>
      <c r="EO11">
        <f>IF(ISTEXT($CP11),"","Base precisa ser texto: alcance/entidade/classe_6")</f>
        <v/>
      </c>
      <c r="EP11">
        <f>IF(OR(NOT(OR($DA11="alcance",$DE11="alcance")),$CI11="Fixo",$CP11="",$CP11="—",AND(RIGHT($CP11,2)=" m",IFERROR(VALUE(SUBSTITUTE(LEFT($CP11,MAX(0,LEN($CP11)-2)),",",""))/10^IFERROR(LEN(LEFT($CP11,MAX(0,LEN($CP11)-2)))-FIND(",",LEFT($CP11,MAX(0,LEN($CP11)-2))),0),-1)&gt;0)),"","Base incompatível com escada: alcance/entidade/classe_6")</f>
        <v/>
      </c>
      <c r="EQ11">
        <f>IF(OR(NOT(OR($DA11="alcance",$DE11="alcance")),$CQ11&lt;&gt;""),"","Base de alcance ausente: entidade/classe_7")</f>
        <v/>
      </c>
      <c r="ER11">
        <f>IF(ISTEXT($CQ11),"","Base precisa ser texto: alcance/entidade/classe_7")</f>
        <v/>
      </c>
      <c r="ES11">
        <f>IF(OR(NOT(OR($DA11="alcance",$DE11="alcance")),$CI11="Fixo",$CQ11="",$CQ11="—",AND(RIGHT($CQ11,2)=" m",IFERROR(VALUE(SUBSTITUTE(LEFT($CQ11,MAX(0,LEN($CQ11)-2)),",",""))/10^IFERROR(LEN(LEFT($CQ11,MAX(0,LEN($CQ11)-2)))-FIND(",",LEFT($CQ11,MAX(0,LEN($CQ11)-2))),0),-1)&gt;0)),"","Base incompatível com escada: alcance/entidade/classe_7")</f>
        <v/>
      </c>
      <c r="ET11">
        <f>IF(OR($CJ11="Fixo",$CJ11="raio",$CJ11="comprimento"),"","ESCADA inválida para area")</f>
        <v/>
      </c>
      <c r="EU11">
        <f>IF(ISTEXT($CR11),"","Base precisa ser texto: area/personagem/classe_0")</f>
        <v/>
      </c>
      <c r="EV11">
        <f>IF(OR(NOT(AND($CG11,OR($DA11="area",$DE11="area"))),$CJ11="Fixo",$CR11="",$CR11="—",AND(AND(AND(RIGHT($CR11,2)=" m",IFERROR(VALUE(SUBSTITUTE(LEFT($CR11,MAX(0,LEN($CR11)-2)),",",""))/10^IFERROR(LEN(LEFT($CR11,MAX(0,LEN($CR11)-2)))-FIND(",",LEFT($CR11,MAX(0,LEN($CR11)-2))),0),-1)&gt;0),OR($CJ11&lt;&gt;"raio",IFERROR(VALUE(SUBSTITUTE(LEFT($CR11,MAX(0,LEN($CR11)-2)),",",""))/10^IFERROR(LEN(LEFT($CR11,MAX(0,LEN($CR11)-2)))-FIND(",",LEFT($CR11,MAX(0,LEN($CR11)-2))),0),-1)&lt;=15.0)),OR($CJ11&lt;&gt;"comprimento",IFERROR(VALUE(SUBSTITUTE(LEFT($CR11,MAX(0,LEN($CR11)-2)),",",""))/10^IFERROR(LEN(LEFT($CR11,MAX(0,LEN($CR11)-2)))-FIND(",",LEFT($CR11,MAX(0,LEN($CR11)-2))),0),-1)&lt;=60.0))),"","Base incompatível com escada: area/personagem/classe_0")</f>
        <v/>
      </c>
      <c r="EW11">
        <f>IF(ISTEXT($CS11),"","Base precisa ser texto: area/personagem/classes_1_a_5")</f>
        <v/>
      </c>
      <c r="EX11">
        <f>IF(OR(NOT(OR($DA11="area",$DE11="area")),$CJ11="Fixo",$CS11="",$CS11="—",AND(AND(AND(RIGHT($CS11,2)=" m",IFERROR(VALUE(SUBSTITUTE(LEFT($CS11,MAX(0,LEN($CS11)-2)),",",""))/10^IFERROR(LEN(LEFT($CS11,MAX(0,LEN($CS11)-2)))-FIND(",",LEFT($CS11,MAX(0,LEN($CS11)-2))),0),-1)&gt;0),OR($CJ11&lt;&gt;"raio",IFERROR(VALUE(SUBSTITUTE(LEFT($CS11,MAX(0,LEN($CS11)-2)),",",""))/10^IFERROR(LEN(LEFT($CS11,MAX(0,LEN($CS11)-2)))-FIND(",",LEFT($CS11,MAX(0,LEN($CS11)-2))),0),-1)&lt;=15.0)),OR($CJ11&lt;&gt;"comprimento",IFERROR(VALUE(SUBSTITUTE(LEFT($CS11,MAX(0,LEN($CS11)-2)),",",""))/10^IFERROR(LEN(LEFT($CS11,MAX(0,LEN($CS11)-2)))-FIND(",",LEFT($CS11,MAX(0,LEN($CS11)-2))),0),-1)&lt;=60.0))),"","Base incompatível com escada: area/personagem/classes_1_a_5")</f>
        <v/>
      </c>
      <c r="EY11">
        <f>IF(ISTEXT($CT11),"","Base precisa ser texto: area/personagem/classes_6_e_7")</f>
        <v/>
      </c>
      <c r="EZ11">
        <f>IF(OR(NOT(OR($DA11="area",$DE11="area")),$CJ11="Fixo",$CT11="",$CT11="—",AND(AND(AND(RIGHT($CT11,2)=" m",IFERROR(VALUE(SUBSTITUTE(LEFT($CT11,MAX(0,LEN($CT11)-2)),",",""))/10^IFERROR(LEN(LEFT($CT11,MAX(0,LEN($CT11)-2)))-FIND(",",LEFT($CT11,MAX(0,LEN($CT11)-2))),0),-1)&gt;0),OR($CJ11&lt;&gt;"raio",IFERROR(VALUE(SUBSTITUTE(LEFT($CT11,MAX(0,LEN($CT11)-2)),",",""))/10^IFERROR(LEN(LEFT($CT11,MAX(0,LEN($CT11)-2)))-FIND(",",LEFT($CT11,MAX(0,LEN($CT11)-2))),0),-1)&lt;=15.0)),OR($CJ11&lt;&gt;"comprimento",IFERROR(VALUE(SUBSTITUTE(LEFT($CT11,MAX(0,LEN($CT11)-2)),",",""))/10^IFERROR(LEN(LEFT($CT11,MAX(0,LEN($CT11)-2)))-FIND(",",LEFT($CT11,MAX(0,LEN($CT11)-2))),0),-1)&lt;=60.0))),"","Base incompatível com escada: area/personagem/classes_6_e_7")</f>
        <v/>
      </c>
      <c r="FA11">
        <f>IF(ISTEXT($CU11),"","Base precisa ser texto: area/entidade/classe_0")</f>
        <v/>
      </c>
      <c r="FB11">
        <f>IF(OR(NOT(AND($CG11,OR($DA11="area",$DE11="area"))),$CJ11="Fixo",$CU11="",$CU11="—",AND(AND(AND(RIGHT($CU11,2)=" m",IFERROR(VALUE(SUBSTITUTE(LEFT($CU11,MAX(0,LEN($CU11)-2)),",",""))/10^IFERROR(LEN(LEFT($CU11,MAX(0,LEN($CU11)-2)))-FIND(",",LEFT($CU11,MAX(0,LEN($CU11)-2))),0),-1)&gt;0),OR($CJ11&lt;&gt;"raio",IFERROR(VALUE(SUBSTITUTE(LEFT($CU11,MAX(0,LEN($CU11)-2)),",",""))/10^IFERROR(LEN(LEFT($CU11,MAX(0,LEN($CU11)-2)))-FIND(",",LEFT($CU11,MAX(0,LEN($CU11)-2))),0),-1)&lt;=15.0)),OR($CJ11&lt;&gt;"comprimento",IFERROR(VALUE(SUBSTITUTE(LEFT($CU11,MAX(0,LEN($CU11)-2)),",",""))/10^IFERROR(LEN(LEFT($CU11,MAX(0,LEN($CU11)-2)))-FIND(",",LEFT($CU11,MAX(0,LEN($CU11)-2))),0),-1)&lt;=60.0))),"","Base incompatível com escada: area/entidade/classe_0")</f>
        <v/>
      </c>
      <c r="FC11">
        <f>IF(ISTEXT($CV11),"","Base precisa ser texto: area/entidade/classes_1_a_5")</f>
        <v/>
      </c>
      <c r="FD11">
        <f>IF(OR(NOT(OR($DA11="area",$DE11="area")),$CJ11="Fixo",$CV11="",$CV11="—",AND(AND(AND(RIGHT($CV11,2)=" m",IFERROR(VALUE(SUBSTITUTE(LEFT($CV11,MAX(0,LEN($CV11)-2)),",",""))/10^IFERROR(LEN(LEFT($CV11,MAX(0,LEN($CV11)-2)))-FIND(",",LEFT($CV11,MAX(0,LEN($CV11)-2))),0),-1)&gt;0),OR($CJ11&lt;&gt;"raio",IFERROR(VALUE(SUBSTITUTE(LEFT($CV11,MAX(0,LEN($CV11)-2)),",",""))/10^IFERROR(LEN(LEFT($CV11,MAX(0,LEN($CV11)-2)))-FIND(",",LEFT($CV11,MAX(0,LEN($CV11)-2))),0),-1)&lt;=15.0)),OR($CJ11&lt;&gt;"comprimento",IFERROR(VALUE(SUBSTITUTE(LEFT($CV11,MAX(0,LEN($CV11)-2)),",",""))/10^IFERROR(LEN(LEFT($CV11,MAX(0,LEN($CV11)-2)))-FIND(",",LEFT($CV11,MAX(0,LEN($CV11)-2))),0),-1)&lt;=60.0))),"","Base incompatível com escada: area/entidade/classes_1_a_5")</f>
        <v/>
      </c>
      <c r="FE11">
        <f>IF(ISTEXT($CW11),"","Base precisa ser texto: area/entidade/classe_6")</f>
        <v/>
      </c>
      <c r="FF11">
        <f>IF(OR(NOT(OR($DA11="area",$DE11="area")),$CJ11="Fixo",$CW11="",$CW11="—",AND(AND(AND(RIGHT($CW11,2)=" m",IFERROR(VALUE(SUBSTITUTE(LEFT($CW11,MAX(0,LEN($CW11)-2)),",",""))/10^IFERROR(LEN(LEFT($CW11,MAX(0,LEN($CW11)-2)))-FIND(",",LEFT($CW11,MAX(0,LEN($CW11)-2))),0),-1)&gt;0),OR($CJ11&lt;&gt;"raio",IFERROR(VALUE(SUBSTITUTE(LEFT($CW11,MAX(0,LEN($CW11)-2)),",",""))/10^IFERROR(LEN(LEFT($CW11,MAX(0,LEN($CW11)-2)))-FIND(",",LEFT($CW11,MAX(0,LEN($CW11)-2))),0),-1)&lt;=15.0)),OR($CJ11&lt;&gt;"comprimento",IFERROR(VALUE(SUBSTITUTE(LEFT($CW11,MAX(0,LEN($CW11)-2)),",",""))/10^IFERROR(LEN(LEFT($CW11,MAX(0,LEN($CW11)-2)))-FIND(",",LEFT($CW11,MAX(0,LEN($CW11)-2))),0),-1)&lt;=60.0))),"","Base incompatível com escada: area/entidade/classe_6")</f>
        <v/>
      </c>
      <c r="FG11">
        <f>IF(ISTEXT($CX11),"","Base precisa ser texto: area/entidade/classe_7")</f>
        <v/>
      </c>
      <c r="FH11">
        <f>IF(OR(NOT(OR($DA11="area",$DE11="area")),$CJ11="Fixo",$CX11="",$CX11="—",AND(AND(AND(RIGHT($CX11,2)=" m",IFERROR(VALUE(SUBSTITUTE(LEFT($CX11,MAX(0,LEN($CX11)-2)),",",""))/10^IFERROR(LEN(LEFT($CX11,MAX(0,LEN($CX11)-2)))-FIND(",",LEFT($CX11,MAX(0,LEN($CX11)-2))),0),-1)&gt;0),OR($CJ11&lt;&gt;"raio",IFERROR(VALUE(SUBSTITUTE(LEFT($CX11,MAX(0,LEN($CX11)-2)),",",""))/10^IFERROR(LEN(LEFT($CX11,MAX(0,LEN($CX11)-2)))-FIND(",",LEFT($CX11,MAX(0,LEN($CX11)-2))),0),-1)&lt;=15.0)),OR($CJ11&lt;&gt;"comprimento",IFERROR(VALUE(SUBSTITUTE(LEFT($CX11,MAX(0,LEN($CX11)-2)),",",""))/10^IFERROR(LEN(LEFT($CX11,MAX(0,LEN($CX11)-2)))-FIND(",",LEFT($CX11,MAX(0,LEN($CX11)-2))),0),-1)&lt;=60.0))),"","Base incompatível com escada: area/entidade/classe_7")</f>
        <v/>
      </c>
      <c r="FJ11">
        <f>'DADOS_FORMAS'!$AH11</f>
        <v/>
      </c>
      <c r="FK11">
        <f>'DADOS_FORMAS'!$AM11</f>
        <v/>
      </c>
      <c r="FL11">
        <f>'DADOS_FORMAS'!$AN11</f>
        <v/>
      </c>
      <c r="FM11">
        <f>IF('DADOS_FORMAS'!$AN11=0,0,'DADOS_FORMAS'!$AN11+3*IFERROR(VLOOKUP(SUBSTITUTE(SUBSTITUTE(SUBSTITUTE('DADOS_FORMAS'!$AM11,"~","~~"),"*","~*"),"?","~?"),'DADOS_CRIACAO'!$H$2:$K$20,3,FALSE),0))</f>
        <v/>
      </c>
      <c r="FN11">
        <f>IFERROR(VLOOKUP(SUBSTITUTE(SUBSTITUTE(SUBSTITUTE('DADOS_FORMAS'!$AM11,"~","~~"),"*","~*"),"?","~?"),'DADOS_CRIACAO'!$H$2:$K$20,4,FALSE),0)</f>
        <v/>
      </c>
      <c r="FO11">
        <f>IF('DADOS_FORMAS'!$AS11="",0,1)</f>
        <v/>
      </c>
      <c r="FP11">
        <f>'DADOS_FORMAS'!$AP11</f>
        <v/>
      </c>
      <c r="FQ11">
        <f>IF(AND('DADOS_FORMAS'!$AO11="Acerto",'DADOS_FORMAS'!$AQ11),"Acerto + TR",'DADOS_FORMAS'!$AO11)</f>
        <v/>
      </c>
      <c r="FR11">
        <f>N(OR('DADOS_FORMAS'!$AQ11,'DADOS_FORMAS'!$AO11="TR, metade"))</f>
        <v/>
      </c>
      <c r="FS11">
        <f>'DADOS_FORMAS'!$BO11</f>
        <v/>
      </c>
      <c r="FT11">
        <f>'DADOS_FORMAS'!$BS11</f>
        <v/>
      </c>
      <c r="FU11">
        <f>'DADOS_FORMAS'!$BK11</f>
        <v/>
      </c>
      <c r="FV11">
        <f>N('DADOS_FORMAS'!$AR11)</f>
        <v/>
      </c>
      <c r="FW11">
        <f>IF(IFERROR(VLOOKUP(SUBSTITUTE(SUBSTITUTE(SUBSTITUTE('DADOS_FORMAS'!$AM11,"~","~~"),"*","~*"),"?","~?"),'DADOS_CRIACAO'!$H$2:$K$20,4,FALSE),0)=1,"",'DADOS_FORMAS'!$AH11)</f>
        <v/>
      </c>
      <c r="FX11">
        <f>IF(AND('DADOS_FORMAS'!$AR11,IFERROR(VLOOKUP(SUBSTITUTE(SUBSTITUTE(SUBSTITUTE('DADOS_FORMAS'!$AM11,"~","~~"),"*","~*"),"?","~?"),'DADOS_CRIACAO'!$H$2:$K$20,4,FALSE),0)=0),'DADOS_FORMAS'!$AH11,"")</f>
        <v/>
      </c>
      <c r="FZ11">
        <f>'DADOS_FORMAS'!$AH11</f>
        <v/>
      </c>
      <c r="GA11">
        <f>'DADOS_FORMAS'!$AM11</f>
        <v/>
      </c>
      <c r="GB11">
        <f>'DADOS_FORMAS'!$AN11</f>
        <v/>
      </c>
      <c r="GC11">
        <f>IF('DADOS_FORMAS'!$AS11="",0,1)</f>
        <v/>
      </c>
      <c r="GD11">
        <f>'DADOS_FORMAS'!$AP11</f>
        <v/>
      </c>
      <c r="GE11">
        <f>IF('DADOS_FORMAS'!$AO11="Acerto","Ataque",IF('DADOS_FORMAS'!$AQ11,"TR","—"))</f>
        <v/>
      </c>
      <c r="GF11">
        <f>N(OR('DADOS_FORMAS'!$AQ11,'DADOS_FORMAS'!$AO11="TR, metade"))</f>
        <v/>
      </c>
      <c r="GG11">
        <f>'DADOS_FORMAS'!$BO11</f>
        <v/>
      </c>
      <c r="GH11">
        <f>'DADOS_FORMAS'!$BS11</f>
        <v/>
      </c>
      <c r="GI11">
        <f>'DADOS_FORMAS'!$BK11</f>
        <v/>
      </c>
      <c r="GJ11">
        <f>N('DADOS_FORMAS'!$AR11)</f>
        <v/>
      </c>
      <c r="GR11">
        <f>'DADOS_FORMAS'!$BP13</f>
        <v/>
      </c>
      <c r="GS11">
        <f>IF('DADOS_FORMAS'!$BP13="area",'DADOS_FORMAS'!$AU13,'DADOS_FORMAS'!$AT13)</f>
        <v/>
      </c>
      <c r="GT11">
        <f>IF('DADOS_FORMAS'!$BP13="area",'DADOS_FORMAS'!$BD13,'DADOS_FORMAS'!$AW13)</f>
        <v/>
      </c>
      <c r="GU11">
        <f>'DADOS_FORMAS'!$BQ13</f>
        <v/>
      </c>
      <c r="GV11">
        <f>'DADOS_FORMAS'!$BR13</f>
        <v/>
      </c>
      <c r="GW11">
        <f>LET(base,'DADOS_FORMAS'!$GT11,escada,'DADOS_FORMAS'!$GS11,medida,LEFT(base,MAX(0,LEN(base)-2)),valor,IFERROR(VALUE(SUBSTITUTE(medida,",",""))/10^IFERROR(LEN(medida)-FIND(",",medida),0),1E99),IF(OR(escada="Fixo",base="—"),base,IF(escada="alcance",IFERROR(MATCH(base,{"1,5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1" t="inlineStr">
        <is>
          <t>Aura · classe 0</t>
        </is>
      </c>
      <c r="GZ11" t="inlineStr">
        <is>
          <t>Raio 3 m, em você</t>
        </is>
      </c>
      <c r="HA11" t="inlineStr">
        <is>
          <t>Raio 4,5 m, em você</t>
        </is>
      </c>
      <c r="HB11" t="inlineStr">
        <is>
          <t>Raio 6 m, em você</t>
        </is>
      </c>
      <c r="HC11" t="inlineStr">
        <is>
          <t>Raio 9 m, em você</t>
        </is>
      </c>
      <c r="HD11" t="inlineStr">
        <is>
          <t>Raio 15 m, em você</t>
        </is>
      </c>
      <c r="HE11" t="inlineStr">
        <is>
          <t>Raio 15 m, em você</t>
        </is>
      </c>
      <c r="HF11" t="inlineStr"/>
      <c r="HG11" t="inlineStr"/>
      <c r="HH11" t="inlineStr"/>
      <c r="HI11" t="inlineStr"/>
      <c r="HJ11" t="inlineStr"/>
      <c r="HK11" t="inlineStr"/>
      <c r="HM11">
        <f>'DADOS_FORMAS'!$BP13</f>
        <v/>
      </c>
      <c r="HN11">
        <f>IF('DADOS_FORMAS'!$BP13="area",'DADOS_FORMAS'!$AU13,'DADOS_FORMAS'!$AT13)</f>
        <v/>
      </c>
      <c r="HO11">
        <f>IF('DADOS_FORMAS'!$BP13="area",'DADOS_FORMAS'!$BF13,'DADOS_FORMAS'!$AY13)</f>
        <v/>
      </c>
      <c r="HP11">
        <f>'DADOS_FORMAS'!$BQ13</f>
        <v/>
      </c>
      <c r="HQ11">
        <f>'DADOS_FORMAS'!$BR13</f>
        <v/>
      </c>
      <c r="HR11">
        <f>LET(base,'DADOS_FORMAS'!$HO11,escada,'DADOS_FORMAS'!$HN11,medida,LEFT(base,MAX(0,LEN(base)-2)),valor,IFERROR(VALUE(SUBSTITUTE(medida,",",""))/10^IFERROR(LEN(medida)-FIND(",",medida),0),1E99),IF(OR(escada="Fixo",base="—"),base,IF(escada="alcance",IFERROR(MATCH(base,{"1,5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1" t="inlineStr">
        <is>
          <t>Explosão · classes 1 a 5</t>
        </is>
      </c>
      <c r="HU11" t="inlineStr">
        <is>
          <t>Raio 3 m</t>
        </is>
      </c>
      <c r="HV11" t="inlineStr">
        <is>
          <t>Raio 4,5 m</t>
        </is>
      </c>
      <c r="HW11" t="inlineStr">
        <is>
          <t>Raio 6 m</t>
        </is>
      </c>
      <c r="HX11" t="inlineStr">
        <is>
          <t>Raio 9 m</t>
        </is>
      </c>
      <c r="HY11" t="inlineStr">
        <is>
          <t>Raio 15 m</t>
        </is>
      </c>
      <c r="HZ11" t="inlineStr">
        <is>
          <t>Raio 15 m</t>
        </is>
      </c>
      <c r="IA11" t="inlineStr">
        <is>
          <t>, a 18 m</t>
        </is>
      </c>
      <c r="IB11" t="inlineStr">
        <is>
          <t>, a 36 m</t>
        </is>
      </c>
      <c r="IC11" t="inlineStr">
        <is>
          <t>, a 90 m</t>
        </is>
      </c>
      <c r="ID11" t="inlineStr">
        <is>
          <t>, a visão a olho nu</t>
        </is>
      </c>
      <c r="IE11" t="inlineStr">
        <is>
          <t>, a visão a olho nu</t>
        </is>
      </c>
      <c r="IF11" t="inlineStr">
        <is>
          <t>, a visão a olho nu</t>
        </is>
      </c>
      <c r="IH11">
        <f>IF(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H11,"")</f>
        <v/>
      </c>
      <c r="II11">
        <f>IF(AND(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R11),'DADOS_FORMAS'!$AH11,"")</f>
        <v/>
      </c>
      <c r="IK11">
        <f>IF(OR('DADOS_FORMAS'!$AM11='INVOCAÇÕES'!$O$246,'DADOS_FORMAS'!$AM11='INVOCAÇÕES'!$P$246,'DADOS_FORMAS'!$AM11='INVOCAÇÕES'!$Q$246,'DADOS_FORMAS'!$AM11='INVOCAÇÕES'!$R$246,'DADOS_FORMAS'!$AM11='INVOCAÇÕES'!$S$246,'DADOS_FORMAS'!$AM11='INVOCAÇÕES'!$O$248,'DADOS_FORMAS'!$AM11='INVOCAÇÕES'!$P$248,'DADOS_FORMAS'!$AM11='INVOCAÇÕES'!$Q$248,'DADOS_FORMAS'!$AM11='INVOCAÇÕES'!$R$248,'DADOS_FORMAS'!$AM11=""),'DADOS_FORMAS'!$AH11,"")</f>
        <v/>
      </c>
      <c r="IL11">
        <f>IF(AND(OR('DADOS_FORMAS'!$AM11='INVOCAÇÕES'!$O$246,'DADOS_FORMAS'!$AM11='INVOCAÇÕES'!$P$246,'DADOS_FORMAS'!$AM11='INVOCAÇÕES'!$Q$246,'DADOS_FORMAS'!$AM11='INVOCAÇÕES'!$R$246,'DADOS_FORMAS'!$AM11='INVOCAÇÕES'!$S$246,'DADOS_FORMAS'!$AM11='INVOCAÇÕES'!$O$248,'DADOS_FORMAS'!$AM11='INVOCAÇÕES'!$P$248,'DADOS_FORMAS'!$AM11='INVOCAÇÕES'!$Q$248,'DADOS_FORMAS'!$AM11='INVOCAÇÕES'!$R$248,'DADOS_FORMAS'!$AM11=""),'DADOS_FORMAS'!$AR11),'DADOS_FORMAS'!$AH11,"")</f>
        <v/>
      </c>
      <c r="IN11">
        <f>IF(OR('DADOS_FORMAS'!$AM11='INVOCAÇÕES'!$O$444,'DADOS_FORMAS'!$AM11='INVOCAÇÕES'!$P$444,'DADOS_FORMAS'!$AM11='INVOCAÇÕES'!$Q$444,'DADOS_FORMAS'!$AM11='INVOCAÇÕES'!$R$444,'DADOS_FORMAS'!$AM11='INVOCAÇÕES'!$S$444,'DADOS_FORMAS'!$AM11='INVOCAÇÕES'!$O$446,'DADOS_FORMAS'!$AM11='INVOCAÇÕES'!$P$446,'DADOS_FORMAS'!$AM11='INVOCAÇÕES'!$Q$446,'DADOS_FORMAS'!$AM11='INVOCAÇÕES'!$R$446,'DADOS_FORMAS'!$AM11=""),'DADOS_FORMAS'!$AH11,"")</f>
        <v/>
      </c>
      <c r="IO11">
        <f>IF(AND(OR('DADOS_FORMAS'!$AM11='INVOCAÇÕES'!$O$444,'DADOS_FORMAS'!$AM11='INVOCAÇÕES'!$P$444,'DADOS_FORMAS'!$AM11='INVOCAÇÕES'!$Q$444,'DADOS_FORMAS'!$AM11='INVOCAÇÕES'!$R$444,'DADOS_FORMAS'!$AM11='INVOCAÇÕES'!$S$444,'DADOS_FORMAS'!$AM11='INVOCAÇÕES'!$O$446,'DADOS_FORMAS'!$AM11='INVOCAÇÕES'!$P$446,'DADOS_FORMAS'!$AM11='INVOCAÇÕES'!$Q$446,'DADOS_FORMAS'!$AM11='INVOCAÇÕES'!$R$446,'DADOS_FORMAS'!$AM11=""),'DADOS_FORMAS'!$AR11),'DADOS_FORMAS'!$AH11,"")</f>
        <v/>
      </c>
      <c r="IQ11">
        <f>IF(OR('DADOS_FORMAS'!$AM11='INVOCAÇÕES'!$O$642,'DADOS_FORMAS'!$AM11='INVOCAÇÕES'!$P$642,'DADOS_FORMAS'!$AM11='INVOCAÇÕES'!$Q$642,'DADOS_FORMAS'!$AM11='INVOCAÇÕES'!$R$642,'DADOS_FORMAS'!$AM11='INVOCAÇÕES'!$S$642,'DADOS_FORMAS'!$AM11='INVOCAÇÕES'!$O$644,'DADOS_FORMAS'!$AM11='INVOCAÇÕES'!$P$644,'DADOS_FORMAS'!$AM11='INVOCAÇÕES'!$Q$644,'DADOS_FORMAS'!$AM11='INVOCAÇÕES'!$R$644,'DADOS_FORMAS'!$AM11=""),'DADOS_FORMAS'!$AH11,"")</f>
        <v/>
      </c>
      <c r="IR11">
        <f>IF(AND(OR('DADOS_FORMAS'!$AM11='INVOCAÇÕES'!$O$642,'DADOS_FORMAS'!$AM11='INVOCAÇÕES'!$P$642,'DADOS_FORMAS'!$AM11='INVOCAÇÕES'!$Q$642,'DADOS_FORMAS'!$AM11='INVOCAÇÕES'!$R$642,'DADOS_FORMAS'!$AM11='INVOCAÇÕES'!$S$642,'DADOS_FORMAS'!$AM11='INVOCAÇÕES'!$O$644,'DADOS_FORMAS'!$AM11='INVOCAÇÕES'!$P$644,'DADOS_FORMAS'!$AM11='INVOCAÇÕES'!$Q$644,'DADOS_FORMAS'!$AM11='INVOCAÇÕES'!$R$644,'DADOS_FORMAS'!$AM11=""),'DADOS_FORMAS'!$AR11),'DADOS_FORMAS'!$AH11,"")</f>
        <v/>
      </c>
      <c r="IT11">
        <f>IF(OR('DADOS_FORMAS'!$AM11='INVOCAÇÕES'!$O$840,'DADOS_FORMAS'!$AM11='INVOCAÇÕES'!$P$840,'DADOS_FORMAS'!$AM11='INVOCAÇÕES'!$Q$840,'DADOS_FORMAS'!$AM11='INVOCAÇÕES'!$R$840,'DADOS_FORMAS'!$AM11='INVOCAÇÕES'!$S$840,'DADOS_FORMAS'!$AM11='INVOCAÇÕES'!$O$842,'DADOS_FORMAS'!$AM11='INVOCAÇÕES'!$P$842,'DADOS_FORMAS'!$AM11='INVOCAÇÕES'!$Q$842,'DADOS_FORMAS'!$AM11='INVOCAÇÕES'!$R$842,'DADOS_FORMAS'!$AM11=""),'DADOS_FORMAS'!$AH11,"")</f>
        <v/>
      </c>
      <c r="IU11">
        <f>IF(AND(OR('DADOS_FORMAS'!$AM11='INVOCAÇÕES'!$O$840,'DADOS_FORMAS'!$AM11='INVOCAÇÕES'!$P$840,'DADOS_FORMAS'!$AM11='INVOCAÇÕES'!$Q$840,'DADOS_FORMAS'!$AM11='INVOCAÇÕES'!$R$840,'DADOS_FORMAS'!$AM11='INVOCAÇÕES'!$S$840,'DADOS_FORMAS'!$AM11='INVOCAÇÕES'!$O$842,'DADOS_FORMAS'!$AM11='INVOCAÇÕES'!$P$842,'DADOS_FORMAS'!$AM11='INVOCAÇÕES'!$Q$842,'DADOS_FORMAS'!$AM11='INVOCAÇÕES'!$R$842,'DADOS_FORMAS'!$AM11=""),'DADOS_FORMAS'!$AR11),'DADOS_FORMAS'!$AH11,"")</f>
        <v/>
      </c>
      <c r="IW11">
        <f>IF(OR('DADOS_FORMAS'!$AM11='INVOCAÇÕES'!$O$1038,'DADOS_FORMAS'!$AM11='INVOCAÇÕES'!$P$1038,'DADOS_FORMAS'!$AM11='INVOCAÇÕES'!$Q$1038,'DADOS_FORMAS'!$AM11='INVOCAÇÕES'!$R$1038,'DADOS_FORMAS'!$AM11='INVOCAÇÕES'!$S$1038,'DADOS_FORMAS'!$AM11='INVOCAÇÕES'!$O$1040,'DADOS_FORMAS'!$AM11='INVOCAÇÕES'!$P$1040,'DADOS_FORMAS'!$AM11='INVOCAÇÕES'!$Q$1040,'DADOS_FORMAS'!$AM11='INVOCAÇÕES'!$R$1040,'DADOS_FORMAS'!$AM11=""),'DADOS_FORMAS'!$AH11,"")</f>
        <v/>
      </c>
      <c r="IX11">
        <f>IF(AND(OR('DADOS_FORMAS'!$AM11='INVOCAÇÕES'!$O$1038,'DADOS_FORMAS'!$AM11='INVOCAÇÕES'!$P$1038,'DADOS_FORMAS'!$AM11='INVOCAÇÕES'!$Q$1038,'DADOS_FORMAS'!$AM11='INVOCAÇÕES'!$R$1038,'DADOS_FORMAS'!$AM11='INVOCAÇÕES'!$S$1038,'DADOS_FORMAS'!$AM11='INVOCAÇÕES'!$O$1040,'DADOS_FORMAS'!$AM11='INVOCAÇÕES'!$P$1040,'DADOS_FORMAS'!$AM11='INVOCAÇÕES'!$Q$1040,'DADOS_FORMAS'!$AM11='INVOCAÇÕES'!$R$1040,'DADOS_FORMAS'!$AM11=""),'DADOS_FORMAS'!$AR11),'DADOS_FORMAS'!$AH11,"")</f>
        <v/>
      </c>
      <c r="IZ11">
        <f>IF(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H11,"")</f>
        <v/>
      </c>
      <c r="JA11">
        <f>IF(AND(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R11),'DADOS_FORMAS'!$AH11,"")</f>
        <v/>
      </c>
      <c r="JC11">
        <f>IF(OR('DADOS_FORMAS'!$AM11='INVOCAÇÕES'!$AH$246,'DADOS_FORMAS'!$AM11='INVOCAÇÕES'!$AI$246,'DADOS_FORMAS'!$AM11='INVOCAÇÕES'!$AJ$246,'DADOS_FORMAS'!$AM11='INVOCAÇÕES'!$AK$246,'DADOS_FORMAS'!$AM11='INVOCAÇÕES'!$AL$246,'DADOS_FORMAS'!$AM11='INVOCAÇÕES'!$AH$248,'DADOS_FORMAS'!$AM11='INVOCAÇÕES'!$AI$248,'DADOS_FORMAS'!$AM11='INVOCAÇÕES'!$AJ$248,'DADOS_FORMAS'!$AM11='INVOCAÇÕES'!$AK$248,'DADOS_FORMAS'!$AM11=""),'DADOS_FORMAS'!$AH11,"")</f>
        <v/>
      </c>
      <c r="JD11">
        <f>IF(AND(OR('DADOS_FORMAS'!$AM11='INVOCAÇÕES'!$AH$246,'DADOS_FORMAS'!$AM11='INVOCAÇÕES'!$AI$246,'DADOS_FORMAS'!$AM11='INVOCAÇÕES'!$AJ$246,'DADOS_FORMAS'!$AM11='INVOCAÇÕES'!$AK$246,'DADOS_FORMAS'!$AM11='INVOCAÇÕES'!$AL$246,'DADOS_FORMAS'!$AM11='INVOCAÇÕES'!$AH$248,'DADOS_FORMAS'!$AM11='INVOCAÇÕES'!$AI$248,'DADOS_FORMAS'!$AM11='INVOCAÇÕES'!$AJ$248,'DADOS_FORMAS'!$AM11='INVOCAÇÕES'!$AK$248,'DADOS_FORMAS'!$AM11=""),'DADOS_FORMAS'!$AR11),'DADOS_FORMAS'!$AH11,"")</f>
        <v/>
      </c>
      <c r="JF11">
        <f>IF(OR('DADOS_FORMAS'!$AM11='INVOCAÇÕES'!$AH$444,'DADOS_FORMAS'!$AM11='INVOCAÇÕES'!$AI$444,'DADOS_FORMAS'!$AM11='INVOCAÇÕES'!$AJ$444,'DADOS_FORMAS'!$AM11='INVOCAÇÕES'!$AK$444,'DADOS_FORMAS'!$AM11='INVOCAÇÕES'!$AL$444,'DADOS_FORMAS'!$AM11='INVOCAÇÕES'!$AH$446,'DADOS_FORMAS'!$AM11='INVOCAÇÕES'!$AI$446,'DADOS_FORMAS'!$AM11='INVOCAÇÕES'!$AJ$446,'DADOS_FORMAS'!$AM11='INVOCAÇÕES'!$AK$446,'DADOS_FORMAS'!$AM11=""),'DADOS_FORMAS'!$AH11,"")</f>
        <v/>
      </c>
      <c r="JG11">
        <f>IF(AND(OR('DADOS_FORMAS'!$AM11='INVOCAÇÕES'!$AH$444,'DADOS_FORMAS'!$AM11='INVOCAÇÕES'!$AI$444,'DADOS_FORMAS'!$AM11='INVOCAÇÕES'!$AJ$444,'DADOS_FORMAS'!$AM11='INVOCAÇÕES'!$AK$444,'DADOS_FORMAS'!$AM11='INVOCAÇÕES'!$AL$444,'DADOS_FORMAS'!$AM11='INVOCAÇÕES'!$AH$446,'DADOS_FORMAS'!$AM11='INVOCAÇÕES'!$AI$446,'DADOS_FORMAS'!$AM11='INVOCAÇÕES'!$AJ$446,'DADOS_FORMAS'!$AM11='INVOCAÇÕES'!$AK$446,'DADOS_FORMAS'!$AM11=""),'DADOS_FORMAS'!$AR11),'DADOS_FORMAS'!$AH11,"")</f>
        <v/>
      </c>
      <c r="JI11">
        <f>IF(OR('DADOS_FORMAS'!$AM11='INVOCAÇÕES'!$AH$642,'DADOS_FORMAS'!$AM11='INVOCAÇÕES'!$AI$642,'DADOS_FORMAS'!$AM11='INVOCAÇÕES'!$AJ$642,'DADOS_FORMAS'!$AM11='INVOCAÇÕES'!$AK$642,'DADOS_FORMAS'!$AM11='INVOCAÇÕES'!$AL$642,'DADOS_FORMAS'!$AM11='INVOCAÇÕES'!$AH$644,'DADOS_FORMAS'!$AM11='INVOCAÇÕES'!$AI$644,'DADOS_FORMAS'!$AM11='INVOCAÇÕES'!$AJ$644,'DADOS_FORMAS'!$AM11='INVOCAÇÕES'!$AK$644,'DADOS_FORMAS'!$AM11=""),'DADOS_FORMAS'!$AH11,"")</f>
        <v/>
      </c>
      <c r="JJ11">
        <f>IF(AND(OR('DADOS_FORMAS'!$AM11='INVOCAÇÕES'!$AH$642,'DADOS_FORMAS'!$AM11='INVOCAÇÕES'!$AI$642,'DADOS_FORMAS'!$AM11='INVOCAÇÕES'!$AJ$642,'DADOS_FORMAS'!$AM11='INVOCAÇÕES'!$AK$642,'DADOS_FORMAS'!$AM11='INVOCAÇÕES'!$AL$642,'DADOS_FORMAS'!$AM11='INVOCAÇÕES'!$AH$644,'DADOS_FORMAS'!$AM11='INVOCAÇÕES'!$AI$644,'DADOS_FORMAS'!$AM11='INVOCAÇÕES'!$AJ$644,'DADOS_FORMAS'!$AM11='INVOCAÇÕES'!$AK$644,'DADOS_FORMAS'!$AM11=""),'DADOS_FORMAS'!$AR11),'DADOS_FORMAS'!$AH11,"")</f>
        <v/>
      </c>
      <c r="JL11">
        <f>IF(OR('DADOS_FORMAS'!$AM11='INVOCAÇÕES'!$AH$840,'DADOS_FORMAS'!$AM11='INVOCAÇÕES'!$AI$840,'DADOS_FORMAS'!$AM11='INVOCAÇÕES'!$AJ$840,'DADOS_FORMAS'!$AM11='INVOCAÇÕES'!$AK$840,'DADOS_FORMAS'!$AM11='INVOCAÇÕES'!$AL$840,'DADOS_FORMAS'!$AM11='INVOCAÇÕES'!$AH$842,'DADOS_FORMAS'!$AM11='INVOCAÇÕES'!$AI$842,'DADOS_FORMAS'!$AM11='INVOCAÇÕES'!$AJ$842,'DADOS_FORMAS'!$AM11='INVOCAÇÕES'!$AK$842,'DADOS_FORMAS'!$AM11=""),'DADOS_FORMAS'!$AH11,"")</f>
        <v/>
      </c>
      <c r="JM11">
        <f>IF(AND(OR('DADOS_FORMAS'!$AM11='INVOCAÇÕES'!$AH$840,'DADOS_FORMAS'!$AM11='INVOCAÇÕES'!$AI$840,'DADOS_FORMAS'!$AM11='INVOCAÇÕES'!$AJ$840,'DADOS_FORMAS'!$AM11='INVOCAÇÕES'!$AK$840,'DADOS_FORMAS'!$AM11='INVOCAÇÕES'!$AL$840,'DADOS_FORMAS'!$AM11='INVOCAÇÕES'!$AH$842,'DADOS_FORMAS'!$AM11='INVOCAÇÕES'!$AI$842,'DADOS_FORMAS'!$AM11='INVOCAÇÕES'!$AJ$842,'DADOS_FORMAS'!$AM11='INVOCAÇÕES'!$AK$842,'DADOS_FORMAS'!$AM11=""),'DADOS_FORMAS'!$AR11),'DADOS_FORMAS'!$AH11,"")</f>
        <v/>
      </c>
      <c r="JO11">
        <f>IF(OR('DADOS_FORMAS'!$AM11='INVOCAÇÕES'!$AH$1038,'DADOS_FORMAS'!$AM11='INVOCAÇÕES'!$AI$1038,'DADOS_FORMAS'!$AM11='INVOCAÇÕES'!$AJ$1038,'DADOS_FORMAS'!$AM11='INVOCAÇÕES'!$AK$1038,'DADOS_FORMAS'!$AM11='INVOCAÇÕES'!$AL$1038,'DADOS_FORMAS'!$AM11='INVOCAÇÕES'!$AH$1040,'DADOS_FORMAS'!$AM11='INVOCAÇÕES'!$AI$1040,'DADOS_FORMAS'!$AM11='INVOCAÇÕES'!$AJ$1040,'DADOS_FORMAS'!$AM11='INVOCAÇÕES'!$AK$1040,'DADOS_FORMAS'!$AM11=""),'DADOS_FORMAS'!$AH11,"")</f>
        <v/>
      </c>
      <c r="JP11">
        <f>IF(AND(OR('DADOS_FORMAS'!$AM11='INVOCAÇÕES'!$AH$1038,'DADOS_FORMAS'!$AM11='INVOCAÇÕES'!$AI$1038,'DADOS_FORMAS'!$AM11='INVOCAÇÕES'!$AJ$1038,'DADOS_FORMAS'!$AM11='INVOCAÇÕES'!$AK$1038,'DADOS_FORMAS'!$AM11='INVOCAÇÕES'!$AL$1038,'DADOS_FORMAS'!$AM11='INVOCAÇÕES'!$AH$1040,'DADOS_FORMAS'!$AM11='INVOCAÇÕES'!$AI$1040,'DADOS_FORMAS'!$AM11='INVOCAÇÕES'!$AJ$1040,'DADOS_FORMAS'!$AM11='INVOCAÇÕES'!$AK$1040,'DADOS_FORMAS'!$AM11=""),'DADOS_FORMAS'!$AR11),'DADOS_FORMAS'!$AH11,"")</f>
        <v/>
      </c>
      <c r="JR11" t="inlineStr">
        <is>
          <t>Onda</t>
        </is>
      </c>
      <c r="JZ11">
        <f>IFERROR(INDEX('DADOS_CRIACAO'!$H$2:$H$20,9),"")</f>
        <v/>
      </c>
      <c r="KA11">
        <f>IFERROR(INDEX(INDEX('DADOS_RESTRICOES'!$M$2:$Q$54,0,1),9),"")</f>
        <v/>
      </c>
    </row>
    <row r="12">
      <c r="AG12">
        <f>IF(AND($AF2,$AD2=""),$BV2,"")</f>
        <v/>
      </c>
      <c r="AH12">
        <f>IF(AND($AF2,$AD2=""),$BW2,"")</f>
        <v/>
      </c>
      <c r="AI12">
        <f>IF(AND($AF2,$AD2=""),$BX2,"")</f>
        <v/>
      </c>
      <c r="AJ12">
        <f>IF(AND($AF2,$AD2=""),$BY2,FALSE)</f>
        <v/>
      </c>
      <c r="AK12">
        <f>IF(AND($AF2,$AD2=""),$BZ2,"")</f>
        <v/>
      </c>
      <c r="AL12">
        <f>IF(AND($AF2,$AD2=""),$CA2,"")</f>
        <v/>
      </c>
      <c r="AM12">
        <f>IF(AND($AF2,$AD2=""),$CB2,"")</f>
        <v/>
      </c>
      <c r="AN12">
        <f>IF(AND($AF2,$AD2=""),$CC2,0)</f>
        <v/>
      </c>
      <c r="AO12">
        <f>IF(AND($AF2,$AD2=""),$CD2,"")</f>
        <v/>
      </c>
      <c r="AP12">
        <f>IF(AND($AF2,$AD2=""),$CE2,0)</f>
        <v/>
      </c>
      <c r="AQ12">
        <f>IF(AND($AF2,$AD2=""),$CF2,FALSE)</f>
        <v/>
      </c>
      <c r="AR12">
        <f>IF(AND($AF2,$AD2=""),$CG2,FALSE)</f>
        <v/>
      </c>
      <c r="AS12">
        <f>IF(AND($AF2,$AD2=""),$CH2,"")</f>
        <v/>
      </c>
      <c r="AT12">
        <f>IF(AND($AF2,$AD2=""),$CI2,"")</f>
        <v/>
      </c>
      <c r="AU12">
        <f>IF(AND($AF2,$AD2=""),$CJ2,"")</f>
        <v/>
      </c>
      <c r="AV12">
        <f>IF(AND($AF2,$AD2=""),$CK2,"")</f>
        <v/>
      </c>
      <c r="AW12">
        <f>IF(AND($AF2,$AD2=""),$CL2,"")</f>
        <v/>
      </c>
      <c r="AX12">
        <f>IF(AND($AF2,$AD2=""),$CM2,"")</f>
        <v/>
      </c>
      <c r="AY12">
        <f>IF(AND($AF2,$AD2=""),$CN2,"")</f>
        <v/>
      </c>
      <c r="AZ12">
        <f>IF(AND($AF2,$AD2=""),$CO2,"")</f>
        <v/>
      </c>
      <c r="BA12">
        <f>IF(AND($AF2,$AD2=""),$CP2,"")</f>
        <v/>
      </c>
      <c r="BB12">
        <f>IF(AND($AF2,$AD2=""),$CQ2,"")</f>
        <v/>
      </c>
      <c r="BC12">
        <f>IF(AND($AF2,$AD2=""),$CR2,"")</f>
        <v/>
      </c>
      <c r="BD12">
        <f>IF(AND($AF2,$AD2=""),$CS2,"")</f>
        <v/>
      </c>
      <c r="BE12">
        <f>IF(AND($AF2,$AD2=""),$CT2,"")</f>
        <v/>
      </c>
      <c r="BF12">
        <f>IF(AND($AF2,$AD2=""),$CU2,"")</f>
        <v/>
      </c>
      <c r="BG12">
        <f>IF(AND($AF2,$AD2=""),$CV2,"")</f>
        <v/>
      </c>
      <c r="BH12">
        <f>IF(AND($AF2,$AD2=""),$CW2,"")</f>
        <v/>
      </c>
      <c r="BI12">
        <f>IF(AND($AF2,$AD2=""),$CX2,"")</f>
        <v/>
      </c>
      <c r="BJ12">
        <f>IF(AND($AF2,$AD2=""),$CY2,"")</f>
        <v/>
      </c>
      <c r="BK12">
        <f>IF(AND($AF2,$AD2=""),$CZ2,0)</f>
        <v/>
      </c>
      <c r="BL12">
        <f>IF(AND($AF2,$AD2=""),$DA2,"")</f>
        <v/>
      </c>
      <c r="BM12">
        <f>IF(AND($AF2,$AD2=""),$DB2,"")</f>
        <v/>
      </c>
      <c r="BN12">
        <f>IF(AND($AF2,$AD2=""),$DC2,"")</f>
        <v/>
      </c>
      <c r="BO12">
        <f>IF(AND($AF2,$AD2=""),$DD2,0)</f>
        <v/>
      </c>
      <c r="BP12">
        <f>IF(AND($AF2,$AD2=""),$DE2,"")</f>
        <v/>
      </c>
      <c r="BQ12">
        <f>IF(AND($AF2,$AD2=""),$DF2,"")</f>
        <v/>
      </c>
      <c r="BR12">
        <f>IF(AND($AF2,$AD2=""),$DG2,"")</f>
        <v/>
      </c>
      <c r="BS12">
        <f>IF(AND($AF2,$AD2=""),$DH2,0)</f>
        <v/>
      </c>
      <c r="FJ12">
        <f>'DADOS_FORMAS'!$AH12</f>
        <v/>
      </c>
      <c r="FK12">
        <f>'DADOS_FORMAS'!$AM12</f>
        <v/>
      </c>
      <c r="FL12">
        <f>'DADOS_FORMAS'!$AN12</f>
        <v/>
      </c>
      <c r="FM12">
        <f>IF('DADOS_FORMAS'!$AN12=0,0,'DADOS_FORMAS'!$AN12+3*IFERROR(VLOOKUP(SUBSTITUTE(SUBSTITUTE(SUBSTITUTE('DADOS_FORMAS'!$AM12,"~","~~"),"*","~*"),"?","~?"),'DADOS_CRIACAO'!$H$2:$K$20,3,FALSE),0))</f>
        <v/>
      </c>
      <c r="FN12">
        <f>IFERROR(VLOOKUP(SUBSTITUTE(SUBSTITUTE(SUBSTITUTE('DADOS_FORMAS'!$AM12,"~","~~"),"*","~*"),"?","~?"),'DADOS_CRIACAO'!$H$2:$K$20,4,FALSE),0)</f>
        <v/>
      </c>
      <c r="FO12">
        <f>IF('DADOS_FORMAS'!$AS12="",0,1)</f>
        <v/>
      </c>
      <c r="FP12">
        <f>'DADOS_FORMAS'!$AP12</f>
        <v/>
      </c>
      <c r="FQ12">
        <f>IF(AND('DADOS_FORMAS'!$AO12="Acerto",'DADOS_FORMAS'!$AQ12),"Acerto + TR",'DADOS_FORMAS'!$AO12)</f>
        <v/>
      </c>
      <c r="FR12">
        <f>N(OR('DADOS_FORMAS'!$AQ12,'DADOS_FORMAS'!$AO12="TR, metade"))</f>
        <v/>
      </c>
      <c r="FS12">
        <f>'DADOS_FORMAS'!$BO12</f>
        <v/>
      </c>
      <c r="FT12">
        <f>'DADOS_FORMAS'!$BS12</f>
        <v/>
      </c>
      <c r="FU12">
        <f>'DADOS_FORMAS'!$BK12</f>
        <v/>
      </c>
      <c r="FV12">
        <f>N('DADOS_FORMAS'!$AR12)</f>
        <v/>
      </c>
      <c r="FW12">
        <f>IF(IFERROR(VLOOKUP(SUBSTITUTE(SUBSTITUTE(SUBSTITUTE('DADOS_FORMAS'!$AM12,"~","~~"),"*","~*"),"?","~?"),'DADOS_CRIACAO'!$H$2:$K$20,4,FALSE),0)=1,"",'DADOS_FORMAS'!$AH12)</f>
        <v/>
      </c>
      <c r="FX12">
        <f>IF(AND('DADOS_FORMAS'!$AR12,IFERROR(VLOOKUP(SUBSTITUTE(SUBSTITUTE(SUBSTITUTE('DADOS_FORMAS'!$AM12,"~","~~"),"*","~*"),"?","~?"),'DADOS_CRIACAO'!$H$2:$K$20,4,FALSE),0)=0),'DADOS_FORMAS'!$AH12,"")</f>
        <v/>
      </c>
      <c r="FZ12">
        <f>'DADOS_FORMAS'!$AH12</f>
        <v/>
      </c>
      <c r="GA12">
        <f>'DADOS_FORMAS'!$AM12</f>
        <v/>
      </c>
      <c r="GB12">
        <f>'DADOS_FORMAS'!$AN12</f>
        <v/>
      </c>
      <c r="GC12">
        <f>IF('DADOS_FORMAS'!$AS12="",0,1)</f>
        <v/>
      </c>
      <c r="GD12">
        <f>'DADOS_FORMAS'!$AP12</f>
        <v/>
      </c>
      <c r="GE12">
        <f>IF('DADOS_FORMAS'!$AO12="Acerto","Ataque",IF('DADOS_FORMAS'!$AQ12,"TR","—"))</f>
        <v/>
      </c>
      <c r="GF12">
        <f>N(OR('DADOS_FORMAS'!$AQ12,'DADOS_FORMAS'!$AO12="TR, metade"))</f>
        <v/>
      </c>
      <c r="GG12">
        <f>'DADOS_FORMAS'!$BO12</f>
        <v/>
      </c>
      <c r="GH12">
        <f>'DADOS_FORMAS'!$BS12</f>
        <v/>
      </c>
      <c r="GI12">
        <f>'DADOS_FORMAS'!$BK12</f>
        <v/>
      </c>
      <c r="GJ12">
        <f>N('DADOS_FORMAS'!$AR12)</f>
        <v/>
      </c>
      <c r="GR12">
        <f>'DADOS_FORMAS'!$BL13</f>
        <v/>
      </c>
      <c r="GS12">
        <f>IF('DADOS_FORMAS'!$BL13="area",'DADOS_FORMAS'!$AU13,'DADOS_FORMAS'!$AT13)</f>
        <v/>
      </c>
      <c r="GT12">
        <f>IF('DADOS_FORMAS'!$BL13="area",'DADOS_FORMAS'!$BE13,'DADOS_FORMAS'!$AX13)</f>
        <v/>
      </c>
      <c r="GU12">
        <f>'DADOS_FORMAS'!$BM13</f>
        <v/>
      </c>
      <c r="GV12">
        <f>'DADOS_FORMAS'!$BN13</f>
        <v/>
      </c>
      <c r="GW12">
        <f>LET(base,'DADOS_FORMAS'!$GT12,escada,'DADOS_FORMAS'!$GS12,medida,LEFT(base,MAX(0,LEN(base)-2)),valor,IFERROR(VALUE(SUBSTITUTE(medida,",",""))/10^IFERROR(LEN(medida)-FIND(",",medida),0),1E99),IF(OR(escada="Fixo",base="—"),base,IF(escada="alcance",IFERROR(MATCH(base,{"1,5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2" t="inlineStr">
        <is>
          <t>Aura · classes 1 a 5</t>
        </is>
      </c>
      <c r="GZ12" t="inlineStr">
        <is>
          <t>Raio 3 m, em você</t>
        </is>
      </c>
      <c r="HA12" t="inlineStr">
        <is>
          <t>Raio 4,5 m, em você</t>
        </is>
      </c>
      <c r="HB12" t="inlineStr">
        <is>
          <t>Raio 6 m, em você</t>
        </is>
      </c>
      <c r="HC12" t="inlineStr">
        <is>
          <t>Raio 9 m, em você</t>
        </is>
      </c>
      <c r="HD12" t="inlineStr">
        <is>
          <t>Raio 15 m, em você</t>
        </is>
      </c>
      <c r="HE12" t="inlineStr">
        <is>
          <t>Raio 15 m, em você</t>
        </is>
      </c>
      <c r="HF12" t="inlineStr"/>
      <c r="HG12" t="inlineStr"/>
      <c r="HH12" t="inlineStr"/>
      <c r="HI12" t="inlineStr"/>
      <c r="HJ12" t="inlineStr"/>
      <c r="HK12" t="inlineStr"/>
      <c r="HM12">
        <f>'DADOS_FORMAS'!$BL13</f>
        <v/>
      </c>
      <c r="HN12">
        <f>IF('DADOS_FORMAS'!$BL13="area",'DADOS_FORMAS'!$AU13,'DADOS_FORMAS'!$AT13)</f>
        <v/>
      </c>
      <c r="HO12">
        <f>IF('DADOS_FORMAS'!$BL13="area",'DADOS_FORMAS'!$BG13,'DADOS_FORMAS'!$AZ13)</f>
        <v/>
      </c>
      <c r="HP12">
        <f>'DADOS_FORMAS'!$BM13</f>
        <v/>
      </c>
      <c r="HQ12">
        <f>'DADOS_FORMAS'!$BN13</f>
        <v/>
      </c>
      <c r="HR12">
        <f>LET(base,'DADOS_FORMAS'!$HO12,escada,'DADOS_FORMAS'!$HN12,medida,LEFT(base,MAX(0,LEN(base)-2)),valor,IFERROR(VALUE(SUBSTITUTE(medida,",",""))/10^IFERROR(LEN(medida)-FIND(",",medida),0),1E99),IF(OR(escada="Fixo",base="—"),base,IF(escada="alcance",IFERROR(MATCH(base,{"1,5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2" t="inlineStr">
        <is>
          <t>Explosão · classe 6</t>
        </is>
      </c>
      <c r="HU12" t="inlineStr">
        <is>
          <t>Raio 3 m</t>
        </is>
      </c>
      <c r="HV12" t="inlineStr">
        <is>
          <t>Raio 4,5 m</t>
        </is>
      </c>
      <c r="HW12" t="inlineStr">
        <is>
          <t>Raio 6 m</t>
        </is>
      </c>
      <c r="HX12" t="inlineStr">
        <is>
          <t>Raio 9 m</t>
        </is>
      </c>
      <c r="HY12" t="inlineStr">
        <is>
          <t>Raio 15 m</t>
        </is>
      </c>
      <c r="HZ12" t="inlineStr">
        <is>
          <t>Raio 15 m</t>
        </is>
      </c>
      <c r="IA12" t="inlineStr">
        <is>
          <t>, a 36 m</t>
        </is>
      </c>
      <c r="IB12" t="inlineStr">
        <is>
          <t>, a 90 m</t>
        </is>
      </c>
      <c r="IC12" t="inlineStr">
        <is>
          <t>, a visão a olho nu</t>
        </is>
      </c>
      <c r="ID12" t="inlineStr">
        <is>
          <t>, a visão a olho nu</t>
        </is>
      </c>
      <c r="IE12" t="inlineStr">
        <is>
          <t>, a visão a olho nu</t>
        </is>
      </c>
      <c r="IF12" t="inlineStr">
        <is>
          <t>, a visão a olho nu</t>
        </is>
      </c>
      <c r="IH12">
        <f>IF(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H12,"")</f>
        <v/>
      </c>
      <c r="II12">
        <f>IF(AND(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R12),'DADOS_FORMAS'!$AH12,"")</f>
        <v/>
      </c>
      <c r="IK12">
        <f>IF(OR('DADOS_FORMAS'!$AM12='INVOCAÇÕES'!$O$246,'DADOS_FORMAS'!$AM12='INVOCAÇÕES'!$P$246,'DADOS_FORMAS'!$AM12='INVOCAÇÕES'!$Q$246,'DADOS_FORMAS'!$AM12='INVOCAÇÕES'!$R$246,'DADOS_FORMAS'!$AM12='INVOCAÇÕES'!$S$246,'DADOS_FORMAS'!$AM12='INVOCAÇÕES'!$O$248,'DADOS_FORMAS'!$AM12='INVOCAÇÕES'!$P$248,'DADOS_FORMAS'!$AM12='INVOCAÇÕES'!$Q$248,'DADOS_FORMAS'!$AM12='INVOCAÇÕES'!$R$248,'DADOS_FORMAS'!$AM12=""),'DADOS_FORMAS'!$AH12,"")</f>
        <v/>
      </c>
      <c r="IL12">
        <f>IF(AND(OR('DADOS_FORMAS'!$AM12='INVOCAÇÕES'!$O$246,'DADOS_FORMAS'!$AM12='INVOCAÇÕES'!$P$246,'DADOS_FORMAS'!$AM12='INVOCAÇÕES'!$Q$246,'DADOS_FORMAS'!$AM12='INVOCAÇÕES'!$R$246,'DADOS_FORMAS'!$AM12='INVOCAÇÕES'!$S$246,'DADOS_FORMAS'!$AM12='INVOCAÇÕES'!$O$248,'DADOS_FORMAS'!$AM12='INVOCAÇÕES'!$P$248,'DADOS_FORMAS'!$AM12='INVOCAÇÕES'!$Q$248,'DADOS_FORMAS'!$AM12='INVOCAÇÕES'!$R$248,'DADOS_FORMAS'!$AM12=""),'DADOS_FORMAS'!$AR12),'DADOS_FORMAS'!$AH12,"")</f>
        <v/>
      </c>
      <c r="IN12">
        <f>IF(OR('DADOS_FORMAS'!$AM12='INVOCAÇÕES'!$O$444,'DADOS_FORMAS'!$AM12='INVOCAÇÕES'!$P$444,'DADOS_FORMAS'!$AM12='INVOCAÇÕES'!$Q$444,'DADOS_FORMAS'!$AM12='INVOCAÇÕES'!$R$444,'DADOS_FORMAS'!$AM12='INVOCAÇÕES'!$S$444,'DADOS_FORMAS'!$AM12='INVOCAÇÕES'!$O$446,'DADOS_FORMAS'!$AM12='INVOCAÇÕES'!$P$446,'DADOS_FORMAS'!$AM12='INVOCAÇÕES'!$Q$446,'DADOS_FORMAS'!$AM12='INVOCAÇÕES'!$R$446,'DADOS_FORMAS'!$AM12=""),'DADOS_FORMAS'!$AH12,"")</f>
        <v/>
      </c>
      <c r="IO12">
        <f>IF(AND(OR('DADOS_FORMAS'!$AM12='INVOCAÇÕES'!$O$444,'DADOS_FORMAS'!$AM12='INVOCAÇÕES'!$P$444,'DADOS_FORMAS'!$AM12='INVOCAÇÕES'!$Q$444,'DADOS_FORMAS'!$AM12='INVOCAÇÕES'!$R$444,'DADOS_FORMAS'!$AM12='INVOCAÇÕES'!$S$444,'DADOS_FORMAS'!$AM12='INVOCAÇÕES'!$O$446,'DADOS_FORMAS'!$AM12='INVOCAÇÕES'!$P$446,'DADOS_FORMAS'!$AM12='INVOCAÇÕES'!$Q$446,'DADOS_FORMAS'!$AM12='INVOCAÇÕES'!$R$446,'DADOS_FORMAS'!$AM12=""),'DADOS_FORMAS'!$AR12),'DADOS_FORMAS'!$AH12,"")</f>
        <v/>
      </c>
      <c r="IQ12">
        <f>IF(OR('DADOS_FORMAS'!$AM12='INVOCAÇÕES'!$O$642,'DADOS_FORMAS'!$AM12='INVOCAÇÕES'!$P$642,'DADOS_FORMAS'!$AM12='INVOCAÇÕES'!$Q$642,'DADOS_FORMAS'!$AM12='INVOCAÇÕES'!$R$642,'DADOS_FORMAS'!$AM12='INVOCAÇÕES'!$S$642,'DADOS_FORMAS'!$AM12='INVOCAÇÕES'!$O$644,'DADOS_FORMAS'!$AM12='INVOCAÇÕES'!$P$644,'DADOS_FORMAS'!$AM12='INVOCAÇÕES'!$Q$644,'DADOS_FORMAS'!$AM12='INVOCAÇÕES'!$R$644,'DADOS_FORMAS'!$AM12=""),'DADOS_FORMAS'!$AH12,"")</f>
        <v/>
      </c>
      <c r="IR12">
        <f>IF(AND(OR('DADOS_FORMAS'!$AM12='INVOCAÇÕES'!$O$642,'DADOS_FORMAS'!$AM12='INVOCAÇÕES'!$P$642,'DADOS_FORMAS'!$AM12='INVOCAÇÕES'!$Q$642,'DADOS_FORMAS'!$AM12='INVOCAÇÕES'!$R$642,'DADOS_FORMAS'!$AM12='INVOCAÇÕES'!$S$642,'DADOS_FORMAS'!$AM12='INVOCAÇÕES'!$O$644,'DADOS_FORMAS'!$AM12='INVOCAÇÕES'!$P$644,'DADOS_FORMAS'!$AM12='INVOCAÇÕES'!$Q$644,'DADOS_FORMAS'!$AM12='INVOCAÇÕES'!$R$644,'DADOS_FORMAS'!$AM12=""),'DADOS_FORMAS'!$AR12),'DADOS_FORMAS'!$AH12,"")</f>
        <v/>
      </c>
      <c r="IT12">
        <f>IF(OR('DADOS_FORMAS'!$AM12='INVOCAÇÕES'!$O$840,'DADOS_FORMAS'!$AM12='INVOCAÇÕES'!$P$840,'DADOS_FORMAS'!$AM12='INVOCAÇÕES'!$Q$840,'DADOS_FORMAS'!$AM12='INVOCAÇÕES'!$R$840,'DADOS_FORMAS'!$AM12='INVOCAÇÕES'!$S$840,'DADOS_FORMAS'!$AM12='INVOCAÇÕES'!$O$842,'DADOS_FORMAS'!$AM12='INVOCAÇÕES'!$P$842,'DADOS_FORMAS'!$AM12='INVOCAÇÕES'!$Q$842,'DADOS_FORMAS'!$AM12='INVOCAÇÕES'!$R$842,'DADOS_FORMAS'!$AM12=""),'DADOS_FORMAS'!$AH12,"")</f>
        <v/>
      </c>
      <c r="IU12">
        <f>IF(AND(OR('DADOS_FORMAS'!$AM12='INVOCAÇÕES'!$O$840,'DADOS_FORMAS'!$AM12='INVOCAÇÕES'!$P$840,'DADOS_FORMAS'!$AM12='INVOCAÇÕES'!$Q$840,'DADOS_FORMAS'!$AM12='INVOCAÇÕES'!$R$840,'DADOS_FORMAS'!$AM12='INVOCAÇÕES'!$S$840,'DADOS_FORMAS'!$AM12='INVOCAÇÕES'!$O$842,'DADOS_FORMAS'!$AM12='INVOCAÇÕES'!$P$842,'DADOS_FORMAS'!$AM12='INVOCAÇÕES'!$Q$842,'DADOS_FORMAS'!$AM12='INVOCAÇÕES'!$R$842,'DADOS_FORMAS'!$AM12=""),'DADOS_FORMAS'!$AR12),'DADOS_FORMAS'!$AH12,"")</f>
        <v/>
      </c>
      <c r="IW12">
        <f>IF(OR('DADOS_FORMAS'!$AM12='INVOCAÇÕES'!$O$1038,'DADOS_FORMAS'!$AM12='INVOCAÇÕES'!$P$1038,'DADOS_FORMAS'!$AM12='INVOCAÇÕES'!$Q$1038,'DADOS_FORMAS'!$AM12='INVOCAÇÕES'!$R$1038,'DADOS_FORMAS'!$AM12='INVOCAÇÕES'!$S$1038,'DADOS_FORMAS'!$AM12='INVOCAÇÕES'!$O$1040,'DADOS_FORMAS'!$AM12='INVOCAÇÕES'!$P$1040,'DADOS_FORMAS'!$AM12='INVOCAÇÕES'!$Q$1040,'DADOS_FORMAS'!$AM12='INVOCAÇÕES'!$R$1040,'DADOS_FORMAS'!$AM12=""),'DADOS_FORMAS'!$AH12,"")</f>
        <v/>
      </c>
      <c r="IX12">
        <f>IF(AND(OR('DADOS_FORMAS'!$AM12='INVOCAÇÕES'!$O$1038,'DADOS_FORMAS'!$AM12='INVOCAÇÕES'!$P$1038,'DADOS_FORMAS'!$AM12='INVOCAÇÕES'!$Q$1038,'DADOS_FORMAS'!$AM12='INVOCAÇÕES'!$R$1038,'DADOS_FORMAS'!$AM12='INVOCAÇÕES'!$S$1038,'DADOS_FORMAS'!$AM12='INVOCAÇÕES'!$O$1040,'DADOS_FORMAS'!$AM12='INVOCAÇÕES'!$P$1040,'DADOS_FORMAS'!$AM12='INVOCAÇÕES'!$Q$1040,'DADOS_FORMAS'!$AM12='INVOCAÇÕES'!$R$1040,'DADOS_FORMAS'!$AM12=""),'DADOS_FORMAS'!$AR12),'DADOS_FORMAS'!$AH12,"")</f>
        <v/>
      </c>
      <c r="IZ12">
        <f>IF(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H12,"")</f>
        <v/>
      </c>
      <c r="JA12">
        <f>IF(AND(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R12),'DADOS_FORMAS'!$AH12,"")</f>
        <v/>
      </c>
      <c r="JC12">
        <f>IF(OR('DADOS_FORMAS'!$AM12='INVOCAÇÕES'!$AH$246,'DADOS_FORMAS'!$AM12='INVOCAÇÕES'!$AI$246,'DADOS_FORMAS'!$AM12='INVOCAÇÕES'!$AJ$246,'DADOS_FORMAS'!$AM12='INVOCAÇÕES'!$AK$246,'DADOS_FORMAS'!$AM12='INVOCAÇÕES'!$AL$246,'DADOS_FORMAS'!$AM12='INVOCAÇÕES'!$AH$248,'DADOS_FORMAS'!$AM12='INVOCAÇÕES'!$AI$248,'DADOS_FORMAS'!$AM12='INVOCAÇÕES'!$AJ$248,'DADOS_FORMAS'!$AM12='INVOCAÇÕES'!$AK$248,'DADOS_FORMAS'!$AM12=""),'DADOS_FORMAS'!$AH12,"")</f>
        <v/>
      </c>
      <c r="JD12">
        <f>IF(AND(OR('DADOS_FORMAS'!$AM12='INVOCAÇÕES'!$AH$246,'DADOS_FORMAS'!$AM12='INVOCAÇÕES'!$AI$246,'DADOS_FORMAS'!$AM12='INVOCAÇÕES'!$AJ$246,'DADOS_FORMAS'!$AM12='INVOCAÇÕES'!$AK$246,'DADOS_FORMAS'!$AM12='INVOCAÇÕES'!$AL$246,'DADOS_FORMAS'!$AM12='INVOCAÇÕES'!$AH$248,'DADOS_FORMAS'!$AM12='INVOCAÇÕES'!$AI$248,'DADOS_FORMAS'!$AM12='INVOCAÇÕES'!$AJ$248,'DADOS_FORMAS'!$AM12='INVOCAÇÕES'!$AK$248,'DADOS_FORMAS'!$AM12=""),'DADOS_FORMAS'!$AR12),'DADOS_FORMAS'!$AH12,"")</f>
        <v/>
      </c>
      <c r="JF12">
        <f>IF(OR('DADOS_FORMAS'!$AM12='INVOCAÇÕES'!$AH$444,'DADOS_FORMAS'!$AM12='INVOCAÇÕES'!$AI$444,'DADOS_FORMAS'!$AM12='INVOCAÇÕES'!$AJ$444,'DADOS_FORMAS'!$AM12='INVOCAÇÕES'!$AK$444,'DADOS_FORMAS'!$AM12='INVOCAÇÕES'!$AL$444,'DADOS_FORMAS'!$AM12='INVOCAÇÕES'!$AH$446,'DADOS_FORMAS'!$AM12='INVOCAÇÕES'!$AI$446,'DADOS_FORMAS'!$AM12='INVOCAÇÕES'!$AJ$446,'DADOS_FORMAS'!$AM12='INVOCAÇÕES'!$AK$446,'DADOS_FORMAS'!$AM12=""),'DADOS_FORMAS'!$AH12,"")</f>
        <v/>
      </c>
      <c r="JG12">
        <f>IF(AND(OR('DADOS_FORMAS'!$AM12='INVOCAÇÕES'!$AH$444,'DADOS_FORMAS'!$AM12='INVOCAÇÕES'!$AI$444,'DADOS_FORMAS'!$AM12='INVOCAÇÕES'!$AJ$444,'DADOS_FORMAS'!$AM12='INVOCAÇÕES'!$AK$444,'DADOS_FORMAS'!$AM12='INVOCAÇÕES'!$AL$444,'DADOS_FORMAS'!$AM12='INVOCAÇÕES'!$AH$446,'DADOS_FORMAS'!$AM12='INVOCAÇÕES'!$AI$446,'DADOS_FORMAS'!$AM12='INVOCAÇÕES'!$AJ$446,'DADOS_FORMAS'!$AM12='INVOCAÇÕES'!$AK$446,'DADOS_FORMAS'!$AM12=""),'DADOS_FORMAS'!$AR12),'DADOS_FORMAS'!$AH12,"")</f>
        <v/>
      </c>
      <c r="JI12">
        <f>IF(OR('DADOS_FORMAS'!$AM12='INVOCAÇÕES'!$AH$642,'DADOS_FORMAS'!$AM12='INVOCAÇÕES'!$AI$642,'DADOS_FORMAS'!$AM12='INVOCAÇÕES'!$AJ$642,'DADOS_FORMAS'!$AM12='INVOCAÇÕES'!$AK$642,'DADOS_FORMAS'!$AM12='INVOCAÇÕES'!$AL$642,'DADOS_FORMAS'!$AM12='INVOCAÇÕES'!$AH$644,'DADOS_FORMAS'!$AM12='INVOCAÇÕES'!$AI$644,'DADOS_FORMAS'!$AM12='INVOCAÇÕES'!$AJ$644,'DADOS_FORMAS'!$AM12='INVOCAÇÕES'!$AK$644,'DADOS_FORMAS'!$AM12=""),'DADOS_FORMAS'!$AH12,"")</f>
        <v/>
      </c>
      <c r="JJ12">
        <f>IF(AND(OR('DADOS_FORMAS'!$AM12='INVOCAÇÕES'!$AH$642,'DADOS_FORMAS'!$AM12='INVOCAÇÕES'!$AI$642,'DADOS_FORMAS'!$AM12='INVOCAÇÕES'!$AJ$642,'DADOS_FORMAS'!$AM12='INVOCAÇÕES'!$AK$642,'DADOS_FORMAS'!$AM12='INVOCAÇÕES'!$AL$642,'DADOS_FORMAS'!$AM12='INVOCAÇÕES'!$AH$644,'DADOS_FORMAS'!$AM12='INVOCAÇÕES'!$AI$644,'DADOS_FORMAS'!$AM12='INVOCAÇÕES'!$AJ$644,'DADOS_FORMAS'!$AM12='INVOCAÇÕES'!$AK$644,'DADOS_FORMAS'!$AM12=""),'DADOS_FORMAS'!$AR12),'DADOS_FORMAS'!$AH12,"")</f>
        <v/>
      </c>
      <c r="JL12">
        <f>IF(OR('DADOS_FORMAS'!$AM12='INVOCAÇÕES'!$AH$840,'DADOS_FORMAS'!$AM12='INVOCAÇÕES'!$AI$840,'DADOS_FORMAS'!$AM12='INVOCAÇÕES'!$AJ$840,'DADOS_FORMAS'!$AM12='INVOCAÇÕES'!$AK$840,'DADOS_FORMAS'!$AM12='INVOCAÇÕES'!$AL$840,'DADOS_FORMAS'!$AM12='INVOCAÇÕES'!$AH$842,'DADOS_FORMAS'!$AM12='INVOCAÇÕES'!$AI$842,'DADOS_FORMAS'!$AM12='INVOCAÇÕES'!$AJ$842,'DADOS_FORMAS'!$AM12='INVOCAÇÕES'!$AK$842,'DADOS_FORMAS'!$AM12=""),'DADOS_FORMAS'!$AH12,"")</f>
        <v/>
      </c>
      <c r="JM12">
        <f>IF(AND(OR('DADOS_FORMAS'!$AM12='INVOCAÇÕES'!$AH$840,'DADOS_FORMAS'!$AM12='INVOCAÇÕES'!$AI$840,'DADOS_FORMAS'!$AM12='INVOCAÇÕES'!$AJ$840,'DADOS_FORMAS'!$AM12='INVOCAÇÕES'!$AK$840,'DADOS_FORMAS'!$AM12='INVOCAÇÕES'!$AL$840,'DADOS_FORMAS'!$AM12='INVOCAÇÕES'!$AH$842,'DADOS_FORMAS'!$AM12='INVOCAÇÕES'!$AI$842,'DADOS_FORMAS'!$AM12='INVOCAÇÕES'!$AJ$842,'DADOS_FORMAS'!$AM12='INVOCAÇÕES'!$AK$842,'DADOS_FORMAS'!$AM12=""),'DADOS_FORMAS'!$AR12),'DADOS_FORMAS'!$AH12,"")</f>
        <v/>
      </c>
      <c r="JO12">
        <f>IF(OR('DADOS_FORMAS'!$AM12='INVOCAÇÕES'!$AH$1038,'DADOS_FORMAS'!$AM12='INVOCAÇÕES'!$AI$1038,'DADOS_FORMAS'!$AM12='INVOCAÇÕES'!$AJ$1038,'DADOS_FORMAS'!$AM12='INVOCAÇÕES'!$AK$1038,'DADOS_FORMAS'!$AM12='INVOCAÇÕES'!$AL$1038,'DADOS_FORMAS'!$AM12='INVOCAÇÕES'!$AH$1040,'DADOS_FORMAS'!$AM12='INVOCAÇÕES'!$AI$1040,'DADOS_FORMAS'!$AM12='INVOCAÇÕES'!$AJ$1040,'DADOS_FORMAS'!$AM12='INVOCAÇÕES'!$AK$1040,'DADOS_FORMAS'!$AM12=""),'DADOS_FORMAS'!$AH12,"")</f>
        <v/>
      </c>
      <c r="JP12">
        <f>IF(AND(OR('DADOS_FORMAS'!$AM12='INVOCAÇÕES'!$AH$1038,'DADOS_FORMAS'!$AM12='INVOCAÇÕES'!$AI$1038,'DADOS_FORMAS'!$AM12='INVOCAÇÕES'!$AJ$1038,'DADOS_FORMAS'!$AM12='INVOCAÇÕES'!$AK$1038,'DADOS_FORMAS'!$AM12='INVOCAÇÕES'!$AL$1038,'DADOS_FORMAS'!$AM12='INVOCAÇÕES'!$AH$1040,'DADOS_FORMAS'!$AM12='INVOCAÇÕES'!$AI$1040,'DADOS_FORMAS'!$AM12='INVOCAÇÕES'!$AJ$1040,'DADOS_FORMAS'!$AM12='INVOCAÇÕES'!$AK$1040,'DADOS_FORMAS'!$AM12=""),'DADOS_FORMAS'!$AR12),'DADOS_FORMAS'!$AH12,"")</f>
        <v/>
      </c>
      <c r="JR12" t="inlineStr">
        <is>
          <t>Efeito</t>
        </is>
      </c>
      <c r="JZ12">
        <f>IFERROR(INDEX('DADOS_CRIACAO'!$H$2:$H$20,10),"")</f>
        <v/>
      </c>
      <c r="KA12">
        <f>IFERROR(INDEX(INDEX('DADOS_RESTRICOES'!$M$2:$Q$54,0,1),10),"")</f>
        <v/>
      </c>
    </row>
    <row r="13">
      <c r="AG13">
        <f>IF(AND($AF3,$AD3=""),$BV3,"")</f>
        <v/>
      </c>
      <c r="AH13">
        <f>IF(AND($AF3,$AD3=""),$BW3,"")</f>
        <v/>
      </c>
      <c r="AI13">
        <f>IF(AND($AF3,$AD3=""),$BX3,"")</f>
        <v/>
      </c>
      <c r="AJ13">
        <f>IF(AND($AF3,$AD3=""),$BY3,FALSE)</f>
        <v/>
      </c>
      <c r="AK13">
        <f>IF(AND($AF3,$AD3=""),$BZ3,"")</f>
        <v/>
      </c>
      <c r="AL13">
        <f>IF(AND($AF3,$AD3=""),$CA3,"")</f>
        <v/>
      </c>
      <c r="AM13">
        <f>IF(AND($AF3,$AD3=""),$CB3,"")</f>
        <v/>
      </c>
      <c r="AN13">
        <f>IF(AND($AF3,$AD3=""),$CC3,0)</f>
        <v/>
      </c>
      <c r="AO13">
        <f>IF(AND($AF3,$AD3=""),$CD3,"")</f>
        <v/>
      </c>
      <c r="AP13">
        <f>IF(AND($AF3,$AD3=""),$CE3,0)</f>
        <v/>
      </c>
      <c r="AQ13">
        <f>IF(AND($AF3,$AD3=""),$CF3,FALSE)</f>
        <v/>
      </c>
      <c r="AR13">
        <f>IF(AND($AF3,$AD3=""),$CG3,FALSE)</f>
        <v/>
      </c>
      <c r="AS13">
        <f>IF(AND($AF3,$AD3=""),$CH3,"")</f>
        <v/>
      </c>
      <c r="AT13">
        <f>IF(AND($AF3,$AD3=""),$CI3,"")</f>
        <v/>
      </c>
      <c r="AU13">
        <f>IF(AND($AF3,$AD3=""),$CJ3,"")</f>
        <v/>
      </c>
      <c r="AV13">
        <f>IF(AND($AF3,$AD3=""),$CK3,"")</f>
        <v/>
      </c>
      <c r="AW13">
        <f>IF(AND($AF3,$AD3=""),$CL3,"")</f>
        <v/>
      </c>
      <c r="AX13">
        <f>IF(AND($AF3,$AD3=""),$CM3,"")</f>
        <v/>
      </c>
      <c r="AY13">
        <f>IF(AND($AF3,$AD3=""),$CN3,"")</f>
        <v/>
      </c>
      <c r="AZ13">
        <f>IF(AND($AF3,$AD3=""),$CO3,"")</f>
        <v/>
      </c>
      <c r="BA13">
        <f>IF(AND($AF3,$AD3=""),$CP3,"")</f>
        <v/>
      </c>
      <c r="BB13">
        <f>IF(AND($AF3,$AD3=""),$CQ3,"")</f>
        <v/>
      </c>
      <c r="BC13">
        <f>IF(AND($AF3,$AD3=""),$CR3,"")</f>
        <v/>
      </c>
      <c r="BD13">
        <f>IF(AND($AF3,$AD3=""),$CS3,"")</f>
        <v/>
      </c>
      <c r="BE13">
        <f>IF(AND($AF3,$AD3=""),$CT3,"")</f>
        <v/>
      </c>
      <c r="BF13">
        <f>IF(AND($AF3,$AD3=""),$CU3,"")</f>
        <v/>
      </c>
      <c r="BG13">
        <f>IF(AND($AF3,$AD3=""),$CV3,"")</f>
        <v/>
      </c>
      <c r="BH13">
        <f>IF(AND($AF3,$AD3=""),$CW3,"")</f>
        <v/>
      </c>
      <c r="BI13">
        <f>IF(AND($AF3,$AD3=""),$CX3,"")</f>
        <v/>
      </c>
      <c r="BJ13">
        <f>IF(AND($AF3,$AD3=""),$CY3,"")</f>
        <v/>
      </c>
      <c r="BK13">
        <f>IF(AND($AF3,$AD3=""),$CZ3,0)</f>
        <v/>
      </c>
      <c r="BL13">
        <f>IF(AND($AF3,$AD3=""),$DA3,"")</f>
        <v/>
      </c>
      <c r="BM13">
        <f>IF(AND($AF3,$AD3=""),$DB3,"")</f>
        <v/>
      </c>
      <c r="BN13">
        <f>IF(AND($AF3,$AD3=""),$DC3,"")</f>
        <v/>
      </c>
      <c r="BO13">
        <f>IF(AND($AF3,$AD3=""),$DD3,0)</f>
        <v/>
      </c>
      <c r="BP13">
        <f>IF(AND($AF3,$AD3=""),$DE3,"")</f>
        <v/>
      </c>
      <c r="BQ13">
        <f>IF(AND($AF3,$AD3=""),$DF3,"")</f>
        <v/>
      </c>
      <c r="BR13">
        <f>IF(AND($AF3,$AD3=""),$DG3,"")</f>
        <v/>
      </c>
      <c r="BS13">
        <f>IF(AND($AF3,$AD3=""),$DH3,0)</f>
        <v/>
      </c>
      <c r="FJ13">
        <f>'DADOS_FORMAS'!$AH13</f>
        <v/>
      </c>
      <c r="FK13">
        <f>'DADOS_FORMAS'!$AM13</f>
        <v/>
      </c>
      <c r="FL13">
        <f>'DADOS_FORMAS'!$AN13</f>
        <v/>
      </c>
      <c r="FM13">
        <f>IF('DADOS_FORMAS'!$AN13=0,0,'DADOS_FORMAS'!$AN13+3*IFERROR(VLOOKUP(SUBSTITUTE(SUBSTITUTE(SUBSTITUTE('DADOS_FORMAS'!$AM13,"~","~~"),"*","~*"),"?","~?"),'DADOS_CRIACAO'!$H$2:$K$20,3,FALSE),0))</f>
        <v/>
      </c>
      <c r="FN13">
        <f>IFERROR(VLOOKUP(SUBSTITUTE(SUBSTITUTE(SUBSTITUTE('DADOS_FORMAS'!$AM13,"~","~~"),"*","~*"),"?","~?"),'DADOS_CRIACAO'!$H$2:$K$20,4,FALSE),0)</f>
        <v/>
      </c>
      <c r="FO13">
        <f>IF('DADOS_FORMAS'!$AS13="",0,1)</f>
        <v/>
      </c>
      <c r="FP13">
        <f>'DADOS_FORMAS'!$AP13</f>
        <v/>
      </c>
      <c r="FQ13">
        <f>IF(AND('DADOS_FORMAS'!$AO13="Acerto",'DADOS_FORMAS'!$AQ13),"Acerto + TR",'DADOS_FORMAS'!$AO13)</f>
        <v/>
      </c>
      <c r="FR13">
        <f>N(OR('DADOS_FORMAS'!$AQ13,'DADOS_FORMAS'!$AO13="TR, metade"))</f>
        <v/>
      </c>
      <c r="FS13">
        <f>'DADOS_FORMAS'!$BO13</f>
        <v/>
      </c>
      <c r="FT13">
        <f>'DADOS_FORMAS'!$BS13</f>
        <v/>
      </c>
      <c r="FU13">
        <f>'DADOS_FORMAS'!$BK13</f>
        <v/>
      </c>
      <c r="FV13">
        <f>N('DADOS_FORMAS'!$AR13)</f>
        <v/>
      </c>
      <c r="FW13">
        <f>IF(IFERROR(VLOOKUP(SUBSTITUTE(SUBSTITUTE(SUBSTITUTE('DADOS_FORMAS'!$AM13,"~","~~"),"*","~*"),"?","~?"),'DADOS_CRIACAO'!$H$2:$K$20,4,FALSE),0)=1,"",'DADOS_FORMAS'!$AH13)</f>
        <v/>
      </c>
      <c r="FX13">
        <f>IF(AND('DADOS_FORMAS'!$AR13,IFERROR(VLOOKUP(SUBSTITUTE(SUBSTITUTE(SUBSTITUTE('DADOS_FORMAS'!$AM13,"~","~~"),"*","~*"),"?","~?"),'DADOS_CRIACAO'!$H$2:$K$20,4,FALSE),0)=0),'DADOS_FORMAS'!$AH13,"")</f>
        <v/>
      </c>
      <c r="FZ13">
        <f>'DADOS_FORMAS'!$AH13</f>
        <v/>
      </c>
      <c r="GA13">
        <f>'DADOS_FORMAS'!$AM13</f>
        <v/>
      </c>
      <c r="GB13">
        <f>'DADOS_FORMAS'!$AN13</f>
        <v/>
      </c>
      <c r="GC13">
        <f>IF('DADOS_FORMAS'!$AS13="",0,1)</f>
        <v/>
      </c>
      <c r="GD13">
        <f>'DADOS_FORMAS'!$AP13</f>
        <v/>
      </c>
      <c r="GE13">
        <f>IF('DADOS_FORMAS'!$AO13="Acerto","Ataque",IF('DADOS_FORMAS'!$AQ13,"TR","—"))</f>
        <v/>
      </c>
      <c r="GF13">
        <f>N(OR('DADOS_FORMAS'!$AQ13,'DADOS_FORMAS'!$AO13="TR, metade"))</f>
        <v/>
      </c>
      <c r="GG13">
        <f>'DADOS_FORMAS'!$BO13</f>
        <v/>
      </c>
      <c r="GH13">
        <f>'DADOS_FORMAS'!$BS13</f>
        <v/>
      </c>
      <c r="GI13">
        <f>'DADOS_FORMAS'!$BK13</f>
        <v/>
      </c>
      <c r="GJ13">
        <f>N('DADOS_FORMAS'!$AR13)</f>
        <v/>
      </c>
      <c r="GR13">
        <f>'DADOS_FORMAS'!$BP13</f>
        <v/>
      </c>
      <c r="GS13">
        <f>IF('DADOS_FORMAS'!$BP13="area",'DADOS_FORMAS'!$AU13,'DADOS_FORMAS'!$AT13)</f>
        <v/>
      </c>
      <c r="GT13">
        <f>IF('DADOS_FORMAS'!$BP13="area",'DADOS_FORMAS'!$BE13,'DADOS_FORMAS'!$AX13)</f>
        <v/>
      </c>
      <c r="GU13">
        <f>'DADOS_FORMAS'!$BQ13</f>
        <v/>
      </c>
      <c r="GV13">
        <f>'DADOS_FORMAS'!$BR13</f>
        <v/>
      </c>
      <c r="GW13">
        <f>LET(base,'DADOS_FORMAS'!$GT13,escada,'DADOS_FORMAS'!$GS13,medida,LEFT(base,MAX(0,LEN(base)-2)),valor,IFERROR(VALUE(SUBSTITUTE(medida,",",""))/10^IFERROR(LEN(medida)-FIND(",",medida),0),1E99),IF(OR(escada="Fixo",base="—"),base,IF(escada="alcance",IFERROR(MATCH(base,{"1,5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3" t="inlineStr">
        <is>
          <t>Aura · classes 6 e 7</t>
        </is>
      </c>
      <c r="GZ13" t="inlineStr">
        <is>
          <t>Raio 4,5 m, em você</t>
        </is>
      </c>
      <c r="HA13" t="inlineStr">
        <is>
          <t>Raio 6 m, em você</t>
        </is>
      </c>
      <c r="HB13" t="inlineStr">
        <is>
          <t>Raio 9 m, em você</t>
        </is>
      </c>
      <c r="HC13" t="inlineStr">
        <is>
          <t>Raio 15 m, em você</t>
        </is>
      </c>
      <c r="HD13" t="inlineStr">
        <is>
          <t>Raio 15 m, em você</t>
        </is>
      </c>
      <c r="HE13" t="inlineStr">
        <is>
          <t>Raio 15 m, em você</t>
        </is>
      </c>
      <c r="HF13" t="inlineStr"/>
      <c r="HG13" t="inlineStr"/>
      <c r="HH13" t="inlineStr"/>
      <c r="HI13" t="inlineStr"/>
      <c r="HJ13" t="inlineStr"/>
      <c r="HK13" t="inlineStr"/>
      <c r="HM13">
        <f>'DADOS_FORMAS'!$BP13</f>
        <v/>
      </c>
      <c r="HN13">
        <f>IF('DADOS_FORMAS'!$BP13="area",'DADOS_FORMAS'!$AU13,'DADOS_FORMAS'!$AT13)</f>
        <v/>
      </c>
      <c r="HO13">
        <f>IF('DADOS_FORMAS'!$BP13="area",'DADOS_FORMAS'!$BG13,'DADOS_FORMAS'!$AZ13)</f>
        <v/>
      </c>
      <c r="HP13">
        <f>'DADOS_FORMAS'!$BQ13</f>
        <v/>
      </c>
      <c r="HQ13">
        <f>'DADOS_FORMAS'!$BR13</f>
        <v/>
      </c>
      <c r="HR13">
        <f>LET(base,'DADOS_FORMAS'!$HO13,escada,'DADOS_FORMAS'!$HN13,medida,LEFT(base,MAX(0,LEN(base)-2)),valor,IFERROR(VALUE(SUBSTITUTE(medida,",",""))/10^IFERROR(LEN(medida)-FIND(",",medida),0),1E99),IF(OR(escada="Fixo",base="—"),base,IF(escada="alcance",IFERROR(MATCH(base,{"1,5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3" t="inlineStr">
        <is>
          <t>Explosão · classe 7</t>
        </is>
      </c>
      <c r="HU13" t="inlineStr">
        <is>
          <t>Raio 4,5 m</t>
        </is>
      </c>
      <c r="HV13" t="inlineStr">
        <is>
          <t>Raio 6 m</t>
        </is>
      </c>
      <c r="HW13" t="inlineStr">
        <is>
          <t>Raio 9 m</t>
        </is>
      </c>
      <c r="HX13" t="inlineStr">
        <is>
          <t>Raio 15 m</t>
        </is>
      </c>
      <c r="HY13" t="inlineStr">
        <is>
          <t>Raio 15 m</t>
        </is>
      </c>
      <c r="HZ13" t="inlineStr">
        <is>
          <t>Raio 15 m</t>
        </is>
      </c>
      <c r="IA13" t="inlineStr">
        <is>
          <t>, a 36 m</t>
        </is>
      </c>
      <c r="IB13" t="inlineStr">
        <is>
          <t>, a 90 m</t>
        </is>
      </c>
      <c r="IC13" t="inlineStr">
        <is>
          <t>, a visão a olho nu</t>
        </is>
      </c>
      <c r="ID13" t="inlineStr">
        <is>
          <t>, a visão a olho nu</t>
        </is>
      </c>
      <c r="IE13" t="inlineStr">
        <is>
          <t>, a visão a olho nu</t>
        </is>
      </c>
      <c r="IF13" t="inlineStr">
        <is>
          <t>, a visão a olho nu</t>
        </is>
      </c>
      <c r="IH13">
        <f>IF(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H13,"")</f>
        <v/>
      </c>
      <c r="II13">
        <f>IF(AND(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R13),'DADOS_FORMAS'!$AH13,"")</f>
        <v/>
      </c>
      <c r="IK13">
        <f>IF(OR('DADOS_FORMAS'!$AM13='INVOCAÇÕES'!$O$246,'DADOS_FORMAS'!$AM13='INVOCAÇÕES'!$P$246,'DADOS_FORMAS'!$AM13='INVOCAÇÕES'!$Q$246,'DADOS_FORMAS'!$AM13='INVOCAÇÕES'!$R$246,'DADOS_FORMAS'!$AM13='INVOCAÇÕES'!$S$246,'DADOS_FORMAS'!$AM13='INVOCAÇÕES'!$O$248,'DADOS_FORMAS'!$AM13='INVOCAÇÕES'!$P$248,'DADOS_FORMAS'!$AM13='INVOCAÇÕES'!$Q$248,'DADOS_FORMAS'!$AM13='INVOCAÇÕES'!$R$248,'DADOS_FORMAS'!$AM13=""),'DADOS_FORMAS'!$AH13,"")</f>
        <v/>
      </c>
      <c r="IL13">
        <f>IF(AND(OR('DADOS_FORMAS'!$AM13='INVOCAÇÕES'!$O$246,'DADOS_FORMAS'!$AM13='INVOCAÇÕES'!$P$246,'DADOS_FORMAS'!$AM13='INVOCAÇÕES'!$Q$246,'DADOS_FORMAS'!$AM13='INVOCAÇÕES'!$R$246,'DADOS_FORMAS'!$AM13='INVOCAÇÕES'!$S$246,'DADOS_FORMAS'!$AM13='INVOCAÇÕES'!$O$248,'DADOS_FORMAS'!$AM13='INVOCAÇÕES'!$P$248,'DADOS_FORMAS'!$AM13='INVOCAÇÕES'!$Q$248,'DADOS_FORMAS'!$AM13='INVOCAÇÕES'!$R$248,'DADOS_FORMAS'!$AM13=""),'DADOS_FORMAS'!$AR13),'DADOS_FORMAS'!$AH13,"")</f>
        <v/>
      </c>
      <c r="IN13">
        <f>IF(OR('DADOS_FORMAS'!$AM13='INVOCAÇÕES'!$O$444,'DADOS_FORMAS'!$AM13='INVOCAÇÕES'!$P$444,'DADOS_FORMAS'!$AM13='INVOCAÇÕES'!$Q$444,'DADOS_FORMAS'!$AM13='INVOCAÇÕES'!$R$444,'DADOS_FORMAS'!$AM13='INVOCAÇÕES'!$S$444,'DADOS_FORMAS'!$AM13='INVOCAÇÕES'!$O$446,'DADOS_FORMAS'!$AM13='INVOCAÇÕES'!$P$446,'DADOS_FORMAS'!$AM13='INVOCAÇÕES'!$Q$446,'DADOS_FORMAS'!$AM13='INVOCAÇÕES'!$R$446,'DADOS_FORMAS'!$AM13=""),'DADOS_FORMAS'!$AH13,"")</f>
        <v/>
      </c>
      <c r="IO13">
        <f>IF(AND(OR('DADOS_FORMAS'!$AM13='INVOCAÇÕES'!$O$444,'DADOS_FORMAS'!$AM13='INVOCAÇÕES'!$P$444,'DADOS_FORMAS'!$AM13='INVOCAÇÕES'!$Q$444,'DADOS_FORMAS'!$AM13='INVOCAÇÕES'!$R$444,'DADOS_FORMAS'!$AM13='INVOCAÇÕES'!$S$444,'DADOS_FORMAS'!$AM13='INVOCAÇÕES'!$O$446,'DADOS_FORMAS'!$AM13='INVOCAÇÕES'!$P$446,'DADOS_FORMAS'!$AM13='INVOCAÇÕES'!$Q$446,'DADOS_FORMAS'!$AM13='INVOCAÇÕES'!$R$446,'DADOS_FORMAS'!$AM13=""),'DADOS_FORMAS'!$AR13),'DADOS_FORMAS'!$AH13,"")</f>
        <v/>
      </c>
      <c r="IQ13">
        <f>IF(OR('DADOS_FORMAS'!$AM13='INVOCAÇÕES'!$O$642,'DADOS_FORMAS'!$AM13='INVOCAÇÕES'!$P$642,'DADOS_FORMAS'!$AM13='INVOCAÇÕES'!$Q$642,'DADOS_FORMAS'!$AM13='INVOCAÇÕES'!$R$642,'DADOS_FORMAS'!$AM13='INVOCAÇÕES'!$S$642,'DADOS_FORMAS'!$AM13='INVOCAÇÕES'!$O$644,'DADOS_FORMAS'!$AM13='INVOCAÇÕES'!$P$644,'DADOS_FORMAS'!$AM13='INVOCAÇÕES'!$Q$644,'DADOS_FORMAS'!$AM13='INVOCAÇÕES'!$R$644,'DADOS_FORMAS'!$AM13=""),'DADOS_FORMAS'!$AH13,"")</f>
        <v/>
      </c>
      <c r="IR13">
        <f>IF(AND(OR('DADOS_FORMAS'!$AM13='INVOCAÇÕES'!$O$642,'DADOS_FORMAS'!$AM13='INVOCAÇÕES'!$P$642,'DADOS_FORMAS'!$AM13='INVOCAÇÕES'!$Q$642,'DADOS_FORMAS'!$AM13='INVOCAÇÕES'!$R$642,'DADOS_FORMAS'!$AM13='INVOCAÇÕES'!$S$642,'DADOS_FORMAS'!$AM13='INVOCAÇÕES'!$O$644,'DADOS_FORMAS'!$AM13='INVOCAÇÕES'!$P$644,'DADOS_FORMAS'!$AM13='INVOCAÇÕES'!$Q$644,'DADOS_FORMAS'!$AM13='INVOCAÇÕES'!$R$644,'DADOS_FORMAS'!$AM13=""),'DADOS_FORMAS'!$AR13),'DADOS_FORMAS'!$AH13,"")</f>
        <v/>
      </c>
      <c r="IT13">
        <f>IF(OR('DADOS_FORMAS'!$AM13='INVOCAÇÕES'!$O$840,'DADOS_FORMAS'!$AM13='INVOCAÇÕES'!$P$840,'DADOS_FORMAS'!$AM13='INVOCAÇÕES'!$Q$840,'DADOS_FORMAS'!$AM13='INVOCAÇÕES'!$R$840,'DADOS_FORMAS'!$AM13='INVOCAÇÕES'!$S$840,'DADOS_FORMAS'!$AM13='INVOCAÇÕES'!$O$842,'DADOS_FORMAS'!$AM13='INVOCAÇÕES'!$P$842,'DADOS_FORMAS'!$AM13='INVOCAÇÕES'!$Q$842,'DADOS_FORMAS'!$AM13='INVOCAÇÕES'!$R$842,'DADOS_FORMAS'!$AM13=""),'DADOS_FORMAS'!$AH13,"")</f>
        <v/>
      </c>
      <c r="IU13">
        <f>IF(AND(OR('DADOS_FORMAS'!$AM13='INVOCAÇÕES'!$O$840,'DADOS_FORMAS'!$AM13='INVOCAÇÕES'!$P$840,'DADOS_FORMAS'!$AM13='INVOCAÇÕES'!$Q$840,'DADOS_FORMAS'!$AM13='INVOCAÇÕES'!$R$840,'DADOS_FORMAS'!$AM13='INVOCAÇÕES'!$S$840,'DADOS_FORMAS'!$AM13='INVOCAÇÕES'!$O$842,'DADOS_FORMAS'!$AM13='INVOCAÇÕES'!$P$842,'DADOS_FORMAS'!$AM13='INVOCAÇÕES'!$Q$842,'DADOS_FORMAS'!$AM13='INVOCAÇÕES'!$R$842,'DADOS_FORMAS'!$AM13=""),'DADOS_FORMAS'!$AR13),'DADOS_FORMAS'!$AH13,"")</f>
        <v/>
      </c>
      <c r="IW13">
        <f>IF(OR('DADOS_FORMAS'!$AM13='INVOCAÇÕES'!$O$1038,'DADOS_FORMAS'!$AM13='INVOCAÇÕES'!$P$1038,'DADOS_FORMAS'!$AM13='INVOCAÇÕES'!$Q$1038,'DADOS_FORMAS'!$AM13='INVOCAÇÕES'!$R$1038,'DADOS_FORMAS'!$AM13='INVOCAÇÕES'!$S$1038,'DADOS_FORMAS'!$AM13='INVOCAÇÕES'!$O$1040,'DADOS_FORMAS'!$AM13='INVOCAÇÕES'!$P$1040,'DADOS_FORMAS'!$AM13='INVOCAÇÕES'!$Q$1040,'DADOS_FORMAS'!$AM13='INVOCAÇÕES'!$R$1040,'DADOS_FORMAS'!$AM13=""),'DADOS_FORMAS'!$AH13,"")</f>
        <v/>
      </c>
      <c r="IX13">
        <f>IF(AND(OR('DADOS_FORMAS'!$AM13='INVOCAÇÕES'!$O$1038,'DADOS_FORMAS'!$AM13='INVOCAÇÕES'!$P$1038,'DADOS_FORMAS'!$AM13='INVOCAÇÕES'!$Q$1038,'DADOS_FORMAS'!$AM13='INVOCAÇÕES'!$R$1038,'DADOS_FORMAS'!$AM13='INVOCAÇÕES'!$S$1038,'DADOS_FORMAS'!$AM13='INVOCAÇÕES'!$O$1040,'DADOS_FORMAS'!$AM13='INVOCAÇÕES'!$P$1040,'DADOS_FORMAS'!$AM13='INVOCAÇÕES'!$Q$1040,'DADOS_FORMAS'!$AM13='INVOCAÇÕES'!$R$1040,'DADOS_FORMAS'!$AM13=""),'DADOS_FORMAS'!$AR13),'DADOS_FORMAS'!$AH13,"")</f>
        <v/>
      </c>
      <c r="IZ13">
        <f>IF(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H13,"")</f>
        <v/>
      </c>
      <c r="JA13">
        <f>IF(AND(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R13),'DADOS_FORMAS'!$AH13,"")</f>
        <v/>
      </c>
      <c r="JC13">
        <f>IF(OR('DADOS_FORMAS'!$AM13='INVOCAÇÕES'!$AH$246,'DADOS_FORMAS'!$AM13='INVOCAÇÕES'!$AI$246,'DADOS_FORMAS'!$AM13='INVOCAÇÕES'!$AJ$246,'DADOS_FORMAS'!$AM13='INVOCAÇÕES'!$AK$246,'DADOS_FORMAS'!$AM13='INVOCAÇÕES'!$AL$246,'DADOS_FORMAS'!$AM13='INVOCAÇÕES'!$AH$248,'DADOS_FORMAS'!$AM13='INVOCAÇÕES'!$AI$248,'DADOS_FORMAS'!$AM13='INVOCAÇÕES'!$AJ$248,'DADOS_FORMAS'!$AM13='INVOCAÇÕES'!$AK$248,'DADOS_FORMAS'!$AM13=""),'DADOS_FORMAS'!$AH13,"")</f>
        <v/>
      </c>
      <c r="JD13">
        <f>IF(AND(OR('DADOS_FORMAS'!$AM13='INVOCAÇÕES'!$AH$246,'DADOS_FORMAS'!$AM13='INVOCAÇÕES'!$AI$246,'DADOS_FORMAS'!$AM13='INVOCAÇÕES'!$AJ$246,'DADOS_FORMAS'!$AM13='INVOCAÇÕES'!$AK$246,'DADOS_FORMAS'!$AM13='INVOCAÇÕES'!$AL$246,'DADOS_FORMAS'!$AM13='INVOCAÇÕES'!$AH$248,'DADOS_FORMAS'!$AM13='INVOCAÇÕES'!$AI$248,'DADOS_FORMAS'!$AM13='INVOCAÇÕES'!$AJ$248,'DADOS_FORMAS'!$AM13='INVOCAÇÕES'!$AK$248,'DADOS_FORMAS'!$AM13=""),'DADOS_FORMAS'!$AR13),'DADOS_FORMAS'!$AH13,"")</f>
        <v/>
      </c>
      <c r="JF13">
        <f>IF(OR('DADOS_FORMAS'!$AM13='INVOCAÇÕES'!$AH$444,'DADOS_FORMAS'!$AM13='INVOCAÇÕES'!$AI$444,'DADOS_FORMAS'!$AM13='INVOCAÇÕES'!$AJ$444,'DADOS_FORMAS'!$AM13='INVOCAÇÕES'!$AK$444,'DADOS_FORMAS'!$AM13='INVOCAÇÕES'!$AL$444,'DADOS_FORMAS'!$AM13='INVOCAÇÕES'!$AH$446,'DADOS_FORMAS'!$AM13='INVOCAÇÕES'!$AI$446,'DADOS_FORMAS'!$AM13='INVOCAÇÕES'!$AJ$446,'DADOS_FORMAS'!$AM13='INVOCAÇÕES'!$AK$446,'DADOS_FORMAS'!$AM13=""),'DADOS_FORMAS'!$AH13,"")</f>
        <v/>
      </c>
      <c r="JG13">
        <f>IF(AND(OR('DADOS_FORMAS'!$AM13='INVOCAÇÕES'!$AH$444,'DADOS_FORMAS'!$AM13='INVOCAÇÕES'!$AI$444,'DADOS_FORMAS'!$AM13='INVOCAÇÕES'!$AJ$444,'DADOS_FORMAS'!$AM13='INVOCAÇÕES'!$AK$444,'DADOS_FORMAS'!$AM13='INVOCAÇÕES'!$AL$444,'DADOS_FORMAS'!$AM13='INVOCAÇÕES'!$AH$446,'DADOS_FORMAS'!$AM13='INVOCAÇÕES'!$AI$446,'DADOS_FORMAS'!$AM13='INVOCAÇÕES'!$AJ$446,'DADOS_FORMAS'!$AM13='INVOCAÇÕES'!$AK$446,'DADOS_FORMAS'!$AM13=""),'DADOS_FORMAS'!$AR13),'DADOS_FORMAS'!$AH13,"")</f>
        <v/>
      </c>
      <c r="JI13">
        <f>IF(OR('DADOS_FORMAS'!$AM13='INVOCAÇÕES'!$AH$642,'DADOS_FORMAS'!$AM13='INVOCAÇÕES'!$AI$642,'DADOS_FORMAS'!$AM13='INVOCAÇÕES'!$AJ$642,'DADOS_FORMAS'!$AM13='INVOCAÇÕES'!$AK$642,'DADOS_FORMAS'!$AM13='INVOCAÇÕES'!$AL$642,'DADOS_FORMAS'!$AM13='INVOCAÇÕES'!$AH$644,'DADOS_FORMAS'!$AM13='INVOCAÇÕES'!$AI$644,'DADOS_FORMAS'!$AM13='INVOCAÇÕES'!$AJ$644,'DADOS_FORMAS'!$AM13='INVOCAÇÕES'!$AK$644,'DADOS_FORMAS'!$AM13=""),'DADOS_FORMAS'!$AH13,"")</f>
        <v/>
      </c>
      <c r="JJ13">
        <f>IF(AND(OR('DADOS_FORMAS'!$AM13='INVOCAÇÕES'!$AH$642,'DADOS_FORMAS'!$AM13='INVOCAÇÕES'!$AI$642,'DADOS_FORMAS'!$AM13='INVOCAÇÕES'!$AJ$642,'DADOS_FORMAS'!$AM13='INVOCAÇÕES'!$AK$642,'DADOS_FORMAS'!$AM13='INVOCAÇÕES'!$AL$642,'DADOS_FORMAS'!$AM13='INVOCAÇÕES'!$AH$644,'DADOS_FORMAS'!$AM13='INVOCAÇÕES'!$AI$644,'DADOS_FORMAS'!$AM13='INVOCAÇÕES'!$AJ$644,'DADOS_FORMAS'!$AM13='INVOCAÇÕES'!$AK$644,'DADOS_FORMAS'!$AM13=""),'DADOS_FORMAS'!$AR13),'DADOS_FORMAS'!$AH13,"")</f>
        <v/>
      </c>
      <c r="JL13">
        <f>IF(OR('DADOS_FORMAS'!$AM13='INVOCAÇÕES'!$AH$840,'DADOS_FORMAS'!$AM13='INVOCAÇÕES'!$AI$840,'DADOS_FORMAS'!$AM13='INVOCAÇÕES'!$AJ$840,'DADOS_FORMAS'!$AM13='INVOCAÇÕES'!$AK$840,'DADOS_FORMAS'!$AM13='INVOCAÇÕES'!$AL$840,'DADOS_FORMAS'!$AM13='INVOCAÇÕES'!$AH$842,'DADOS_FORMAS'!$AM13='INVOCAÇÕES'!$AI$842,'DADOS_FORMAS'!$AM13='INVOCAÇÕES'!$AJ$842,'DADOS_FORMAS'!$AM13='INVOCAÇÕES'!$AK$842,'DADOS_FORMAS'!$AM13=""),'DADOS_FORMAS'!$AH13,"")</f>
        <v/>
      </c>
      <c r="JM13">
        <f>IF(AND(OR('DADOS_FORMAS'!$AM13='INVOCAÇÕES'!$AH$840,'DADOS_FORMAS'!$AM13='INVOCAÇÕES'!$AI$840,'DADOS_FORMAS'!$AM13='INVOCAÇÕES'!$AJ$840,'DADOS_FORMAS'!$AM13='INVOCAÇÕES'!$AK$840,'DADOS_FORMAS'!$AM13='INVOCAÇÕES'!$AL$840,'DADOS_FORMAS'!$AM13='INVOCAÇÕES'!$AH$842,'DADOS_FORMAS'!$AM13='INVOCAÇÕES'!$AI$842,'DADOS_FORMAS'!$AM13='INVOCAÇÕES'!$AJ$842,'DADOS_FORMAS'!$AM13='INVOCAÇÕES'!$AK$842,'DADOS_FORMAS'!$AM13=""),'DADOS_FORMAS'!$AR13),'DADOS_FORMAS'!$AH13,"")</f>
        <v/>
      </c>
      <c r="JO13">
        <f>IF(OR('DADOS_FORMAS'!$AM13='INVOCAÇÕES'!$AH$1038,'DADOS_FORMAS'!$AM13='INVOCAÇÕES'!$AI$1038,'DADOS_FORMAS'!$AM13='INVOCAÇÕES'!$AJ$1038,'DADOS_FORMAS'!$AM13='INVOCAÇÕES'!$AK$1038,'DADOS_FORMAS'!$AM13='INVOCAÇÕES'!$AL$1038,'DADOS_FORMAS'!$AM13='INVOCAÇÕES'!$AH$1040,'DADOS_FORMAS'!$AM13='INVOCAÇÕES'!$AI$1040,'DADOS_FORMAS'!$AM13='INVOCAÇÕES'!$AJ$1040,'DADOS_FORMAS'!$AM13='INVOCAÇÕES'!$AK$1040,'DADOS_FORMAS'!$AM13=""),'DADOS_FORMAS'!$AH13,"")</f>
        <v/>
      </c>
      <c r="JP13">
        <f>IF(AND(OR('DADOS_FORMAS'!$AM13='INVOCAÇÕES'!$AH$1038,'DADOS_FORMAS'!$AM13='INVOCAÇÕES'!$AI$1038,'DADOS_FORMAS'!$AM13='INVOCAÇÕES'!$AJ$1038,'DADOS_FORMAS'!$AM13='INVOCAÇÕES'!$AK$1038,'DADOS_FORMAS'!$AM13='INVOCAÇÕES'!$AL$1038,'DADOS_FORMAS'!$AM13='INVOCAÇÕES'!$AH$1040,'DADOS_FORMAS'!$AM13='INVOCAÇÕES'!$AI$1040,'DADOS_FORMAS'!$AM13='INVOCAÇÕES'!$AJ$1040,'DADOS_FORMAS'!$AM13='INVOCAÇÕES'!$AK$1040,'DADOS_FORMAS'!$AM13=""),'DADOS_FORMAS'!$AR13),'DADOS_FORMAS'!$AH13,"")</f>
        <v/>
      </c>
      <c r="JZ13">
        <f>IFERROR(INDEX('DADOS_CRIACAO'!$H$2:$H$20,11),"")</f>
        <v/>
      </c>
      <c r="KA13">
        <f>IFERROR(INDEX(INDEX('DADOS_RESTRICOES'!$M$2:$Q$54,0,1),11),"")</f>
        <v/>
      </c>
    </row>
    <row r="14">
      <c r="AG14">
        <f>IF(AND($AF4,$AD4=""),$BV4,"")</f>
        <v/>
      </c>
      <c r="AH14">
        <f>IF(AND($AF4,$AD4=""),$BW4,"")</f>
        <v/>
      </c>
      <c r="AI14">
        <f>IF(AND($AF4,$AD4=""),$BX4,"")</f>
        <v/>
      </c>
      <c r="AJ14">
        <f>IF(AND($AF4,$AD4=""),$BY4,FALSE)</f>
        <v/>
      </c>
      <c r="AK14">
        <f>IF(AND($AF4,$AD4=""),$BZ4,"")</f>
        <v/>
      </c>
      <c r="AL14">
        <f>IF(AND($AF4,$AD4=""),$CA4,"")</f>
        <v/>
      </c>
      <c r="AM14">
        <f>IF(AND($AF4,$AD4=""),$CB4,"")</f>
        <v/>
      </c>
      <c r="AN14">
        <f>IF(AND($AF4,$AD4=""),$CC4,0)</f>
        <v/>
      </c>
      <c r="AO14">
        <f>IF(AND($AF4,$AD4=""),$CD4,"")</f>
        <v/>
      </c>
      <c r="AP14">
        <f>IF(AND($AF4,$AD4=""),$CE4,0)</f>
        <v/>
      </c>
      <c r="AQ14">
        <f>IF(AND($AF4,$AD4=""),$CF4,FALSE)</f>
        <v/>
      </c>
      <c r="AR14">
        <f>IF(AND($AF4,$AD4=""),$CG4,FALSE)</f>
        <v/>
      </c>
      <c r="AS14">
        <f>IF(AND($AF4,$AD4=""),$CH4,"")</f>
        <v/>
      </c>
      <c r="AT14">
        <f>IF(AND($AF4,$AD4=""),$CI4,"")</f>
        <v/>
      </c>
      <c r="AU14">
        <f>IF(AND($AF4,$AD4=""),$CJ4,"")</f>
        <v/>
      </c>
      <c r="AV14">
        <f>IF(AND($AF4,$AD4=""),$CK4,"")</f>
        <v/>
      </c>
      <c r="AW14">
        <f>IF(AND($AF4,$AD4=""),$CL4,"")</f>
        <v/>
      </c>
      <c r="AX14">
        <f>IF(AND($AF4,$AD4=""),$CM4,"")</f>
        <v/>
      </c>
      <c r="AY14">
        <f>IF(AND($AF4,$AD4=""),$CN4,"")</f>
        <v/>
      </c>
      <c r="AZ14">
        <f>IF(AND($AF4,$AD4=""),$CO4,"")</f>
        <v/>
      </c>
      <c r="BA14">
        <f>IF(AND($AF4,$AD4=""),$CP4,"")</f>
        <v/>
      </c>
      <c r="BB14">
        <f>IF(AND($AF4,$AD4=""),$CQ4,"")</f>
        <v/>
      </c>
      <c r="BC14">
        <f>IF(AND($AF4,$AD4=""),$CR4,"")</f>
        <v/>
      </c>
      <c r="BD14">
        <f>IF(AND($AF4,$AD4=""),$CS4,"")</f>
        <v/>
      </c>
      <c r="BE14">
        <f>IF(AND($AF4,$AD4=""),$CT4,"")</f>
        <v/>
      </c>
      <c r="BF14">
        <f>IF(AND($AF4,$AD4=""),$CU4,"")</f>
        <v/>
      </c>
      <c r="BG14">
        <f>IF(AND($AF4,$AD4=""),$CV4,"")</f>
        <v/>
      </c>
      <c r="BH14">
        <f>IF(AND($AF4,$AD4=""),$CW4,"")</f>
        <v/>
      </c>
      <c r="BI14">
        <f>IF(AND($AF4,$AD4=""),$CX4,"")</f>
        <v/>
      </c>
      <c r="BJ14">
        <f>IF(AND($AF4,$AD4=""),$CY4,"")</f>
        <v/>
      </c>
      <c r="BK14">
        <f>IF(AND($AF4,$AD4=""),$CZ4,0)</f>
        <v/>
      </c>
      <c r="BL14">
        <f>IF(AND($AF4,$AD4=""),$DA4,"")</f>
        <v/>
      </c>
      <c r="BM14">
        <f>IF(AND($AF4,$AD4=""),$DB4,"")</f>
        <v/>
      </c>
      <c r="BN14">
        <f>IF(AND($AF4,$AD4=""),$DC4,"")</f>
        <v/>
      </c>
      <c r="BO14">
        <f>IF(AND($AF4,$AD4=""),$DD4,0)</f>
        <v/>
      </c>
      <c r="BP14">
        <f>IF(AND($AF4,$AD4=""),$DE4,"")</f>
        <v/>
      </c>
      <c r="BQ14">
        <f>IF(AND($AF4,$AD4=""),$DF4,"")</f>
        <v/>
      </c>
      <c r="BR14">
        <f>IF(AND($AF4,$AD4=""),$DG4,"")</f>
        <v/>
      </c>
      <c r="BS14">
        <f>IF(AND($AF4,$AD4=""),$DH4,0)</f>
        <v/>
      </c>
      <c r="FJ14">
        <f>'DADOS_FORMAS'!$AH14</f>
        <v/>
      </c>
      <c r="FK14">
        <f>'DADOS_FORMAS'!$AM14</f>
        <v/>
      </c>
      <c r="FL14">
        <f>'DADOS_FORMAS'!$AN14</f>
        <v/>
      </c>
      <c r="FM14">
        <f>IF('DADOS_FORMAS'!$AN14=0,0,'DADOS_FORMAS'!$AN14+3*IFERROR(VLOOKUP(SUBSTITUTE(SUBSTITUTE(SUBSTITUTE('DADOS_FORMAS'!$AM14,"~","~~"),"*","~*"),"?","~?"),'DADOS_CRIACAO'!$H$2:$K$20,3,FALSE),0))</f>
        <v/>
      </c>
      <c r="FN14">
        <f>IFERROR(VLOOKUP(SUBSTITUTE(SUBSTITUTE(SUBSTITUTE('DADOS_FORMAS'!$AM14,"~","~~"),"*","~*"),"?","~?"),'DADOS_CRIACAO'!$H$2:$K$20,4,FALSE),0)</f>
        <v/>
      </c>
      <c r="FO14">
        <f>IF('DADOS_FORMAS'!$AS14="",0,1)</f>
        <v/>
      </c>
      <c r="FP14">
        <f>'DADOS_FORMAS'!$AP14</f>
        <v/>
      </c>
      <c r="FQ14">
        <f>IF(AND('DADOS_FORMAS'!$AO14="Acerto",'DADOS_FORMAS'!$AQ14),"Acerto + TR",'DADOS_FORMAS'!$AO14)</f>
        <v/>
      </c>
      <c r="FR14">
        <f>N(OR('DADOS_FORMAS'!$AQ14,'DADOS_FORMAS'!$AO14="TR, metade"))</f>
        <v/>
      </c>
      <c r="FS14">
        <f>'DADOS_FORMAS'!$BO14</f>
        <v/>
      </c>
      <c r="FT14">
        <f>'DADOS_FORMAS'!$BS14</f>
        <v/>
      </c>
      <c r="FU14">
        <f>'DADOS_FORMAS'!$BK14</f>
        <v/>
      </c>
      <c r="FV14">
        <f>N('DADOS_FORMAS'!$AR14)</f>
        <v/>
      </c>
      <c r="FW14">
        <f>IF(IFERROR(VLOOKUP(SUBSTITUTE(SUBSTITUTE(SUBSTITUTE('DADOS_FORMAS'!$AM14,"~","~~"),"*","~*"),"?","~?"),'DADOS_CRIACAO'!$H$2:$K$20,4,FALSE),0)=1,"",'DADOS_FORMAS'!$AH14)</f>
        <v/>
      </c>
      <c r="FX14">
        <f>IF(AND('DADOS_FORMAS'!$AR14,IFERROR(VLOOKUP(SUBSTITUTE(SUBSTITUTE(SUBSTITUTE('DADOS_FORMAS'!$AM14,"~","~~"),"*","~*"),"?","~?"),'DADOS_CRIACAO'!$H$2:$K$20,4,FALSE),0)=0),'DADOS_FORMAS'!$AH14,"")</f>
        <v/>
      </c>
      <c r="FZ14">
        <f>'DADOS_FORMAS'!$AH14</f>
        <v/>
      </c>
      <c r="GA14">
        <f>'DADOS_FORMAS'!$AM14</f>
        <v/>
      </c>
      <c r="GB14">
        <f>'DADOS_FORMAS'!$AN14</f>
        <v/>
      </c>
      <c r="GC14">
        <f>IF('DADOS_FORMAS'!$AS14="",0,1)</f>
        <v/>
      </c>
      <c r="GD14">
        <f>'DADOS_FORMAS'!$AP14</f>
        <v/>
      </c>
      <c r="GE14">
        <f>IF('DADOS_FORMAS'!$AO14="Acerto","Ataque",IF('DADOS_FORMAS'!$AQ14,"TR","—"))</f>
        <v/>
      </c>
      <c r="GF14">
        <f>N(OR('DADOS_FORMAS'!$AQ14,'DADOS_FORMAS'!$AO14="TR, metade"))</f>
        <v/>
      </c>
      <c r="GG14">
        <f>'DADOS_FORMAS'!$BO14</f>
        <v/>
      </c>
      <c r="GH14">
        <f>'DADOS_FORMAS'!$BS14</f>
        <v/>
      </c>
      <c r="GI14">
        <f>'DADOS_FORMAS'!$BK14</f>
        <v/>
      </c>
      <c r="GJ14">
        <f>N('DADOS_FORMAS'!$AR14)</f>
        <v/>
      </c>
      <c r="GR14">
        <f>'DADOS_FORMAS'!$BL14</f>
        <v/>
      </c>
      <c r="GS14">
        <f>IF('DADOS_FORMAS'!$BL14="area",'DADOS_FORMAS'!$AU14,'DADOS_FORMAS'!$AT14)</f>
        <v/>
      </c>
      <c r="GT14">
        <f>IF('DADOS_FORMAS'!$BL14="area",'DADOS_FORMAS'!$BC14,'DADOS_FORMAS'!$AV14)</f>
        <v/>
      </c>
      <c r="GU14">
        <f>'DADOS_FORMAS'!$BM14</f>
        <v/>
      </c>
      <c r="GV14">
        <f>'DADOS_FORMAS'!$BN14</f>
        <v/>
      </c>
      <c r="GW14">
        <f>LET(base,'DADOS_FORMAS'!$GT14,escada,'DADOS_FORMAS'!$GS14,medida,LEFT(base,MAX(0,LEN(base)-2)),valor,IFERROR(VALUE(SUBSTITUTE(medida,",",""))/10^IFERROR(LEN(medida)-FIND(",",medida),0),1E99),IF(OR(escada="Fixo",base="—"),base,IF(escada="alcance",IFERROR(MATCH(base,{"1,5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4" t="inlineStr">
        <is>
          <t>Cone · classe 0</t>
        </is>
      </c>
      <c r="GZ14" t="inlineStr">
        <is>
          <t>Cone de 3 m</t>
        </is>
      </c>
      <c r="HA14" t="inlineStr">
        <is>
          <t>Cone de 4,5 m</t>
        </is>
      </c>
      <c r="HB14" t="inlineStr">
        <is>
          <t>Cone de 9 m</t>
        </is>
      </c>
      <c r="HC14" t="inlineStr">
        <is>
          <t>Cone de 18 m</t>
        </is>
      </c>
      <c r="HD14" t="inlineStr">
        <is>
          <t>Cone de 30 m</t>
        </is>
      </c>
      <c r="HE14" t="inlineStr">
        <is>
          <t>Cone de 60 m</t>
        </is>
      </c>
      <c r="HF14" t="inlineStr"/>
      <c r="HG14" t="inlineStr"/>
      <c r="HH14" t="inlineStr"/>
      <c r="HI14" t="inlineStr"/>
      <c r="HJ14" t="inlineStr"/>
      <c r="HK14" t="inlineStr"/>
      <c r="HM14">
        <f>'DADOS_FORMAS'!$BL13</f>
        <v/>
      </c>
      <c r="HN14">
        <f>IF('DADOS_FORMAS'!$BL13="area",'DADOS_FORMAS'!$AU13,'DADOS_FORMAS'!$AT13)</f>
        <v/>
      </c>
      <c r="HO14">
        <f>IF('DADOS_FORMAS'!$BL13="area",'DADOS_FORMAS'!$BH13,'DADOS_FORMAS'!$BA13)</f>
        <v/>
      </c>
      <c r="HP14">
        <f>'DADOS_FORMAS'!$BM13</f>
        <v/>
      </c>
      <c r="HQ14">
        <f>'DADOS_FORMAS'!$BN13</f>
        <v/>
      </c>
      <c r="HR14">
        <f>LET(base,'DADOS_FORMAS'!$HO14,escada,'DADOS_FORMAS'!$HN14,medida,LEFT(base,MAX(0,LEN(base)-2)),valor,IFERROR(VALUE(SUBSTITUTE(medida,",",""))/10^IFERROR(LEN(medida)-FIND(",",medida),0),1E99),IF(OR(escada="Fixo",base="—"),base,IF(escada="alcance",IFERROR(MATCH(base,{"1,5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4" t="inlineStr">
        <is>
          <t>Aura · classe 0</t>
        </is>
      </c>
      <c r="HU14" t="inlineStr">
        <is>
          <t>Raio 3 m, nela</t>
        </is>
      </c>
      <c r="HV14" t="inlineStr">
        <is>
          <t>Raio 4,5 m, nela</t>
        </is>
      </c>
      <c r="HW14" t="inlineStr">
        <is>
          <t>Raio 6 m, nela</t>
        </is>
      </c>
      <c r="HX14" t="inlineStr">
        <is>
          <t>Raio 9 m, nela</t>
        </is>
      </c>
      <c r="HY14" t="inlineStr">
        <is>
          <t>Raio 15 m, nela</t>
        </is>
      </c>
      <c r="HZ14" t="inlineStr">
        <is>
          <t>Raio 15 m, nela</t>
        </is>
      </c>
      <c r="IA14" t="inlineStr"/>
      <c r="IB14" t="inlineStr"/>
      <c r="IC14" t="inlineStr"/>
      <c r="ID14" t="inlineStr"/>
      <c r="IE14" t="inlineStr"/>
      <c r="IF14" t="inlineStr"/>
      <c r="IH14">
        <f>IF(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H14,"")</f>
        <v/>
      </c>
      <c r="II14">
        <f>IF(AND(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R14),'DADOS_FORMAS'!$AH14,"")</f>
        <v/>
      </c>
      <c r="IK14">
        <f>IF(OR('DADOS_FORMAS'!$AM14='INVOCAÇÕES'!$O$246,'DADOS_FORMAS'!$AM14='INVOCAÇÕES'!$P$246,'DADOS_FORMAS'!$AM14='INVOCAÇÕES'!$Q$246,'DADOS_FORMAS'!$AM14='INVOCAÇÕES'!$R$246,'DADOS_FORMAS'!$AM14='INVOCAÇÕES'!$S$246,'DADOS_FORMAS'!$AM14='INVOCAÇÕES'!$O$248,'DADOS_FORMAS'!$AM14='INVOCAÇÕES'!$P$248,'DADOS_FORMAS'!$AM14='INVOCAÇÕES'!$Q$248,'DADOS_FORMAS'!$AM14='INVOCAÇÕES'!$R$248,'DADOS_FORMAS'!$AM14=""),'DADOS_FORMAS'!$AH14,"")</f>
        <v/>
      </c>
      <c r="IL14">
        <f>IF(AND(OR('DADOS_FORMAS'!$AM14='INVOCAÇÕES'!$O$246,'DADOS_FORMAS'!$AM14='INVOCAÇÕES'!$P$246,'DADOS_FORMAS'!$AM14='INVOCAÇÕES'!$Q$246,'DADOS_FORMAS'!$AM14='INVOCAÇÕES'!$R$246,'DADOS_FORMAS'!$AM14='INVOCAÇÕES'!$S$246,'DADOS_FORMAS'!$AM14='INVOCAÇÕES'!$O$248,'DADOS_FORMAS'!$AM14='INVOCAÇÕES'!$P$248,'DADOS_FORMAS'!$AM14='INVOCAÇÕES'!$Q$248,'DADOS_FORMAS'!$AM14='INVOCAÇÕES'!$R$248,'DADOS_FORMAS'!$AM14=""),'DADOS_FORMAS'!$AR14),'DADOS_FORMAS'!$AH14,"")</f>
        <v/>
      </c>
      <c r="IN14">
        <f>IF(OR('DADOS_FORMAS'!$AM14='INVOCAÇÕES'!$O$444,'DADOS_FORMAS'!$AM14='INVOCAÇÕES'!$P$444,'DADOS_FORMAS'!$AM14='INVOCAÇÕES'!$Q$444,'DADOS_FORMAS'!$AM14='INVOCAÇÕES'!$R$444,'DADOS_FORMAS'!$AM14='INVOCAÇÕES'!$S$444,'DADOS_FORMAS'!$AM14='INVOCAÇÕES'!$O$446,'DADOS_FORMAS'!$AM14='INVOCAÇÕES'!$P$446,'DADOS_FORMAS'!$AM14='INVOCAÇÕES'!$Q$446,'DADOS_FORMAS'!$AM14='INVOCAÇÕES'!$R$446,'DADOS_FORMAS'!$AM14=""),'DADOS_FORMAS'!$AH14,"")</f>
        <v/>
      </c>
      <c r="IO14">
        <f>IF(AND(OR('DADOS_FORMAS'!$AM14='INVOCAÇÕES'!$O$444,'DADOS_FORMAS'!$AM14='INVOCAÇÕES'!$P$444,'DADOS_FORMAS'!$AM14='INVOCAÇÕES'!$Q$444,'DADOS_FORMAS'!$AM14='INVOCAÇÕES'!$R$444,'DADOS_FORMAS'!$AM14='INVOCAÇÕES'!$S$444,'DADOS_FORMAS'!$AM14='INVOCAÇÕES'!$O$446,'DADOS_FORMAS'!$AM14='INVOCAÇÕES'!$P$446,'DADOS_FORMAS'!$AM14='INVOCAÇÕES'!$Q$446,'DADOS_FORMAS'!$AM14='INVOCAÇÕES'!$R$446,'DADOS_FORMAS'!$AM14=""),'DADOS_FORMAS'!$AR14),'DADOS_FORMAS'!$AH14,"")</f>
        <v/>
      </c>
      <c r="IQ14">
        <f>IF(OR('DADOS_FORMAS'!$AM14='INVOCAÇÕES'!$O$642,'DADOS_FORMAS'!$AM14='INVOCAÇÕES'!$P$642,'DADOS_FORMAS'!$AM14='INVOCAÇÕES'!$Q$642,'DADOS_FORMAS'!$AM14='INVOCAÇÕES'!$R$642,'DADOS_FORMAS'!$AM14='INVOCAÇÕES'!$S$642,'DADOS_FORMAS'!$AM14='INVOCAÇÕES'!$O$644,'DADOS_FORMAS'!$AM14='INVOCAÇÕES'!$P$644,'DADOS_FORMAS'!$AM14='INVOCAÇÕES'!$Q$644,'DADOS_FORMAS'!$AM14='INVOCAÇÕES'!$R$644,'DADOS_FORMAS'!$AM14=""),'DADOS_FORMAS'!$AH14,"")</f>
        <v/>
      </c>
      <c r="IR14">
        <f>IF(AND(OR('DADOS_FORMAS'!$AM14='INVOCAÇÕES'!$O$642,'DADOS_FORMAS'!$AM14='INVOCAÇÕES'!$P$642,'DADOS_FORMAS'!$AM14='INVOCAÇÕES'!$Q$642,'DADOS_FORMAS'!$AM14='INVOCAÇÕES'!$R$642,'DADOS_FORMAS'!$AM14='INVOCAÇÕES'!$S$642,'DADOS_FORMAS'!$AM14='INVOCAÇÕES'!$O$644,'DADOS_FORMAS'!$AM14='INVOCAÇÕES'!$P$644,'DADOS_FORMAS'!$AM14='INVOCAÇÕES'!$Q$644,'DADOS_FORMAS'!$AM14='INVOCAÇÕES'!$R$644,'DADOS_FORMAS'!$AM14=""),'DADOS_FORMAS'!$AR14),'DADOS_FORMAS'!$AH14,"")</f>
        <v/>
      </c>
      <c r="IT14">
        <f>IF(OR('DADOS_FORMAS'!$AM14='INVOCAÇÕES'!$O$840,'DADOS_FORMAS'!$AM14='INVOCAÇÕES'!$P$840,'DADOS_FORMAS'!$AM14='INVOCAÇÕES'!$Q$840,'DADOS_FORMAS'!$AM14='INVOCAÇÕES'!$R$840,'DADOS_FORMAS'!$AM14='INVOCAÇÕES'!$S$840,'DADOS_FORMAS'!$AM14='INVOCAÇÕES'!$O$842,'DADOS_FORMAS'!$AM14='INVOCAÇÕES'!$P$842,'DADOS_FORMAS'!$AM14='INVOCAÇÕES'!$Q$842,'DADOS_FORMAS'!$AM14='INVOCAÇÕES'!$R$842,'DADOS_FORMAS'!$AM14=""),'DADOS_FORMAS'!$AH14,"")</f>
        <v/>
      </c>
      <c r="IU14">
        <f>IF(AND(OR('DADOS_FORMAS'!$AM14='INVOCAÇÕES'!$O$840,'DADOS_FORMAS'!$AM14='INVOCAÇÕES'!$P$840,'DADOS_FORMAS'!$AM14='INVOCAÇÕES'!$Q$840,'DADOS_FORMAS'!$AM14='INVOCAÇÕES'!$R$840,'DADOS_FORMAS'!$AM14='INVOCAÇÕES'!$S$840,'DADOS_FORMAS'!$AM14='INVOCAÇÕES'!$O$842,'DADOS_FORMAS'!$AM14='INVOCAÇÕES'!$P$842,'DADOS_FORMAS'!$AM14='INVOCAÇÕES'!$Q$842,'DADOS_FORMAS'!$AM14='INVOCAÇÕES'!$R$842,'DADOS_FORMAS'!$AM14=""),'DADOS_FORMAS'!$AR14),'DADOS_FORMAS'!$AH14,"")</f>
        <v/>
      </c>
      <c r="IW14">
        <f>IF(OR('DADOS_FORMAS'!$AM14='INVOCAÇÕES'!$O$1038,'DADOS_FORMAS'!$AM14='INVOCAÇÕES'!$P$1038,'DADOS_FORMAS'!$AM14='INVOCAÇÕES'!$Q$1038,'DADOS_FORMAS'!$AM14='INVOCAÇÕES'!$R$1038,'DADOS_FORMAS'!$AM14='INVOCAÇÕES'!$S$1038,'DADOS_FORMAS'!$AM14='INVOCAÇÕES'!$O$1040,'DADOS_FORMAS'!$AM14='INVOCAÇÕES'!$P$1040,'DADOS_FORMAS'!$AM14='INVOCAÇÕES'!$Q$1040,'DADOS_FORMAS'!$AM14='INVOCAÇÕES'!$R$1040,'DADOS_FORMAS'!$AM14=""),'DADOS_FORMAS'!$AH14,"")</f>
        <v/>
      </c>
      <c r="IX14">
        <f>IF(AND(OR('DADOS_FORMAS'!$AM14='INVOCAÇÕES'!$O$1038,'DADOS_FORMAS'!$AM14='INVOCAÇÕES'!$P$1038,'DADOS_FORMAS'!$AM14='INVOCAÇÕES'!$Q$1038,'DADOS_FORMAS'!$AM14='INVOCAÇÕES'!$R$1038,'DADOS_FORMAS'!$AM14='INVOCAÇÕES'!$S$1038,'DADOS_FORMAS'!$AM14='INVOCAÇÕES'!$O$1040,'DADOS_FORMAS'!$AM14='INVOCAÇÕES'!$P$1040,'DADOS_FORMAS'!$AM14='INVOCAÇÕES'!$Q$1040,'DADOS_FORMAS'!$AM14='INVOCAÇÕES'!$R$1040,'DADOS_FORMAS'!$AM14=""),'DADOS_FORMAS'!$AR14),'DADOS_FORMAS'!$AH14,"")</f>
        <v/>
      </c>
      <c r="IZ14">
        <f>IF(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H14,"")</f>
        <v/>
      </c>
      <c r="JA14">
        <f>IF(AND(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R14),'DADOS_FORMAS'!$AH14,"")</f>
        <v/>
      </c>
      <c r="JC14">
        <f>IF(OR('DADOS_FORMAS'!$AM14='INVOCAÇÕES'!$AH$246,'DADOS_FORMAS'!$AM14='INVOCAÇÕES'!$AI$246,'DADOS_FORMAS'!$AM14='INVOCAÇÕES'!$AJ$246,'DADOS_FORMAS'!$AM14='INVOCAÇÕES'!$AK$246,'DADOS_FORMAS'!$AM14='INVOCAÇÕES'!$AL$246,'DADOS_FORMAS'!$AM14='INVOCAÇÕES'!$AH$248,'DADOS_FORMAS'!$AM14='INVOCAÇÕES'!$AI$248,'DADOS_FORMAS'!$AM14='INVOCAÇÕES'!$AJ$248,'DADOS_FORMAS'!$AM14='INVOCAÇÕES'!$AK$248,'DADOS_FORMAS'!$AM14=""),'DADOS_FORMAS'!$AH14,"")</f>
        <v/>
      </c>
      <c r="JD14">
        <f>IF(AND(OR('DADOS_FORMAS'!$AM14='INVOCAÇÕES'!$AH$246,'DADOS_FORMAS'!$AM14='INVOCAÇÕES'!$AI$246,'DADOS_FORMAS'!$AM14='INVOCAÇÕES'!$AJ$246,'DADOS_FORMAS'!$AM14='INVOCAÇÕES'!$AK$246,'DADOS_FORMAS'!$AM14='INVOCAÇÕES'!$AL$246,'DADOS_FORMAS'!$AM14='INVOCAÇÕES'!$AH$248,'DADOS_FORMAS'!$AM14='INVOCAÇÕES'!$AI$248,'DADOS_FORMAS'!$AM14='INVOCAÇÕES'!$AJ$248,'DADOS_FORMAS'!$AM14='INVOCAÇÕES'!$AK$248,'DADOS_FORMAS'!$AM14=""),'DADOS_FORMAS'!$AR14),'DADOS_FORMAS'!$AH14,"")</f>
        <v/>
      </c>
      <c r="JF14">
        <f>IF(OR('DADOS_FORMAS'!$AM14='INVOCAÇÕES'!$AH$444,'DADOS_FORMAS'!$AM14='INVOCAÇÕES'!$AI$444,'DADOS_FORMAS'!$AM14='INVOCAÇÕES'!$AJ$444,'DADOS_FORMAS'!$AM14='INVOCAÇÕES'!$AK$444,'DADOS_FORMAS'!$AM14='INVOCAÇÕES'!$AL$444,'DADOS_FORMAS'!$AM14='INVOCAÇÕES'!$AH$446,'DADOS_FORMAS'!$AM14='INVOCAÇÕES'!$AI$446,'DADOS_FORMAS'!$AM14='INVOCAÇÕES'!$AJ$446,'DADOS_FORMAS'!$AM14='INVOCAÇÕES'!$AK$446,'DADOS_FORMAS'!$AM14=""),'DADOS_FORMAS'!$AH14,"")</f>
        <v/>
      </c>
      <c r="JG14">
        <f>IF(AND(OR('DADOS_FORMAS'!$AM14='INVOCAÇÕES'!$AH$444,'DADOS_FORMAS'!$AM14='INVOCAÇÕES'!$AI$444,'DADOS_FORMAS'!$AM14='INVOCAÇÕES'!$AJ$444,'DADOS_FORMAS'!$AM14='INVOCAÇÕES'!$AK$444,'DADOS_FORMAS'!$AM14='INVOCAÇÕES'!$AL$444,'DADOS_FORMAS'!$AM14='INVOCAÇÕES'!$AH$446,'DADOS_FORMAS'!$AM14='INVOCAÇÕES'!$AI$446,'DADOS_FORMAS'!$AM14='INVOCAÇÕES'!$AJ$446,'DADOS_FORMAS'!$AM14='INVOCAÇÕES'!$AK$446,'DADOS_FORMAS'!$AM14=""),'DADOS_FORMAS'!$AR14),'DADOS_FORMAS'!$AH14,"")</f>
        <v/>
      </c>
      <c r="JI14">
        <f>IF(OR('DADOS_FORMAS'!$AM14='INVOCAÇÕES'!$AH$642,'DADOS_FORMAS'!$AM14='INVOCAÇÕES'!$AI$642,'DADOS_FORMAS'!$AM14='INVOCAÇÕES'!$AJ$642,'DADOS_FORMAS'!$AM14='INVOCAÇÕES'!$AK$642,'DADOS_FORMAS'!$AM14='INVOCAÇÕES'!$AL$642,'DADOS_FORMAS'!$AM14='INVOCAÇÕES'!$AH$644,'DADOS_FORMAS'!$AM14='INVOCAÇÕES'!$AI$644,'DADOS_FORMAS'!$AM14='INVOCAÇÕES'!$AJ$644,'DADOS_FORMAS'!$AM14='INVOCAÇÕES'!$AK$644,'DADOS_FORMAS'!$AM14=""),'DADOS_FORMAS'!$AH14,"")</f>
        <v/>
      </c>
      <c r="JJ14">
        <f>IF(AND(OR('DADOS_FORMAS'!$AM14='INVOCAÇÕES'!$AH$642,'DADOS_FORMAS'!$AM14='INVOCAÇÕES'!$AI$642,'DADOS_FORMAS'!$AM14='INVOCAÇÕES'!$AJ$642,'DADOS_FORMAS'!$AM14='INVOCAÇÕES'!$AK$642,'DADOS_FORMAS'!$AM14='INVOCAÇÕES'!$AL$642,'DADOS_FORMAS'!$AM14='INVOCAÇÕES'!$AH$644,'DADOS_FORMAS'!$AM14='INVOCAÇÕES'!$AI$644,'DADOS_FORMAS'!$AM14='INVOCAÇÕES'!$AJ$644,'DADOS_FORMAS'!$AM14='INVOCAÇÕES'!$AK$644,'DADOS_FORMAS'!$AM14=""),'DADOS_FORMAS'!$AR14),'DADOS_FORMAS'!$AH14,"")</f>
        <v/>
      </c>
      <c r="JL14">
        <f>IF(OR('DADOS_FORMAS'!$AM14='INVOCAÇÕES'!$AH$840,'DADOS_FORMAS'!$AM14='INVOCAÇÕES'!$AI$840,'DADOS_FORMAS'!$AM14='INVOCAÇÕES'!$AJ$840,'DADOS_FORMAS'!$AM14='INVOCAÇÕES'!$AK$840,'DADOS_FORMAS'!$AM14='INVOCAÇÕES'!$AL$840,'DADOS_FORMAS'!$AM14='INVOCAÇÕES'!$AH$842,'DADOS_FORMAS'!$AM14='INVOCAÇÕES'!$AI$842,'DADOS_FORMAS'!$AM14='INVOCAÇÕES'!$AJ$842,'DADOS_FORMAS'!$AM14='INVOCAÇÕES'!$AK$842,'DADOS_FORMAS'!$AM14=""),'DADOS_FORMAS'!$AH14,"")</f>
        <v/>
      </c>
      <c r="JM14">
        <f>IF(AND(OR('DADOS_FORMAS'!$AM14='INVOCAÇÕES'!$AH$840,'DADOS_FORMAS'!$AM14='INVOCAÇÕES'!$AI$840,'DADOS_FORMAS'!$AM14='INVOCAÇÕES'!$AJ$840,'DADOS_FORMAS'!$AM14='INVOCAÇÕES'!$AK$840,'DADOS_FORMAS'!$AM14='INVOCAÇÕES'!$AL$840,'DADOS_FORMAS'!$AM14='INVOCAÇÕES'!$AH$842,'DADOS_FORMAS'!$AM14='INVOCAÇÕES'!$AI$842,'DADOS_FORMAS'!$AM14='INVOCAÇÕES'!$AJ$842,'DADOS_FORMAS'!$AM14='INVOCAÇÕES'!$AK$842,'DADOS_FORMAS'!$AM14=""),'DADOS_FORMAS'!$AR14),'DADOS_FORMAS'!$AH14,"")</f>
        <v/>
      </c>
      <c r="JO14">
        <f>IF(OR('DADOS_FORMAS'!$AM14='INVOCAÇÕES'!$AH$1038,'DADOS_FORMAS'!$AM14='INVOCAÇÕES'!$AI$1038,'DADOS_FORMAS'!$AM14='INVOCAÇÕES'!$AJ$1038,'DADOS_FORMAS'!$AM14='INVOCAÇÕES'!$AK$1038,'DADOS_FORMAS'!$AM14='INVOCAÇÕES'!$AL$1038,'DADOS_FORMAS'!$AM14='INVOCAÇÕES'!$AH$1040,'DADOS_FORMAS'!$AM14='INVOCAÇÕES'!$AI$1040,'DADOS_FORMAS'!$AM14='INVOCAÇÕES'!$AJ$1040,'DADOS_FORMAS'!$AM14='INVOCAÇÕES'!$AK$1040,'DADOS_FORMAS'!$AM14=""),'DADOS_FORMAS'!$AH14,"")</f>
        <v/>
      </c>
      <c r="JP14">
        <f>IF(AND(OR('DADOS_FORMAS'!$AM14='INVOCAÇÕES'!$AH$1038,'DADOS_FORMAS'!$AM14='INVOCAÇÕES'!$AI$1038,'DADOS_FORMAS'!$AM14='INVOCAÇÕES'!$AJ$1038,'DADOS_FORMAS'!$AM14='INVOCAÇÕES'!$AK$1038,'DADOS_FORMAS'!$AM14='INVOCAÇÕES'!$AL$1038,'DADOS_FORMAS'!$AM14='INVOCAÇÕES'!$AH$1040,'DADOS_FORMAS'!$AM14='INVOCAÇÕES'!$AI$1040,'DADOS_FORMAS'!$AM14='INVOCAÇÕES'!$AJ$1040,'DADOS_FORMAS'!$AM14='INVOCAÇÕES'!$AK$1040,'DADOS_FORMAS'!$AM14=""),'DADOS_FORMAS'!$AR14),'DADOS_FORMAS'!$AH14,"")</f>
        <v/>
      </c>
      <c r="JZ14">
        <f>IFERROR(INDEX('DADOS_CRIACAO'!$H$2:$H$20,12),"")</f>
        <v/>
      </c>
      <c r="KA14">
        <f>IFERROR(INDEX(INDEX('DADOS_RESTRICOES'!$M$2:$Q$54,0,1),12),"")</f>
        <v/>
      </c>
    </row>
    <row r="15">
      <c r="AG15">
        <f>IF(AND($AF5,$AD5=""),$BV5,"")</f>
        <v/>
      </c>
      <c r="AH15">
        <f>IF(AND($AF5,$AD5=""),$BW5,"")</f>
        <v/>
      </c>
      <c r="AI15">
        <f>IF(AND($AF5,$AD5=""),$BX5,"")</f>
        <v/>
      </c>
      <c r="AJ15">
        <f>IF(AND($AF5,$AD5=""),$BY5,FALSE)</f>
        <v/>
      </c>
      <c r="AK15">
        <f>IF(AND($AF5,$AD5=""),$BZ5,"")</f>
        <v/>
      </c>
      <c r="AL15">
        <f>IF(AND($AF5,$AD5=""),$CA5,"")</f>
        <v/>
      </c>
      <c r="AM15">
        <f>IF(AND($AF5,$AD5=""),$CB5,"")</f>
        <v/>
      </c>
      <c r="AN15">
        <f>IF(AND($AF5,$AD5=""),$CC5,0)</f>
        <v/>
      </c>
      <c r="AO15">
        <f>IF(AND($AF5,$AD5=""),$CD5,"")</f>
        <v/>
      </c>
      <c r="AP15">
        <f>IF(AND($AF5,$AD5=""),$CE5,0)</f>
        <v/>
      </c>
      <c r="AQ15">
        <f>IF(AND($AF5,$AD5=""),$CF5,FALSE)</f>
        <v/>
      </c>
      <c r="AR15">
        <f>IF(AND($AF5,$AD5=""),$CG5,FALSE)</f>
        <v/>
      </c>
      <c r="AS15">
        <f>IF(AND($AF5,$AD5=""),$CH5,"")</f>
        <v/>
      </c>
      <c r="AT15">
        <f>IF(AND($AF5,$AD5=""),$CI5,"")</f>
        <v/>
      </c>
      <c r="AU15">
        <f>IF(AND($AF5,$AD5=""),$CJ5,"")</f>
        <v/>
      </c>
      <c r="AV15">
        <f>IF(AND($AF5,$AD5=""),$CK5,"")</f>
        <v/>
      </c>
      <c r="AW15">
        <f>IF(AND($AF5,$AD5=""),$CL5,"")</f>
        <v/>
      </c>
      <c r="AX15">
        <f>IF(AND($AF5,$AD5=""),$CM5,"")</f>
        <v/>
      </c>
      <c r="AY15">
        <f>IF(AND($AF5,$AD5=""),$CN5,"")</f>
        <v/>
      </c>
      <c r="AZ15">
        <f>IF(AND($AF5,$AD5=""),$CO5,"")</f>
        <v/>
      </c>
      <c r="BA15">
        <f>IF(AND($AF5,$AD5=""),$CP5,"")</f>
        <v/>
      </c>
      <c r="BB15">
        <f>IF(AND($AF5,$AD5=""),$CQ5,"")</f>
        <v/>
      </c>
      <c r="BC15">
        <f>IF(AND($AF5,$AD5=""),$CR5,"")</f>
        <v/>
      </c>
      <c r="BD15">
        <f>IF(AND($AF5,$AD5=""),$CS5,"")</f>
        <v/>
      </c>
      <c r="BE15">
        <f>IF(AND($AF5,$AD5=""),$CT5,"")</f>
        <v/>
      </c>
      <c r="BF15">
        <f>IF(AND($AF5,$AD5=""),$CU5,"")</f>
        <v/>
      </c>
      <c r="BG15">
        <f>IF(AND($AF5,$AD5=""),$CV5,"")</f>
        <v/>
      </c>
      <c r="BH15">
        <f>IF(AND($AF5,$AD5=""),$CW5,"")</f>
        <v/>
      </c>
      <c r="BI15">
        <f>IF(AND($AF5,$AD5=""),$CX5,"")</f>
        <v/>
      </c>
      <c r="BJ15">
        <f>IF(AND($AF5,$AD5=""),$CY5,"")</f>
        <v/>
      </c>
      <c r="BK15">
        <f>IF(AND($AF5,$AD5=""),$CZ5,0)</f>
        <v/>
      </c>
      <c r="BL15">
        <f>IF(AND($AF5,$AD5=""),$DA5,"")</f>
        <v/>
      </c>
      <c r="BM15">
        <f>IF(AND($AF5,$AD5=""),$DB5,"")</f>
        <v/>
      </c>
      <c r="BN15">
        <f>IF(AND($AF5,$AD5=""),$DC5,"")</f>
        <v/>
      </c>
      <c r="BO15">
        <f>IF(AND($AF5,$AD5=""),$DD5,0)</f>
        <v/>
      </c>
      <c r="BP15">
        <f>IF(AND($AF5,$AD5=""),$DE5,"")</f>
        <v/>
      </c>
      <c r="BQ15">
        <f>IF(AND($AF5,$AD5=""),$DF5,"")</f>
        <v/>
      </c>
      <c r="BR15">
        <f>IF(AND($AF5,$AD5=""),$DG5,"")</f>
        <v/>
      </c>
      <c r="BS15">
        <f>IF(AND($AF5,$AD5=""),$DH5,0)</f>
        <v/>
      </c>
      <c r="FJ15">
        <f>'DADOS_FORMAS'!$AH15</f>
        <v/>
      </c>
      <c r="FK15">
        <f>'DADOS_FORMAS'!$AM15</f>
        <v/>
      </c>
      <c r="FL15">
        <f>'DADOS_FORMAS'!$AN15</f>
        <v/>
      </c>
      <c r="FM15">
        <f>IF('DADOS_FORMAS'!$AN15=0,0,'DADOS_FORMAS'!$AN15+3*IFERROR(VLOOKUP(SUBSTITUTE(SUBSTITUTE(SUBSTITUTE('DADOS_FORMAS'!$AM15,"~","~~"),"*","~*"),"?","~?"),'DADOS_CRIACAO'!$H$2:$K$20,3,FALSE),0))</f>
        <v/>
      </c>
      <c r="FN15">
        <f>IFERROR(VLOOKUP(SUBSTITUTE(SUBSTITUTE(SUBSTITUTE('DADOS_FORMAS'!$AM15,"~","~~"),"*","~*"),"?","~?"),'DADOS_CRIACAO'!$H$2:$K$20,4,FALSE),0)</f>
        <v/>
      </c>
      <c r="FO15">
        <f>IF('DADOS_FORMAS'!$AS15="",0,1)</f>
        <v/>
      </c>
      <c r="FP15">
        <f>'DADOS_FORMAS'!$AP15</f>
        <v/>
      </c>
      <c r="FQ15">
        <f>IF(AND('DADOS_FORMAS'!$AO15="Acerto",'DADOS_FORMAS'!$AQ15),"Acerto + TR",'DADOS_FORMAS'!$AO15)</f>
        <v/>
      </c>
      <c r="FR15">
        <f>N(OR('DADOS_FORMAS'!$AQ15,'DADOS_FORMAS'!$AO15="TR, metade"))</f>
        <v/>
      </c>
      <c r="FS15">
        <f>'DADOS_FORMAS'!$BO15</f>
        <v/>
      </c>
      <c r="FT15">
        <f>'DADOS_FORMAS'!$BS15</f>
        <v/>
      </c>
      <c r="FU15">
        <f>'DADOS_FORMAS'!$BK15</f>
        <v/>
      </c>
      <c r="FV15">
        <f>N('DADOS_FORMAS'!$AR15)</f>
        <v/>
      </c>
      <c r="FW15">
        <f>IF(IFERROR(VLOOKUP(SUBSTITUTE(SUBSTITUTE(SUBSTITUTE('DADOS_FORMAS'!$AM15,"~","~~"),"*","~*"),"?","~?"),'DADOS_CRIACAO'!$H$2:$K$20,4,FALSE),0)=1,"",'DADOS_FORMAS'!$AH15)</f>
        <v/>
      </c>
      <c r="FX15">
        <f>IF(AND('DADOS_FORMAS'!$AR15,IFERROR(VLOOKUP(SUBSTITUTE(SUBSTITUTE(SUBSTITUTE('DADOS_FORMAS'!$AM15,"~","~~"),"*","~*"),"?","~?"),'DADOS_CRIACAO'!$H$2:$K$20,4,FALSE),0)=0),'DADOS_FORMAS'!$AH15,"")</f>
        <v/>
      </c>
      <c r="FZ15">
        <f>'DADOS_FORMAS'!$AH15</f>
        <v/>
      </c>
      <c r="GA15">
        <f>'DADOS_FORMAS'!$AM15</f>
        <v/>
      </c>
      <c r="GB15">
        <f>'DADOS_FORMAS'!$AN15</f>
        <v/>
      </c>
      <c r="GC15">
        <f>IF('DADOS_FORMAS'!$AS15="",0,1)</f>
        <v/>
      </c>
      <c r="GD15">
        <f>'DADOS_FORMAS'!$AP15</f>
        <v/>
      </c>
      <c r="GE15">
        <f>IF('DADOS_FORMAS'!$AO15="Acerto","Ataque",IF('DADOS_FORMAS'!$AQ15,"TR","—"))</f>
        <v/>
      </c>
      <c r="GF15">
        <f>N(OR('DADOS_FORMAS'!$AQ15,'DADOS_FORMAS'!$AO15="TR, metade"))</f>
        <v/>
      </c>
      <c r="GG15">
        <f>'DADOS_FORMAS'!$BO15</f>
        <v/>
      </c>
      <c r="GH15">
        <f>'DADOS_FORMAS'!$BS15</f>
        <v/>
      </c>
      <c r="GI15">
        <f>'DADOS_FORMAS'!$BK15</f>
        <v/>
      </c>
      <c r="GJ15">
        <f>N('DADOS_FORMAS'!$AR15)</f>
        <v/>
      </c>
      <c r="GR15">
        <f>'DADOS_FORMAS'!$BP14</f>
        <v/>
      </c>
      <c r="GS15">
        <f>IF('DADOS_FORMAS'!$BP14="area",'DADOS_FORMAS'!$AU14,'DADOS_FORMAS'!$AT14)</f>
        <v/>
      </c>
      <c r="GT15">
        <f>IF('DADOS_FORMAS'!$BP14="area",'DADOS_FORMAS'!$BC14,'DADOS_FORMAS'!$AV14)</f>
        <v/>
      </c>
      <c r="GU15">
        <f>'DADOS_FORMAS'!$BQ14</f>
        <v/>
      </c>
      <c r="GV15">
        <f>'DADOS_FORMAS'!$BR14</f>
        <v/>
      </c>
      <c r="GW15">
        <f>LET(base,'DADOS_FORMAS'!$GT15,escada,'DADOS_FORMAS'!$GS15,medida,LEFT(base,MAX(0,LEN(base)-2)),valor,IFERROR(VALUE(SUBSTITUTE(medida,",",""))/10^IFERROR(LEN(medida)-FIND(",",medida),0),1E99),IF(OR(escada="Fixo",base="—"),base,IF(escada="alcance",IFERROR(MATCH(base,{"1,5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5" t="inlineStr">
        <is>
          <t>Cone · classes 1 a 5</t>
        </is>
      </c>
      <c r="GZ15" t="inlineStr">
        <is>
          <t>Cone de 4,5 m</t>
        </is>
      </c>
      <c r="HA15" t="inlineStr">
        <is>
          <t>Cone de 9 m</t>
        </is>
      </c>
      <c r="HB15" t="inlineStr">
        <is>
          <t>Cone de 18 m</t>
        </is>
      </c>
      <c r="HC15" t="inlineStr">
        <is>
          <t>Cone de 30 m</t>
        </is>
      </c>
      <c r="HD15" t="inlineStr">
        <is>
          <t>Cone de 60 m</t>
        </is>
      </c>
      <c r="HE15" t="inlineStr">
        <is>
          <t>Cone de 60 m</t>
        </is>
      </c>
      <c r="HF15" t="inlineStr"/>
      <c r="HG15" t="inlineStr"/>
      <c r="HH15" t="inlineStr"/>
      <c r="HI15" t="inlineStr"/>
      <c r="HJ15" t="inlineStr"/>
      <c r="HK15" t="inlineStr"/>
      <c r="HM15">
        <f>'DADOS_FORMAS'!$BP13</f>
        <v/>
      </c>
      <c r="HN15">
        <f>IF('DADOS_FORMAS'!$BP13="area",'DADOS_FORMAS'!$AU13,'DADOS_FORMAS'!$AT13)</f>
        <v/>
      </c>
      <c r="HO15">
        <f>IF('DADOS_FORMAS'!$BP13="area",'DADOS_FORMAS'!$BH13,'DADOS_FORMAS'!$BA13)</f>
        <v/>
      </c>
      <c r="HP15">
        <f>'DADOS_FORMAS'!$BQ13</f>
        <v/>
      </c>
      <c r="HQ15">
        <f>'DADOS_FORMAS'!$BR13</f>
        <v/>
      </c>
      <c r="HR15">
        <f>LET(base,'DADOS_FORMAS'!$HO15,escada,'DADOS_FORMAS'!$HN15,medida,LEFT(base,MAX(0,LEN(base)-2)),valor,IFERROR(VALUE(SUBSTITUTE(medida,",",""))/10^IFERROR(LEN(medida)-FIND(",",medida),0),1E99),IF(OR(escada="Fixo",base="—"),base,IF(escada="alcance",IFERROR(MATCH(base,{"1,5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5" t="inlineStr">
        <is>
          <t>Aura · classes 1 a 5</t>
        </is>
      </c>
      <c r="HU15" t="inlineStr">
        <is>
          <t>Raio 3 m, nela</t>
        </is>
      </c>
      <c r="HV15" t="inlineStr">
        <is>
          <t>Raio 4,5 m, nela</t>
        </is>
      </c>
      <c r="HW15" t="inlineStr">
        <is>
          <t>Raio 6 m, nela</t>
        </is>
      </c>
      <c r="HX15" t="inlineStr">
        <is>
          <t>Raio 9 m, nela</t>
        </is>
      </c>
      <c r="HY15" t="inlineStr">
        <is>
          <t>Raio 15 m, nela</t>
        </is>
      </c>
      <c r="HZ15" t="inlineStr">
        <is>
          <t>Raio 15 m, nela</t>
        </is>
      </c>
      <c r="IA15" t="inlineStr"/>
      <c r="IB15" t="inlineStr"/>
      <c r="IC15" t="inlineStr"/>
      <c r="ID15" t="inlineStr"/>
      <c r="IE15" t="inlineStr"/>
      <c r="IF15" t="inlineStr"/>
      <c r="IH15">
        <f>IF(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H15,"")</f>
        <v/>
      </c>
      <c r="II15">
        <f>IF(AND(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R15),'DADOS_FORMAS'!$AH15,"")</f>
        <v/>
      </c>
      <c r="IK15">
        <f>IF(OR('DADOS_FORMAS'!$AM15='INVOCAÇÕES'!$O$246,'DADOS_FORMAS'!$AM15='INVOCAÇÕES'!$P$246,'DADOS_FORMAS'!$AM15='INVOCAÇÕES'!$Q$246,'DADOS_FORMAS'!$AM15='INVOCAÇÕES'!$R$246,'DADOS_FORMAS'!$AM15='INVOCAÇÕES'!$S$246,'DADOS_FORMAS'!$AM15='INVOCAÇÕES'!$O$248,'DADOS_FORMAS'!$AM15='INVOCAÇÕES'!$P$248,'DADOS_FORMAS'!$AM15='INVOCAÇÕES'!$Q$248,'DADOS_FORMAS'!$AM15='INVOCAÇÕES'!$R$248,'DADOS_FORMAS'!$AM15=""),'DADOS_FORMAS'!$AH15,"")</f>
        <v/>
      </c>
      <c r="IL15">
        <f>IF(AND(OR('DADOS_FORMAS'!$AM15='INVOCAÇÕES'!$O$246,'DADOS_FORMAS'!$AM15='INVOCAÇÕES'!$P$246,'DADOS_FORMAS'!$AM15='INVOCAÇÕES'!$Q$246,'DADOS_FORMAS'!$AM15='INVOCAÇÕES'!$R$246,'DADOS_FORMAS'!$AM15='INVOCAÇÕES'!$S$246,'DADOS_FORMAS'!$AM15='INVOCAÇÕES'!$O$248,'DADOS_FORMAS'!$AM15='INVOCAÇÕES'!$P$248,'DADOS_FORMAS'!$AM15='INVOCAÇÕES'!$Q$248,'DADOS_FORMAS'!$AM15='INVOCAÇÕES'!$R$248,'DADOS_FORMAS'!$AM15=""),'DADOS_FORMAS'!$AR15),'DADOS_FORMAS'!$AH15,"")</f>
        <v/>
      </c>
      <c r="IN15">
        <f>IF(OR('DADOS_FORMAS'!$AM15='INVOCAÇÕES'!$O$444,'DADOS_FORMAS'!$AM15='INVOCAÇÕES'!$P$444,'DADOS_FORMAS'!$AM15='INVOCAÇÕES'!$Q$444,'DADOS_FORMAS'!$AM15='INVOCAÇÕES'!$R$444,'DADOS_FORMAS'!$AM15='INVOCAÇÕES'!$S$444,'DADOS_FORMAS'!$AM15='INVOCAÇÕES'!$O$446,'DADOS_FORMAS'!$AM15='INVOCAÇÕES'!$P$446,'DADOS_FORMAS'!$AM15='INVOCAÇÕES'!$Q$446,'DADOS_FORMAS'!$AM15='INVOCAÇÕES'!$R$446,'DADOS_FORMAS'!$AM15=""),'DADOS_FORMAS'!$AH15,"")</f>
        <v/>
      </c>
      <c r="IO15">
        <f>IF(AND(OR('DADOS_FORMAS'!$AM15='INVOCAÇÕES'!$O$444,'DADOS_FORMAS'!$AM15='INVOCAÇÕES'!$P$444,'DADOS_FORMAS'!$AM15='INVOCAÇÕES'!$Q$444,'DADOS_FORMAS'!$AM15='INVOCAÇÕES'!$R$444,'DADOS_FORMAS'!$AM15='INVOCAÇÕES'!$S$444,'DADOS_FORMAS'!$AM15='INVOCAÇÕES'!$O$446,'DADOS_FORMAS'!$AM15='INVOCAÇÕES'!$P$446,'DADOS_FORMAS'!$AM15='INVOCAÇÕES'!$Q$446,'DADOS_FORMAS'!$AM15='INVOCAÇÕES'!$R$446,'DADOS_FORMAS'!$AM15=""),'DADOS_FORMAS'!$AR15),'DADOS_FORMAS'!$AH15,"")</f>
        <v/>
      </c>
      <c r="IQ15">
        <f>IF(OR('DADOS_FORMAS'!$AM15='INVOCAÇÕES'!$O$642,'DADOS_FORMAS'!$AM15='INVOCAÇÕES'!$P$642,'DADOS_FORMAS'!$AM15='INVOCAÇÕES'!$Q$642,'DADOS_FORMAS'!$AM15='INVOCAÇÕES'!$R$642,'DADOS_FORMAS'!$AM15='INVOCAÇÕES'!$S$642,'DADOS_FORMAS'!$AM15='INVOCAÇÕES'!$O$644,'DADOS_FORMAS'!$AM15='INVOCAÇÕES'!$P$644,'DADOS_FORMAS'!$AM15='INVOCAÇÕES'!$Q$644,'DADOS_FORMAS'!$AM15='INVOCAÇÕES'!$R$644,'DADOS_FORMAS'!$AM15=""),'DADOS_FORMAS'!$AH15,"")</f>
        <v/>
      </c>
      <c r="IR15">
        <f>IF(AND(OR('DADOS_FORMAS'!$AM15='INVOCAÇÕES'!$O$642,'DADOS_FORMAS'!$AM15='INVOCAÇÕES'!$P$642,'DADOS_FORMAS'!$AM15='INVOCAÇÕES'!$Q$642,'DADOS_FORMAS'!$AM15='INVOCAÇÕES'!$R$642,'DADOS_FORMAS'!$AM15='INVOCAÇÕES'!$S$642,'DADOS_FORMAS'!$AM15='INVOCAÇÕES'!$O$644,'DADOS_FORMAS'!$AM15='INVOCAÇÕES'!$P$644,'DADOS_FORMAS'!$AM15='INVOCAÇÕES'!$Q$644,'DADOS_FORMAS'!$AM15='INVOCAÇÕES'!$R$644,'DADOS_FORMAS'!$AM15=""),'DADOS_FORMAS'!$AR15),'DADOS_FORMAS'!$AH15,"")</f>
        <v/>
      </c>
      <c r="IT15">
        <f>IF(OR('DADOS_FORMAS'!$AM15='INVOCAÇÕES'!$O$840,'DADOS_FORMAS'!$AM15='INVOCAÇÕES'!$P$840,'DADOS_FORMAS'!$AM15='INVOCAÇÕES'!$Q$840,'DADOS_FORMAS'!$AM15='INVOCAÇÕES'!$R$840,'DADOS_FORMAS'!$AM15='INVOCAÇÕES'!$S$840,'DADOS_FORMAS'!$AM15='INVOCAÇÕES'!$O$842,'DADOS_FORMAS'!$AM15='INVOCAÇÕES'!$P$842,'DADOS_FORMAS'!$AM15='INVOCAÇÕES'!$Q$842,'DADOS_FORMAS'!$AM15='INVOCAÇÕES'!$R$842,'DADOS_FORMAS'!$AM15=""),'DADOS_FORMAS'!$AH15,"")</f>
        <v/>
      </c>
      <c r="IU15">
        <f>IF(AND(OR('DADOS_FORMAS'!$AM15='INVOCAÇÕES'!$O$840,'DADOS_FORMAS'!$AM15='INVOCAÇÕES'!$P$840,'DADOS_FORMAS'!$AM15='INVOCAÇÕES'!$Q$840,'DADOS_FORMAS'!$AM15='INVOCAÇÕES'!$R$840,'DADOS_FORMAS'!$AM15='INVOCAÇÕES'!$S$840,'DADOS_FORMAS'!$AM15='INVOCAÇÕES'!$O$842,'DADOS_FORMAS'!$AM15='INVOCAÇÕES'!$P$842,'DADOS_FORMAS'!$AM15='INVOCAÇÕES'!$Q$842,'DADOS_FORMAS'!$AM15='INVOCAÇÕES'!$R$842,'DADOS_FORMAS'!$AM15=""),'DADOS_FORMAS'!$AR15),'DADOS_FORMAS'!$AH15,"")</f>
        <v/>
      </c>
      <c r="IW15">
        <f>IF(OR('DADOS_FORMAS'!$AM15='INVOCAÇÕES'!$O$1038,'DADOS_FORMAS'!$AM15='INVOCAÇÕES'!$P$1038,'DADOS_FORMAS'!$AM15='INVOCAÇÕES'!$Q$1038,'DADOS_FORMAS'!$AM15='INVOCAÇÕES'!$R$1038,'DADOS_FORMAS'!$AM15='INVOCAÇÕES'!$S$1038,'DADOS_FORMAS'!$AM15='INVOCAÇÕES'!$O$1040,'DADOS_FORMAS'!$AM15='INVOCAÇÕES'!$P$1040,'DADOS_FORMAS'!$AM15='INVOCAÇÕES'!$Q$1040,'DADOS_FORMAS'!$AM15='INVOCAÇÕES'!$R$1040,'DADOS_FORMAS'!$AM15=""),'DADOS_FORMAS'!$AH15,"")</f>
        <v/>
      </c>
      <c r="IX15">
        <f>IF(AND(OR('DADOS_FORMAS'!$AM15='INVOCAÇÕES'!$O$1038,'DADOS_FORMAS'!$AM15='INVOCAÇÕES'!$P$1038,'DADOS_FORMAS'!$AM15='INVOCAÇÕES'!$Q$1038,'DADOS_FORMAS'!$AM15='INVOCAÇÕES'!$R$1038,'DADOS_FORMAS'!$AM15='INVOCAÇÕES'!$S$1038,'DADOS_FORMAS'!$AM15='INVOCAÇÕES'!$O$1040,'DADOS_FORMAS'!$AM15='INVOCAÇÕES'!$P$1040,'DADOS_FORMAS'!$AM15='INVOCAÇÕES'!$Q$1040,'DADOS_FORMAS'!$AM15='INVOCAÇÕES'!$R$1040,'DADOS_FORMAS'!$AM15=""),'DADOS_FORMAS'!$AR15),'DADOS_FORMAS'!$AH15,"")</f>
        <v/>
      </c>
      <c r="IZ15">
        <f>IF(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H15,"")</f>
        <v/>
      </c>
      <c r="JA15">
        <f>IF(AND(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R15),'DADOS_FORMAS'!$AH15,"")</f>
        <v/>
      </c>
      <c r="JC15">
        <f>IF(OR('DADOS_FORMAS'!$AM15='INVOCAÇÕES'!$AH$246,'DADOS_FORMAS'!$AM15='INVOCAÇÕES'!$AI$246,'DADOS_FORMAS'!$AM15='INVOCAÇÕES'!$AJ$246,'DADOS_FORMAS'!$AM15='INVOCAÇÕES'!$AK$246,'DADOS_FORMAS'!$AM15='INVOCAÇÕES'!$AL$246,'DADOS_FORMAS'!$AM15='INVOCAÇÕES'!$AH$248,'DADOS_FORMAS'!$AM15='INVOCAÇÕES'!$AI$248,'DADOS_FORMAS'!$AM15='INVOCAÇÕES'!$AJ$248,'DADOS_FORMAS'!$AM15='INVOCAÇÕES'!$AK$248,'DADOS_FORMAS'!$AM15=""),'DADOS_FORMAS'!$AH15,"")</f>
        <v/>
      </c>
      <c r="JD15">
        <f>IF(AND(OR('DADOS_FORMAS'!$AM15='INVOCAÇÕES'!$AH$246,'DADOS_FORMAS'!$AM15='INVOCAÇÕES'!$AI$246,'DADOS_FORMAS'!$AM15='INVOCAÇÕES'!$AJ$246,'DADOS_FORMAS'!$AM15='INVOCAÇÕES'!$AK$246,'DADOS_FORMAS'!$AM15='INVOCAÇÕES'!$AL$246,'DADOS_FORMAS'!$AM15='INVOCAÇÕES'!$AH$248,'DADOS_FORMAS'!$AM15='INVOCAÇÕES'!$AI$248,'DADOS_FORMAS'!$AM15='INVOCAÇÕES'!$AJ$248,'DADOS_FORMAS'!$AM15='INVOCAÇÕES'!$AK$248,'DADOS_FORMAS'!$AM15=""),'DADOS_FORMAS'!$AR15),'DADOS_FORMAS'!$AH15,"")</f>
        <v/>
      </c>
      <c r="JF15">
        <f>IF(OR('DADOS_FORMAS'!$AM15='INVOCAÇÕES'!$AH$444,'DADOS_FORMAS'!$AM15='INVOCAÇÕES'!$AI$444,'DADOS_FORMAS'!$AM15='INVOCAÇÕES'!$AJ$444,'DADOS_FORMAS'!$AM15='INVOCAÇÕES'!$AK$444,'DADOS_FORMAS'!$AM15='INVOCAÇÕES'!$AL$444,'DADOS_FORMAS'!$AM15='INVOCAÇÕES'!$AH$446,'DADOS_FORMAS'!$AM15='INVOCAÇÕES'!$AI$446,'DADOS_FORMAS'!$AM15='INVOCAÇÕES'!$AJ$446,'DADOS_FORMAS'!$AM15='INVOCAÇÕES'!$AK$446,'DADOS_FORMAS'!$AM15=""),'DADOS_FORMAS'!$AH15,"")</f>
        <v/>
      </c>
      <c r="JG15">
        <f>IF(AND(OR('DADOS_FORMAS'!$AM15='INVOCAÇÕES'!$AH$444,'DADOS_FORMAS'!$AM15='INVOCAÇÕES'!$AI$444,'DADOS_FORMAS'!$AM15='INVOCAÇÕES'!$AJ$444,'DADOS_FORMAS'!$AM15='INVOCAÇÕES'!$AK$444,'DADOS_FORMAS'!$AM15='INVOCAÇÕES'!$AL$444,'DADOS_FORMAS'!$AM15='INVOCAÇÕES'!$AH$446,'DADOS_FORMAS'!$AM15='INVOCAÇÕES'!$AI$446,'DADOS_FORMAS'!$AM15='INVOCAÇÕES'!$AJ$446,'DADOS_FORMAS'!$AM15='INVOCAÇÕES'!$AK$446,'DADOS_FORMAS'!$AM15=""),'DADOS_FORMAS'!$AR15),'DADOS_FORMAS'!$AH15,"")</f>
        <v/>
      </c>
      <c r="JI15">
        <f>IF(OR('DADOS_FORMAS'!$AM15='INVOCAÇÕES'!$AH$642,'DADOS_FORMAS'!$AM15='INVOCAÇÕES'!$AI$642,'DADOS_FORMAS'!$AM15='INVOCAÇÕES'!$AJ$642,'DADOS_FORMAS'!$AM15='INVOCAÇÕES'!$AK$642,'DADOS_FORMAS'!$AM15='INVOCAÇÕES'!$AL$642,'DADOS_FORMAS'!$AM15='INVOCAÇÕES'!$AH$644,'DADOS_FORMAS'!$AM15='INVOCAÇÕES'!$AI$644,'DADOS_FORMAS'!$AM15='INVOCAÇÕES'!$AJ$644,'DADOS_FORMAS'!$AM15='INVOCAÇÕES'!$AK$644,'DADOS_FORMAS'!$AM15=""),'DADOS_FORMAS'!$AH15,"")</f>
        <v/>
      </c>
      <c r="JJ15">
        <f>IF(AND(OR('DADOS_FORMAS'!$AM15='INVOCAÇÕES'!$AH$642,'DADOS_FORMAS'!$AM15='INVOCAÇÕES'!$AI$642,'DADOS_FORMAS'!$AM15='INVOCAÇÕES'!$AJ$642,'DADOS_FORMAS'!$AM15='INVOCAÇÕES'!$AK$642,'DADOS_FORMAS'!$AM15='INVOCAÇÕES'!$AL$642,'DADOS_FORMAS'!$AM15='INVOCAÇÕES'!$AH$644,'DADOS_FORMAS'!$AM15='INVOCAÇÕES'!$AI$644,'DADOS_FORMAS'!$AM15='INVOCAÇÕES'!$AJ$644,'DADOS_FORMAS'!$AM15='INVOCAÇÕES'!$AK$644,'DADOS_FORMAS'!$AM15=""),'DADOS_FORMAS'!$AR15),'DADOS_FORMAS'!$AH15,"")</f>
        <v/>
      </c>
      <c r="JL15">
        <f>IF(OR('DADOS_FORMAS'!$AM15='INVOCAÇÕES'!$AH$840,'DADOS_FORMAS'!$AM15='INVOCAÇÕES'!$AI$840,'DADOS_FORMAS'!$AM15='INVOCAÇÕES'!$AJ$840,'DADOS_FORMAS'!$AM15='INVOCAÇÕES'!$AK$840,'DADOS_FORMAS'!$AM15='INVOCAÇÕES'!$AL$840,'DADOS_FORMAS'!$AM15='INVOCAÇÕES'!$AH$842,'DADOS_FORMAS'!$AM15='INVOCAÇÕES'!$AI$842,'DADOS_FORMAS'!$AM15='INVOCAÇÕES'!$AJ$842,'DADOS_FORMAS'!$AM15='INVOCAÇÕES'!$AK$842,'DADOS_FORMAS'!$AM15=""),'DADOS_FORMAS'!$AH15,"")</f>
        <v/>
      </c>
      <c r="JM15">
        <f>IF(AND(OR('DADOS_FORMAS'!$AM15='INVOCAÇÕES'!$AH$840,'DADOS_FORMAS'!$AM15='INVOCAÇÕES'!$AI$840,'DADOS_FORMAS'!$AM15='INVOCAÇÕES'!$AJ$840,'DADOS_FORMAS'!$AM15='INVOCAÇÕES'!$AK$840,'DADOS_FORMAS'!$AM15='INVOCAÇÕES'!$AL$840,'DADOS_FORMAS'!$AM15='INVOCAÇÕES'!$AH$842,'DADOS_FORMAS'!$AM15='INVOCAÇÕES'!$AI$842,'DADOS_FORMAS'!$AM15='INVOCAÇÕES'!$AJ$842,'DADOS_FORMAS'!$AM15='INVOCAÇÕES'!$AK$842,'DADOS_FORMAS'!$AM15=""),'DADOS_FORMAS'!$AR15),'DADOS_FORMAS'!$AH15,"")</f>
        <v/>
      </c>
      <c r="JO15">
        <f>IF(OR('DADOS_FORMAS'!$AM15='INVOCAÇÕES'!$AH$1038,'DADOS_FORMAS'!$AM15='INVOCAÇÕES'!$AI$1038,'DADOS_FORMAS'!$AM15='INVOCAÇÕES'!$AJ$1038,'DADOS_FORMAS'!$AM15='INVOCAÇÕES'!$AK$1038,'DADOS_FORMAS'!$AM15='INVOCAÇÕES'!$AL$1038,'DADOS_FORMAS'!$AM15='INVOCAÇÕES'!$AH$1040,'DADOS_FORMAS'!$AM15='INVOCAÇÕES'!$AI$1040,'DADOS_FORMAS'!$AM15='INVOCAÇÕES'!$AJ$1040,'DADOS_FORMAS'!$AM15='INVOCAÇÕES'!$AK$1040,'DADOS_FORMAS'!$AM15=""),'DADOS_FORMAS'!$AH15,"")</f>
        <v/>
      </c>
      <c r="JP15">
        <f>IF(AND(OR('DADOS_FORMAS'!$AM15='INVOCAÇÕES'!$AH$1038,'DADOS_FORMAS'!$AM15='INVOCAÇÕES'!$AI$1038,'DADOS_FORMAS'!$AM15='INVOCAÇÕES'!$AJ$1038,'DADOS_FORMAS'!$AM15='INVOCAÇÕES'!$AK$1038,'DADOS_FORMAS'!$AM15='INVOCAÇÕES'!$AL$1038,'DADOS_FORMAS'!$AM15='INVOCAÇÕES'!$AH$1040,'DADOS_FORMAS'!$AM15='INVOCAÇÕES'!$AI$1040,'DADOS_FORMAS'!$AM15='INVOCAÇÕES'!$AJ$1040,'DADOS_FORMAS'!$AM15='INVOCAÇÕES'!$AK$1040,'DADOS_FORMAS'!$AM15=""),'DADOS_FORMAS'!$AR15),'DADOS_FORMAS'!$AH15,"")</f>
        <v/>
      </c>
      <c r="JZ15">
        <f>IFERROR(INDEX('DADOS_CRIACAO'!$H$2:$H$20,13),"")</f>
        <v/>
      </c>
      <c r="KA15">
        <f>IFERROR(INDEX(INDEX('DADOS_RESTRICOES'!$M$2:$Q$54,0,1),13),"")</f>
        <v/>
      </c>
    </row>
    <row r="16">
      <c r="AG16">
        <f>IF(AND($AF6,$AD6=""),$BV6,"")</f>
        <v/>
      </c>
      <c r="AH16">
        <f>IF(AND($AF6,$AD6=""),$BW6,"")</f>
        <v/>
      </c>
      <c r="AI16">
        <f>IF(AND($AF6,$AD6=""),$BX6,"")</f>
        <v/>
      </c>
      <c r="AJ16">
        <f>IF(AND($AF6,$AD6=""),$BY6,FALSE)</f>
        <v/>
      </c>
      <c r="AK16">
        <f>IF(AND($AF6,$AD6=""),$BZ6,"")</f>
        <v/>
      </c>
      <c r="AL16">
        <f>IF(AND($AF6,$AD6=""),$CA6,"")</f>
        <v/>
      </c>
      <c r="AM16">
        <f>IF(AND($AF6,$AD6=""),$CB6,"")</f>
        <v/>
      </c>
      <c r="AN16">
        <f>IF(AND($AF6,$AD6=""),$CC6,0)</f>
        <v/>
      </c>
      <c r="AO16">
        <f>IF(AND($AF6,$AD6=""),$CD6,"")</f>
        <v/>
      </c>
      <c r="AP16">
        <f>IF(AND($AF6,$AD6=""),$CE6,0)</f>
        <v/>
      </c>
      <c r="AQ16">
        <f>IF(AND($AF6,$AD6=""),$CF6,FALSE)</f>
        <v/>
      </c>
      <c r="AR16">
        <f>IF(AND($AF6,$AD6=""),$CG6,FALSE)</f>
        <v/>
      </c>
      <c r="AS16">
        <f>IF(AND($AF6,$AD6=""),$CH6,"")</f>
        <v/>
      </c>
      <c r="AT16">
        <f>IF(AND($AF6,$AD6=""),$CI6,"")</f>
        <v/>
      </c>
      <c r="AU16">
        <f>IF(AND($AF6,$AD6=""),$CJ6,"")</f>
        <v/>
      </c>
      <c r="AV16">
        <f>IF(AND($AF6,$AD6=""),$CK6,"")</f>
        <v/>
      </c>
      <c r="AW16">
        <f>IF(AND($AF6,$AD6=""),$CL6,"")</f>
        <v/>
      </c>
      <c r="AX16">
        <f>IF(AND($AF6,$AD6=""),$CM6,"")</f>
        <v/>
      </c>
      <c r="AY16">
        <f>IF(AND($AF6,$AD6=""),$CN6,"")</f>
        <v/>
      </c>
      <c r="AZ16">
        <f>IF(AND($AF6,$AD6=""),$CO6,"")</f>
        <v/>
      </c>
      <c r="BA16">
        <f>IF(AND($AF6,$AD6=""),$CP6,"")</f>
        <v/>
      </c>
      <c r="BB16">
        <f>IF(AND($AF6,$AD6=""),$CQ6,"")</f>
        <v/>
      </c>
      <c r="BC16">
        <f>IF(AND($AF6,$AD6=""),$CR6,"")</f>
        <v/>
      </c>
      <c r="BD16">
        <f>IF(AND($AF6,$AD6=""),$CS6,"")</f>
        <v/>
      </c>
      <c r="BE16">
        <f>IF(AND($AF6,$AD6=""),$CT6,"")</f>
        <v/>
      </c>
      <c r="BF16">
        <f>IF(AND($AF6,$AD6=""),$CU6,"")</f>
        <v/>
      </c>
      <c r="BG16">
        <f>IF(AND($AF6,$AD6=""),$CV6,"")</f>
        <v/>
      </c>
      <c r="BH16">
        <f>IF(AND($AF6,$AD6=""),$CW6,"")</f>
        <v/>
      </c>
      <c r="BI16">
        <f>IF(AND($AF6,$AD6=""),$CX6,"")</f>
        <v/>
      </c>
      <c r="BJ16">
        <f>IF(AND($AF6,$AD6=""),$CY6,"")</f>
        <v/>
      </c>
      <c r="BK16">
        <f>IF(AND($AF6,$AD6=""),$CZ6,0)</f>
        <v/>
      </c>
      <c r="BL16">
        <f>IF(AND($AF6,$AD6=""),$DA6,"")</f>
        <v/>
      </c>
      <c r="BM16">
        <f>IF(AND($AF6,$AD6=""),$DB6,"")</f>
        <v/>
      </c>
      <c r="BN16">
        <f>IF(AND($AF6,$AD6=""),$DC6,"")</f>
        <v/>
      </c>
      <c r="BO16">
        <f>IF(AND($AF6,$AD6=""),$DD6,0)</f>
        <v/>
      </c>
      <c r="BP16">
        <f>IF(AND($AF6,$AD6=""),$DE6,"")</f>
        <v/>
      </c>
      <c r="BQ16">
        <f>IF(AND($AF6,$AD6=""),$DF6,"")</f>
        <v/>
      </c>
      <c r="BR16">
        <f>IF(AND($AF6,$AD6=""),$DG6,"")</f>
        <v/>
      </c>
      <c r="BS16">
        <f>IF(AND($AF6,$AD6=""),$DH6,0)</f>
        <v/>
      </c>
      <c r="FJ16">
        <f>'DADOS_FORMAS'!$AH16</f>
        <v/>
      </c>
      <c r="FK16">
        <f>'DADOS_FORMAS'!$AM16</f>
        <v/>
      </c>
      <c r="FL16">
        <f>'DADOS_FORMAS'!$AN16</f>
        <v/>
      </c>
      <c r="FM16">
        <f>IF('DADOS_FORMAS'!$AN16=0,0,'DADOS_FORMAS'!$AN16+3*IFERROR(VLOOKUP(SUBSTITUTE(SUBSTITUTE(SUBSTITUTE('DADOS_FORMAS'!$AM16,"~","~~"),"*","~*"),"?","~?"),'DADOS_CRIACAO'!$H$2:$K$20,3,FALSE),0))</f>
        <v/>
      </c>
      <c r="FN16">
        <f>IFERROR(VLOOKUP(SUBSTITUTE(SUBSTITUTE(SUBSTITUTE('DADOS_FORMAS'!$AM16,"~","~~"),"*","~*"),"?","~?"),'DADOS_CRIACAO'!$H$2:$K$20,4,FALSE),0)</f>
        <v/>
      </c>
      <c r="FO16">
        <f>IF('DADOS_FORMAS'!$AS16="",0,1)</f>
        <v/>
      </c>
      <c r="FP16">
        <f>'DADOS_FORMAS'!$AP16</f>
        <v/>
      </c>
      <c r="FQ16">
        <f>IF(AND('DADOS_FORMAS'!$AO16="Acerto",'DADOS_FORMAS'!$AQ16),"Acerto + TR",'DADOS_FORMAS'!$AO16)</f>
        <v/>
      </c>
      <c r="FR16">
        <f>N(OR('DADOS_FORMAS'!$AQ16,'DADOS_FORMAS'!$AO16="TR, metade"))</f>
        <v/>
      </c>
      <c r="FS16">
        <f>'DADOS_FORMAS'!$BO16</f>
        <v/>
      </c>
      <c r="FT16">
        <f>'DADOS_FORMAS'!$BS16</f>
        <v/>
      </c>
      <c r="FU16">
        <f>'DADOS_FORMAS'!$BK16</f>
        <v/>
      </c>
      <c r="FV16">
        <f>N('DADOS_FORMAS'!$AR16)</f>
        <v/>
      </c>
      <c r="FW16">
        <f>IF(IFERROR(VLOOKUP(SUBSTITUTE(SUBSTITUTE(SUBSTITUTE('DADOS_FORMAS'!$AM16,"~","~~"),"*","~*"),"?","~?"),'DADOS_CRIACAO'!$H$2:$K$20,4,FALSE),0)=1,"",'DADOS_FORMAS'!$AH16)</f>
        <v/>
      </c>
      <c r="FX16">
        <f>IF(AND('DADOS_FORMAS'!$AR16,IFERROR(VLOOKUP(SUBSTITUTE(SUBSTITUTE(SUBSTITUTE('DADOS_FORMAS'!$AM16,"~","~~"),"*","~*"),"?","~?"),'DADOS_CRIACAO'!$H$2:$K$20,4,FALSE),0)=0),'DADOS_FORMAS'!$AH16,"")</f>
        <v/>
      </c>
      <c r="FZ16">
        <f>'DADOS_FORMAS'!$AH16</f>
        <v/>
      </c>
      <c r="GA16">
        <f>'DADOS_FORMAS'!$AM16</f>
        <v/>
      </c>
      <c r="GB16">
        <f>'DADOS_FORMAS'!$AN16</f>
        <v/>
      </c>
      <c r="GC16">
        <f>IF('DADOS_FORMAS'!$AS16="",0,1)</f>
        <v/>
      </c>
      <c r="GD16">
        <f>'DADOS_FORMAS'!$AP16</f>
        <v/>
      </c>
      <c r="GE16">
        <f>IF('DADOS_FORMAS'!$AO16="Acerto","Ataque",IF('DADOS_FORMAS'!$AQ16,"TR","—"))</f>
        <v/>
      </c>
      <c r="GF16">
        <f>N(OR('DADOS_FORMAS'!$AQ16,'DADOS_FORMAS'!$AO16="TR, metade"))</f>
        <v/>
      </c>
      <c r="GG16">
        <f>'DADOS_FORMAS'!$BO16</f>
        <v/>
      </c>
      <c r="GH16">
        <f>'DADOS_FORMAS'!$BS16</f>
        <v/>
      </c>
      <c r="GI16">
        <f>'DADOS_FORMAS'!$BK16</f>
        <v/>
      </c>
      <c r="GJ16">
        <f>N('DADOS_FORMAS'!$AR16)</f>
        <v/>
      </c>
      <c r="GR16">
        <f>'DADOS_FORMAS'!$BL14</f>
        <v/>
      </c>
      <c r="GS16">
        <f>IF('DADOS_FORMAS'!$BL14="area",'DADOS_FORMAS'!$AU14,'DADOS_FORMAS'!$AT14)</f>
        <v/>
      </c>
      <c r="GT16">
        <f>IF('DADOS_FORMAS'!$BL14="area",'DADOS_FORMAS'!$BD14,'DADOS_FORMAS'!$AW14)</f>
        <v/>
      </c>
      <c r="GU16">
        <f>'DADOS_FORMAS'!$BM14</f>
        <v/>
      </c>
      <c r="GV16">
        <f>'DADOS_FORMAS'!$BN14</f>
        <v/>
      </c>
      <c r="GW16">
        <f>LET(base,'DADOS_FORMAS'!$GT16,escada,'DADOS_FORMAS'!$GS16,medida,LEFT(base,MAX(0,LEN(base)-2)),valor,IFERROR(VALUE(SUBSTITUTE(medida,",",""))/10^IFERROR(LEN(medida)-FIND(",",medida),0),1E99),IF(OR(escada="Fixo",base="—"),base,IF(escada="alcance",IFERROR(MATCH(base,{"1,5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6" t="inlineStr">
        <is>
          <t>Cone · classes 6 e 7</t>
        </is>
      </c>
      <c r="GZ16" t="inlineStr">
        <is>
          <t>Cone de 9 m</t>
        </is>
      </c>
      <c r="HA16" t="inlineStr">
        <is>
          <t>Cone de 18 m</t>
        </is>
      </c>
      <c r="HB16" t="inlineStr">
        <is>
          <t>Cone de 30 m</t>
        </is>
      </c>
      <c r="HC16" t="inlineStr">
        <is>
          <t>Cone de 60 m</t>
        </is>
      </c>
      <c r="HD16" t="inlineStr">
        <is>
          <t>Cone de 60 m</t>
        </is>
      </c>
      <c r="HE16" t="inlineStr">
        <is>
          <t>Cone de 60 m</t>
        </is>
      </c>
      <c r="HF16" t="inlineStr"/>
      <c r="HG16" t="inlineStr"/>
      <c r="HH16" t="inlineStr"/>
      <c r="HI16" t="inlineStr"/>
      <c r="HJ16" t="inlineStr"/>
      <c r="HK16" t="inlineStr"/>
      <c r="HM16">
        <f>'DADOS_FORMAS'!$BL13</f>
        <v/>
      </c>
      <c r="HN16">
        <f>IF('DADOS_FORMAS'!$BL13="area",'DADOS_FORMAS'!$AU13,'DADOS_FORMAS'!$AT13)</f>
        <v/>
      </c>
      <c r="HO16">
        <f>IF('DADOS_FORMAS'!$BL13="area",'DADOS_FORMAS'!$BI13,'DADOS_FORMAS'!$BB13)</f>
        <v/>
      </c>
      <c r="HP16">
        <f>'DADOS_FORMAS'!$BM13</f>
        <v/>
      </c>
      <c r="HQ16">
        <f>'DADOS_FORMAS'!$BN13</f>
        <v/>
      </c>
      <c r="HR16">
        <f>LET(base,'DADOS_FORMAS'!$HO16,escada,'DADOS_FORMAS'!$HN16,medida,LEFT(base,MAX(0,LEN(base)-2)),valor,IFERROR(VALUE(SUBSTITUTE(medida,",",""))/10^IFERROR(LEN(medida)-FIND(",",medida),0),1E99),IF(OR(escada="Fixo",base="—"),base,IF(escada="alcance",IFERROR(MATCH(base,{"1,5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6" t="inlineStr">
        <is>
          <t>Aura · classe 6</t>
        </is>
      </c>
      <c r="HU16" t="inlineStr">
        <is>
          <t>Raio 3 m, nela</t>
        </is>
      </c>
      <c r="HV16" t="inlineStr">
        <is>
          <t>Raio 4,5 m, nela</t>
        </is>
      </c>
      <c r="HW16" t="inlineStr">
        <is>
          <t>Raio 6 m, nela</t>
        </is>
      </c>
      <c r="HX16" t="inlineStr">
        <is>
          <t>Raio 9 m, nela</t>
        </is>
      </c>
      <c r="HY16" t="inlineStr">
        <is>
          <t>Raio 15 m, nela</t>
        </is>
      </c>
      <c r="HZ16" t="inlineStr">
        <is>
          <t>Raio 15 m, nela</t>
        </is>
      </c>
      <c r="IA16" t="inlineStr"/>
      <c r="IB16" t="inlineStr"/>
      <c r="IC16" t="inlineStr"/>
      <c r="ID16" t="inlineStr"/>
      <c r="IE16" t="inlineStr"/>
      <c r="IF16" t="inlineStr"/>
      <c r="IH16">
        <f>IF(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H16,"")</f>
        <v/>
      </c>
      <c r="II16">
        <f>IF(AND(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R16),'DADOS_FORMAS'!$AH16,"")</f>
        <v/>
      </c>
      <c r="IK16">
        <f>IF(OR('DADOS_FORMAS'!$AM16='INVOCAÇÕES'!$O$246,'DADOS_FORMAS'!$AM16='INVOCAÇÕES'!$P$246,'DADOS_FORMAS'!$AM16='INVOCAÇÕES'!$Q$246,'DADOS_FORMAS'!$AM16='INVOCAÇÕES'!$R$246,'DADOS_FORMAS'!$AM16='INVOCAÇÕES'!$S$246,'DADOS_FORMAS'!$AM16='INVOCAÇÕES'!$O$248,'DADOS_FORMAS'!$AM16='INVOCAÇÕES'!$P$248,'DADOS_FORMAS'!$AM16='INVOCAÇÕES'!$Q$248,'DADOS_FORMAS'!$AM16='INVOCAÇÕES'!$R$248,'DADOS_FORMAS'!$AM16=""),'DADOS_FORMAS'!$AH16,"")</f>
        <v/>
      </c>
      <c r="IL16">
        <f>IF(AND(OR('DADOS_FORMAS'!$AM16='INVOCAÇÕES'!$O$246,'DADOS_FORMAS'!$AM16='INVOCAÇÕES'!$P$246,'DADOS_FORMAS'!$AM16='INVOCAÇÕES'!$Q$246,'DADOS_FORMAS'!$AM16='INVOCAÇÕES'!$R$246,'DADOS_FORMAS'!$AM16='INVOCAÇÕES'!$S$246,'DADOS_FORMAS'!$AM16='INVOCAÇÕES'!$O$248,'DADOS_FORMAS'!$AM16='INVOCAÇÕES'!$P$248,'DADOS_FORMAS'!$AM16='INVOCAÇÕES'!$Q$248,'DADOS_FORMAS'!$AM16='INVOCAÇÕES'!$R$248,'DADOS_FORMAS'!$AM16=""),'DADOS_FORMAS'!$AR16),'DADOS_FORMAS'!$AH16,"")</f>
        <v/>
      </c>
      <c r="IN16">
        <f>IF(OR('DADOS_FORMAS'!$AM16='INVOCAÇÕES'!$O$444,'DADOS_FORMAS'!$AM16='INVOCAÇÕES'!$P$444,'DADOS_FORMAS'!$AM16='INVOCAÇÕES'!$Q$444,'DADOS_FORMAS'!$AM16='INVOCAÇÕES'!$R$444,'DADOS_FORMAS'!$AM16='INVOCAÇÕES'!$S$444,'DADOS_FORMAS'!$AM16='INVOCAÇÕES'!$O$446,'DADOS_FORMAS'!$AM16='INVOCAÇÕES'!$P$446,'DADOS_FORMAS'!$AM16='INVOCAÇÕES'!$Q$446,'DADOS_FORMAS'!$AM16='INVOCAÇÕES'!$R$446,'DADOS_FORMAS'!$AM16=""),'DADOS_FORMAS'!$AH16,"")</f>
        <v/>
      </c>
      <c r="IO16">
        <f>IF(AND(OR('DADOS_FORMAS'!$AM16='INVOCAÇÕES'!$O$444,'DADOS_FORMAS'!$AM16='INVOCAÇÕES'!$P$444,'DADOS_FORMAS'!$AM16='INVOCAÇÕES'!$Q$444,'DADOS_FORMAS'!$AM16='INVOCAÇÕES'!$R$444,'DADOS_FORMAS'!$AM16='INVOCAÇÕES'!$S$444,'DADOS_FORMAS'!$AM16='INVOCAÇÕES'!$O$446,'DADOS_FORMAS'!$AM16='INVOCAÇÕES'!$P$446,'DADOS_FORMAS'!$AM16='INVOCAÇÕES'!$Q$446,'DADOS_FORMAS'!$AM16='INVOCAÇÕES'!$R$446,'DADOS_FORMAS'!$AM16=""),'DADOS_FORMAS'!$AR16),'DADOS_FORMAS'!$AH16,"")</f>
        <v/>
      </c>
      <c r="IQ16">
        <f>IF(OR('DADOS_FORMAS'!$AM16='INVOCAÇÕES'!$O$642,'DADOS_FORMAS'!$AM16='INVOCAÇÕES'!$P$642,'DADOS_FORMAS'!$AM16='INVOCAÇÕES'!$Q$642,'DADOS_FORMAS'!$AM16='INVOCAÇÕES'!$R$642,'DADOS_FORMAS'!$AM16='INVOCAÇÕES'!$S$642,'DADOS_FORMAS'!$AM16='INVOCAÇÕES'!$O$644,'DADOS_FORMAS'!$AM16='INVOCAÇÕES'!$P$644,'DADOS_FORMAS'!$AM16='INVOCAÇÕES'!$Q$644,'DADOS_FORMAS'!$AM16='INVOCAÇÕES'!$R$644,'DADOS_FORMAS'!$AM16=""),'DADOS_FORMAS'!$AH16,"")</f>
        <v/>
      </c>
      <c r="IR16">
        <f>IF(AND(OR('DADOS_FORMAS'!$AM16='INVOCAÇÕES'!$O$642,'DADOS_FORMAS'!$AM16='INVOCAÇÕES'!$P$642,'DADOS_FORMAS'!$AM16='INVOCAÇÕES'!$Q$642,'DADOS_FORMAS'!$AM16='INVOCAÇÕES'!$R$642,'DADOS_FORMAS'!$AM16='INVOCAÇÕES'!$S$642,'DADOS_FORMAS'!$AM16='INVOCAÇÕES'!$O$644,'DADOS_FORMAS'!$AM16='INVOCAÇÕES'!$P$644,'DADOS_FORMAS'!$AM16='INVOCAÇÕES'!$Q$644,'DADOS_FORMAS'!$AM16='INVOCAÇÕES'!$R$644,'DADOS_FORMAS'!$AM16=""),'DADOS_FORMAS'!$AR16),'DADOS_FORMAS'!$AH16,"")</f>
        <v/>
      </c>
      <c r="IT16">
        <f>IF(OR('DADOS_FORMAS'!$AM16='INVOCAÇÕES'!$O$840,'DADOS_FORMAS'!$AM16='INVOCAÇÕES'!$P$840,'DADOS_FORMAS'!$AM16='INVOCAÇÕES'!$Q$840,'DADOS_FORMAS'!$AM16='INVOCAÇÕES'!$R$840,'DADOS_FORMAS'!$AM16='INVOCAÇÕES'!$S$840,'DADOS_FORMAS'!$AM16='INVOCAÇÕES'!$O$842,'DADOS_FORMAS'!$AM16='INVOCAÇÕES'!$P$842,'DADOS_FORMAS'!$AM16='INVOCAÇÕES'!$Q$842,'DADOS_FORMAS'!$AM16='INVOCAÇÕES'!$R$842,'DADOS_FORMAS'!$AM16=""),'DADOS_FORMAS'!$AH16,"")</f>
        <v/>
      </c>
      <c r="IU16">
        <f>IF(AND(OR('DADOS_FORMAS'!$AM16='INVOCAÇÕES'!$O$840,'DADOS_FORMAS'!$AM16='INVOCAÇÕES'!$P$840,'DADOS_FORMAS'!$AM16='INVOCAÇÕES'!$Q$840,'DADOS_FORMAS'!$AM16='INVOCAÇÕES'!$R$840,'DADOS_FORMAS'!$AM16='INVOCAÇÕES'!$S$840,'DADOS_FORMAS'!$AM16='INVOCAÇÕES'!$O$842,'DADOS_FORMAS'!$AM16='INVOCAÇÕES'!$P$842,'DADOS_FORMAS'!$AM16='INVOCAÇÕES'!$Q$842,'DADOS_FORMAS'!$AM16='INVOCAÇÕES'!$R$842,'DADOS_FORMAS'!$AM16=""),'DADOS_FORMAS'!$AR16),'DADOS_FORMAS'!$AH16,"")</f>
        <v/>
      </c>
      <c r="IW16">
        <f>IF(OR('DADOS_FORMAS'!$AM16='INVOCAÇÕES'!$O$1038,'DADOS_FORMAS'!$AM16='INVOCAÇÕES'!$P$1038,'DADOS_FORMAS'!$AM16='INVOCAÇÕES'!$Q$1038,'DADOS_FORMAS'!$AM16='INVOCAÇÕES'!$R$1038,'DADOS_FORMAS'!$AM16='INVOCAÇÕES'!$S$1038,'DADOS_FORMAS'!$AM16='INVOCAÇÕES'!$O$1040,'DADOS_FORMAS'!$AM16='INVOCAÇÕES'!$P$1040,'DADOS_FORMAS'!$AM16='INVOCAÇÕES'!$Q$1040,'DADOS_FORMAS'!$AM16='INVOCAÇÕES'!$R$1040,'DADOS_FORMAS'!$AM16=""),'DADOS_FORMAS'!$AH16,"")</f>
        <v/>
      </c>
      <c r="IX16">
        <f>IF(AND(OR('DADOS_FORMAS'!$AM16='INVOCAÇÕES'!$O$1038,'DADOS_FORMAS'!$AM16='INVOCAÇÕES'!$P$1038,'DADOS_FORMAS'!$AM16='INVOCAÇÕES'!$Q$1038,'DADOS_FORMAS'!$AM16='INVOCAÇÕES'!$R$1038,'DADOS_FORMAS'!$AM16='INVOCAÇÕES'!$S$1038,'DADOS_FORMAS'!$AM16='INVOCAÇÕES'!$O$1040,'DADOS_FORMAS'!$AM16='INVOCAÇÕES'!$P$1040,'DADOS_FORMAS'!$AM16='INVOCAÇÕES'!$Q$1040,'DADOS_FORMAS'!$AM16='INVOCAÇÕES'!$R$1040,'DADOS_FORMAS'!$AM16=""),'DADOS_FORMAS'!$AR16),'DADOS_FORMAS'!$AH16,"")</f>
        <v/>
      </c>
      <c r="IZ16">
        <f>IF(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H16,"")</f>
        <v/>
      </c>
      <c r="JA16">
        <f>IF(AND(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R16),'DADOS_FORMAS'!$AH16,"")</f>
        <v/>
      </c>
      <c r="JC16">
        <f>IF(OR('DADOS_FORMAS'!$AM16='INVOCAÇÕES'!$AH$246,'DADOS_FORMAS'!$AM16='INVOCAÇÕES'!$AI$246,'DADOS_FORMAS'!$AM16='INVOCAÇÕES'!$AJ$246,'DADOS_FORMAS'!$AM16='INVOCAÇÕES'!$AK$246,'DADOS_FORMAS'!$AM16='INVOCAÇÕES'!$AL$246,'DADOS_FORMAS'!$AM16='INVOCAÇÕES'!$AH$248,'DADOS_FORMAS'!$AM16='INVOCAÇÕES'!$AI$248,'DADOS_FORMAS'!$AM16='INVOCAÇÕES'!$AJ$248,'DADOS_FORMAS'!$AM16='INVOCAÇÕES'!$AK$248,'DADOS_FORMAS'!$AM16=""),'DADOS_FORMAS'!$AH16,"")</f>
        <v/>
      </c>
      <c r="JD16">
        <f>IF(AND(OR('DADOS_FORMAS'!$AM16='INVOCAÇÕES'!$AH$246,'DADOS_FORMAS'!$AM16='INVOCAÇÕES'!$AI$246,'DADOS_FORMAS'!$AM16='INVOCAÇÕES'!$AJ$246,'DADOS_FORMAS'!$AM16='INVOCAÇÕES'!$AK$246,'DADOS_FORMAS'!$AM16='INVOCAÇÕES'!$AL$246,'DADOS_FORMAS'!$AM16='INVOCAÇÕES'!$AH$248,'DADOS_FORMAS'!$AM16='INVOCAÇÕES'!$AI$248,'DADOS_FORMAS'!$AM16='INVOCAÇÕES'!$AJ$248,'DADOS_FORMAS'!$AM16='INVOCAÇÕES'!$AK$248,'DADOS_FORMAS'!$AM16=""),'DADOS_FORMAS'!$AR16),'DADOS_FORMAS'!$AH16,"")</f>
        <v/>
      </c>
      <c r="JF16">
        <f>IF(OR('DADOS_FORMAS'!$AM16='INVOCAÇÕES'!$AH$444,'DADOS_FORMAS'!$AM16='INVOCAÇÕES'!$AI$444,'DADOS_FORMAS'!$AM16='INVOCAÇÕES'!$AJ$444,'DADOS_FORMAS'!$AM16='INVOCAÇÕES'!$AK$444,'DADOS_FORMAS'!$AM16='INVOCAÇÕES'!$AL$444,'DADOS_FORMAS'!$AM16='INVOCAÇÕES'!$AH$446,'DADOS_FORMAS'!$AM16='INVOCAÇÕES'!$AI$446,'DADOS_FORMAS'!$AM16='INVOCAÇÕES'!$AJ$446,'DADOS_FORMAS'!$AM16='INVOCAÇÕES'!$AK$446,'DADOS_FORMAS'!$AM16=""),'DADOS_FORMAS'!$AH16,"")</f>
        <v/>
      </c>
      <c r="JG16">
        <f>IF(AND(OR('DADOS_FORMAS'!$AM16='INVOCAÇÕES'!$AH$444,'DADOS_FORMAS'!$AM16='INVOCAÇÕES'!$AI$444,'DADOS_FORMAS'!$AM16='INVOCAÇÕES'!$AJ$444,'DADOS_FORMAS'!$AM16='INVOCAÇÕES'!$AK$444,'DADOS_FORMAS'!$AM16='INVOCAÇÕES'!$AL$444,'DADOS_FORMAS'!$AM16='INVOCAÇÕES'!$AH$446,'DADOS_FORMAS'!$AM16='INVOCAÇÕES'!$AI$446,'DADOS_FORMAS'!$AM16='INVOCAÇÕES'!$AJ$446,'DADOS_FORMAS'!$AM16='INVOCAÇÕES'!$AK$446,'DADOS_FORMAS'!$AM16=""),'DADOS_FORMAS'!$AR16),'DADOS_FORMAS'!$AH16,"")</f>
        <v/>
      </c>
      <c r="JI16">
        <f>IF(OR('DADOS_FORMAS'!$AM16='INVOCAÇÕES'!$AH$642,'DADOS_FORMAS'!$AM16='INVOCAÇÕES'!$AI$642,'DADOS_FORMAS'!$AM16='INVOCAÇÕES'!$AJ$642,'DADOS_FORMAS'!$AM16='INVOCAÇÕES'!$AK$642,'DADOS_FORMAS'!$AM16='INVOCAÇÕES'!$AL$642,'DADOS_FORMAS'!$AM16='INVOCAÇÕES'!$AH$644,'DADOS_FORMAS'!$AM16='INVOCAÇÕES'!$AI$644,'DADOS_FORMAS'!$AM16='INVOCAÇÕES'!$AJ$644,'DADOS_FORMAS'!$AM16='INVOCAÇÕES'!$AK$644,'DADOS_FORMAS'!$AM16=""),'DADOS_FORMAS'!$AH16,"")</f>
        <v/>
      </c>
      <c r="JJ16">
        <f>IF(AND(OR('DADOS_FORMAS'!$AM16='INVOCAÇÕES'!$AH$642,'DADOS_FORMAS'!$AM16='INVOCAÇÕES'!$AI$642,'DADOS_FORMAS'!$AM16='INVOCAÇÕES'!$AJ$642,'DADOS_FORMAS'!$AM16='INVOCAÇÕES'!$AK$642,'DADOS_FORMAS'!$AM16='INVOCAÇÕES'!$AL$642,'DADOS_FORMAS'!$AM16='INVOCAÇÕES'!$AH$644,'DADOS_FORMAS'!$AM16='INVOCAÇÕES'!$AI$644,'DADOS_FORMAS'!$AM16='INVOCAÇÕES'!$AJ$644,'DADOS_FORMAS'!$AM16='INVOCAÇÕES'!$AK$644,'DADOS_FORMAS'!$AM16=""),'DADOS_FORMAS'!$AR16),'DADOS_FORMAS'!$AH16,"")</f>
        <v/>
      </c>
      <c r="JL16">
        <f>IF(OR('DADOS_FORMAS'!$AM16='INVOCAÇÕES'!$AH$840,'DADOS_FORMAS'!$AM16='INVOCAÇÕES'!$AI$840,'DADOS_FORMAS'!$AM16='INVOCAÇÕES'!$AJ$840,'DADOS_FORMAS'!$AM16='INVOCAÇÕES'!$AK$840,'DADOS_FORMAS'!$AM16='INVOCAÇÕES'!$AL$840,'DADOS_FORMAS'!$AM16='INVOCAÇÕES'!$AH$842,'DADOS_FORMAS'!$AM16='INVOCAÇÕES'!$AI$842,'DADOS_FORMAS'!$AM16='INVOCAÇÕES'!$AJ$842,'DADOS_FORMAS'!$AM16='INVOCAÇÕES'!$AK$842,'DADOS_FORMAS'!$AM16=""),'DADOS_FORMAS'!$AH16,"")</f>
        <v/>
      </c>
      <c r="JM16">
        <f>IF(AND(OR('DADOS_FORMAS'!$AM16='INVOCAÇÕES'!$AH$840,'DADOS_FORMAS'!$AM16='INVOCAÇÕES'!$AI$840,'DADOS_FORMAS'!$AM16='INVOCAÇÕES'!$AJ$840,'DADOS_FORMAS'!$AM16='INVOCAÇÕES'!$AK$840,'DADOS_FORMAS'!$AM16='INVOCAÇÕES'!$AL$840,'DADOS_FORMAS'!$AM16='INVOCAÇÕES'!$AH$842,'DADOS_FORMAS'!$AM16='INVOCAÇÕES'!$AI$842,'DADOS_FORMAS'!$AM16='INVOCAÇÕES'!$AJ$842,'DADOS_FORMAS'!$AM16='INVOCAÇÕES'!$AK$842,'DADOS_FORMAS'!$AM16=""),'DADOS_FORMAS'!$AR16),'DADOS_FORMAS'!$AH16,"")</f>
        <v/>
      </c>
      <c r="JO16">
        <f>IF(OR('DADOS_FORMAS'!$AM16='INVOCAÇÕES'!$AH$1038,'DADOS_FORMAS'!$AM16='INVOCAÇÕES'!$AI$1038,'DADOS_FORMAS'!$AM16='INVOCAÇÕES'!$AJ$1038,'DADOS_FORMAS'!$AM16='INVOCAÇÕES'!$AK$1038,'DADOS_FORMAS'!$AM16='INVOCAÇÕES'!$AL$1038,'DADOS_FORMAS'!$AM16='INVOCAÇÕES'!$AH$1040,'DADOS_FORMAS'!$AM16='INVOCAÇÕES'!$AI$1040,'DADOS_FORMAS'!$AM16='INVOCAÇÕES'!$AJ$1040,'DADOS_FORMAS'!$AM16='INVOCAÇÕES'!$AK$1040,'DADOS_FORMAS'!$AM16=""),'DADOS_FORMAS'!$AH16,"")</f>
        <v/>
      </c>
      <c r="JP16">
        <f>IF(AND(OR('DADOS_FORMAS'!$AM16='INVOCAÇÕES'!$AH$1038,'DADOS_FORMAS'!$AM16='INVOCAÇÕES'!$AI$1038,'DADOS_FORMAS'!$AM16='INVOCAÇÕES'!$AJ$1038,'DADOS_FORMAS'!$AM16='INVOCAÇÕES'!$AK$1038,'DADOS_FORMAS'!$AM16='INVOCAÇÕES'!$AL$1038,'DADOS_FORMAS'!$AM16='INVOCAÇÕES'!$AH$1040,'DADOS_FORMAS'!$AM16='INVOCAÇÕES'!$AI$1040,'DADOS_FORMAS'!$AM16='INVOCAÇÕES'!$AJ$1040,'DADOS_FORMAS'!$AM16='INVOCAÇÕES'!$AK$1040,'DADOS_FORMAS'!$AM16=""),'DADOS_FORMAS'!$AR16),'DADOS_FORMAS'!$AH16,"")</f>
        <v/>
      </c>
      <c r="JZ16">
        <f>IFERROR(INDEX('DADOS_CRIACAO'!$H$2:$H$20,14),"")</f>
        <v/>
      </c>
      <c r="KA16">
        <f>IFERROR(INDEX(INDEX('DADOS_RESTRICOES'!$M$2:$Q$54,0,1),14),"")</f>
        <v/>
      </c>
    </row>
    <row r="17">
      <c r="AG17">
        <f>IF(AND($AF7,$AD7=""),$BV7,"")</f>
        <v/>
      </c>
      <c r="AH17">
        <f>IF(AND($AF7,$AD7=""),$BW7,"")</f>
        <v/>
      </c>
      <c r="AI17">
        <f>IF(AND($AF7,$AD7=""),$BX7,"")</f>
        <v/>
      </c>
      <c r="AJ17">
        <f>IF(AND($AF7,$AD7=""),$BY7,FALSE)</f>
        <v/>
      </c>
      <c r="AK17">
        <f>IF(AND($AF7,$AD7=""),$BZ7,"")</f>
        <v/>
      </c>
      <c r="AL17">
        <f>IF(AND($AF7,$AD7=""),$CA7,"")</f>
        <v/>
      </c>
      <c r="AM17">
        <f>IF(AND($AF7,$AD7=""),$CB7,"")</f>
        <v/>
      </c>
      <c r="AN17">
        <f>IF(AND($AF7,$AD7=""),$CC7,0)</f>
        <v/>
      </c>
      <c r="AO17">
        <f>IF(AND($AF7,$AD7=""),$CD7,"")</f>
        <v/>
      </c>
      <c r="AP17">
        <f>IF(AND($AF7,$AD7=""),$CE7,0)</f>
        <v/>
      </c>
      <c r="AQ17">
        <f>IF(AND($AF7,$AD7=""),$CF7,FALSE)</f>
        <v/>
      </c>
      <c r="AR17">
        <f>IF(AND($AF7,$AD7=""),$CG7,FALSE)</f>
        <v/>
      </c>
      <c r="AS17">
        <f>IF(AND($AF7,$AD7=""),$CH7,"")</f>
        <v/>
      </c>
      <c r="AT17">
        <f>IF(AND($AF7,$AD7=""),$CI7,"")</f>
        <v/>
      </c>
      <c r="AU17">
        <f>IF(AND($AF7,$AD7=""),$CJ7,"")</f>
        <v/>
      </c>
      <c r="AV17">
        <f>IF(AND($AF7,$AD7=""),$CK7,"")</f>
        <v/>
      </c>
      <c r="AW17">
        <f>IF(AND($AF7,$AD7=""),$CL7,"")</f>
        <v/>
      </c>
      <c r="AX17">
        <f>IF(AND($AF7,$AD7=""),$CM7,"")</f>
        <v/>
      </c>
      <c r="AY17">
        <f>IF(AND($AF7,$AD7=""),$CN7,"")</f>
        <v/>
      </c>
      <c r="AZ17">
        <f>IF(AND($AF7,$AD7=""),$CO7,"")</f>
        <v/>
      </c>
      <c r="BA17">
        <f>IF(AND($AF7,$AD7=""),$CP7,"")</f>
        <v/>
      </c>
      <c r="BB17">
        <f>IF(AND($AF7,$AD7=""),$CQ7,"")</f>
        <v/>
      </c>
      <c r="BC17">
        <f>IF(AND($AF7,$AD7=""),$CR7,"")</f>
        <v/>
      </c>
      <c r="BD17">
        <f>IF(AND($AF7,$AD7=""),$CS7,"")</f>
        <v/>
      </c>
      <c r="BE17">
        <f>IF(AND($AF7,$AD7=""),$CT7,"")</f>
        <v/>
      </c>
      <c r="BF17">
        <f>IF(AND($AF7,$AD7=""),$CU7,"")</f>
        <v/>
      </c>
      <c r="BG17">
        <f>IF(AND($AF7,$AD7=""),$CV7,"")</f>
        <v/>
      </c>
      <c r="BH17">
        <f>IF(AND($AF7,$AD7=""),$CW7,"")</f>
        <v/>
      </c>
      <c r="BI17">
        <f>IF(AND($AF7,$AD7=""),$CX7,"")</f>
        <v/>
      </c>
      <c r="BJ17">
        <f>IF(AND($AF7,$AD7=""),$CY7,"")</f>
        <v/>
      </c>
      <c r="BK17">
        <f>IF(AND($AF7,$AD7=""),$CZ7,0)</f>
        <v/>
      </c>
      <c r="BL17">
        <f>IF(AND($AF7,$AD7=""),$DA7,"")</f>
        <v/>
      </c>
      <c r="BM17">
        <f>IF(AND($AF7,$AD7=""),$DB7,"")</f>
        <v/>
      </c>
      <c r="BN17">
        <f>IF(AND($AF7,$AD7=""),$DC7,"")</f>
        <v/>
      </c>
      <c r="BO17">
        <f>IF(AND($AF7,$AD7=""),$DD7,0)</f>
        <v/>
      </c>
      <c r="BP17">
        <f>IF(AND($AF7,$AD7=""),$DE7,"")</f>
        <v/>
      </c>
      <c r="BQ17">
        <f>IF(AND($AF7,$AD7=""),$DF7,"")</f>
        <v/>
      </c>
      <c r="BR17">
        <f>IF(AND($AF7,$AD7=""),$DG7,"")</f>
        <v/>
      </c>
      <c r="BS17">
        <f>IF(AND($AF7,$AD7=""),$DH7,0)</f>
        <v/>
      </c>
      <c r="FJ17">
        <f>'DADOS_FORMAS'!$AH17</f>
        <v/>
      </c>
      <c r="FK17">
        <f>'DADOS_FORMAS'!$AM17</f>
        <v/>
      </c>
      <c r="FL17">
        <f>'DADOS_FORMAS'!$AN17</f>
        <v/>
      </c>
      <c r="FM17">
        <f>IF('DADOS_FORMAS'!$AN17=0,0,'DADOS_FORMAS'!$AN17+3*IFERROR(VLOOKUP(SUBSTITUTE(SUBSTITUTE(SUBSTITUTE('DADOS_FORMAS'!$AM17,"~","~~"),"*","~*"),"?","~?"),'DADOS_CRIACAO'!$H$2:$K$20,3,FALSE),0))</f>
        <v/>
      </c>
      <c r="FN17">
        <f>IFERROR(VLOOKUP(SUBSTITUTE(SUBSTITUTE(SUBSTITUTE('DADOS_FORMAS'!$AM17,"~","~~"),"*","~*"),"?","~?"),'DADOS_CRIACAO'!$H$2:$K$20,4,FALSE),0)</f>
        <v/>
      </c>
      <c r="FO17">
        <f>IF('DADOS_FORMAS'!$AS17="",0,1)</f>
        <v/>
      </c>
      <c r="FP17">
        <f>'DADOS_FORMAS'!$AP17</f>
        <v/>
      </c>
      <c r="FQ17">
        <f>IF(AND('DADOS_FORMAS'!$AO17="Acerto",'DADOS_FORMAS'!$AQ17),"Acerto + TR",'DADOS_FORMAS'!$AO17)</f>
        <v/>
      </c>
      <c r="FR17">
        <f>N(OR('DADOS_FORMAS'!$AQ17,'DADOS_FORMAS'!$AO17="TR, metade"))</f>
        <v/>
      </c>
      <c r="FS17">
        <f>'DADOS_FORMAS'!$BO17</f>
        <v/>
      </c>
      <c r="FT17">
        <f>'DADOS_FORMAS'!$BS17</f>
        <v/>
      </c>
      <c r="FU17">
        <f>'DADOS_FORMAS'!$BK17</f>
        <v/>
      </c>
      <c r="FV17">
        <f>N('DADOS_FORMAS'!$AR17)</f>
        <v/>
      </c>
      <c r="FW17">
        <f>IF(IFERROR(VLOOKUP(SUBSTITUTE(SUBSTITUTE(SUBSTITUTE('DADOS_FORMAS'!$AM17,"~","~~"),"*","~*"),"?","~?"),'DADOS_CRIACAO'!$H$2:$K$20,4,FALSE),0)=1,"",'DADOS_FORMAS'!$AH17)</f>
        <v/>
      </c>
      <c r="FX17">
        <f>IF(AND('DADOS_FORMAS'!$AR17,IFERROR(VLOOKUP(SUBSTITUTE(SUBSTITUTE(SUBSTITUTE('DADOS_FORMAS'!$AM17,"~","~~"),"*","~*"),"?","~?"),'DADOS_CRIACAO'!$H$2:$K$20,4,FALSE),0)=0),'DADOS_FORMAS'!$AH17,"")</f>
        <v/>
      </c>
      <c r="FZ17">
        <f>'DADOS_FORMAS'!$AH17</f>
        <v/>
      </c>
      <c r="GA17">
        <f>'DADOS_FORMAS'!$AM17</f>
        <v/>
      </c>
      <c r="GB17">
        <f>'DADOS_FORMAS'!$AN17</f>
        <v/>
      </c>
      <c r="GC17">
        <f>IF('DADOS_FORMAS'!$AS17="",0,1)</f>
        <v/>
      </c>
      <c r="GD17">
        <f>'DADOS_FORMAS'!$AP17</f>
        <v/>
      </c>
      <c r="GE17">
        <f>IF('DADOS_FORMAS'!$AO17="Acerto","Ataque",IF('DADOS_FORMAS'!$AQ17,"TR","—"))</f>
        <v/>
      </c>
      <c r="GF17">
        <f>N(OR('DADOS_FORMAS'!$AQ17,'DADOS_FORMAS'!$AO17="TR, metade"))</f>
        <v/>
      </c>
      <c r="GG17">
        <f>'DADOS_FORMAS'!$BO17</f>
        <v/>
      </c>
      <c r="GH17">
        <f>'DADOS_FORMAS'!$BS17</f>
        <v/>
      </c>
      <c r="GI17">
        <f>'DADOS_FORMAS'!$BK17</f>
        <v/>
      </c>
      <c r="GJ17">
        <f>N('DADOS_FORMAS'!$AR17)</f>
        <v/>
      </c>
      <c r="GR17">
        <f>'DADOS_FORMAS'!$BP14</f>
        <v/>
      </c>
      <c r="GS17">
        <f>IF('DADOS_FORMAS'!$BP14="area",'DADOS_FORMAS'!$AU14,'DADOS_FORMAS'!$AT14)</f>
        <v/>
      </c>
      <c r="GT17">
        <f>IF('DADOS_FORMAS'!$BP14="area",'DADOS_FORMAS'!$BD14,'DADOS_FORMAS'!$AW14)</f>
        <v/>
      </c>
      <c r="GU17">
        <f>'DADOS_FORMAS'!$BQ14</f>
        <v/>
      </c>
      <c r="GV17">
        <f>'DADOS_FORMAS'!$BR14</f>
        <v/>
      </c>
      <c r="GW17">
        <f>LET(base,'DADOS_FORMAS'!$GT17,escada,'DADOS_FORMAS'!$GS17,medida,LEFT(base,MAX(0,LEN(base)-2)),valor,IFERROR(VALUE(SUBSTITUTE(medida,",",""))/10^IFERROR(LEN(medida)-FIND(",",medida),0),1E99),IF(OR(escada="Fixo",base="—"),base,IF(escada="alcance",IFERROR(MATCH(base,{"1,5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7" t="inlineStr">
        <is>
          <t>Linha · classe 0</t>
        </is>
      </c>
      <c r="GZ17" t="inlineStr">
        <is>
          <t>Linha de 9 m por 1,5 m</t>
        </is>
      </c>
      <c r="HA17" t="inlineStr">
        <is>
          <t>Linha de 18 m por 1,5 m</t>
        </is>
      </c>
      <c r="HB17" t="inlineStr">
        <is>
          <t>Linha de 30 m por 1,5 m</t>
        </is>
      </c>
      <c r="HC17" t="inlineStr">
        <is>
          <t>Linha de 60 m por 1,5 m</t>
        </is>
      </c>
      <c r="HD17" t="inlineStr">
        <is>
          <t>Linha de 60 m por 1,5 m</t>
        </is>
      </c>
      <c r="HE17" t="inlineStr">
        <is>
          <t>Linha de 60 m por 1,5 m</t>
        </is>
      </c>
      <c r="HF17" t="inlineStr"/>
      <c r="HG17" t="inlineStr"/>
      <c r="HH17" t="inlineStr"/>
      <c r="HI17" t="inlineStr"/>
      <c r="HJ17" t="inlineStr"/>
      <c r="HK17" t="inlineStr"/>
      <c r="HM17">
        <f>'DADOS_FORMAS'!$BP13</f>
        <v/>
      </c>
      <c r="HN17">
        <f>IF('DADOS_FORMAS'!$BP13="area",'DADOS_FORMAS'!$AU13,'DADOS_FORMAS'!$AT13)</f>
        <v/>
      </c>
      <c r="HO17">
        <f>IF('DADOS_FORMAS'!$BP13="area",'DADOS_FORMAS'!$BI13,'DADOS_FORMAS'!$BB13)</f>
        <v/>
      </c>
      <c r="HP17">
        <f>'DADOS_FORMAS'!$BQ13</f>
        <v/>
      </c>
      <c r="HQ17">
        <f>'DADOS_FORMAS'!$BR13</f>
        <v/>
      </c>
      <c r="HR17">
        <f>LET(base,'DADOS_FORMAS'!$HO17,escada,'DADOS_FORMAS'!$HN17,medida,LEFT(base,MAX(0,LEN(base)-2)),valor,IFERROR(VALUE(SUBSTITUTE(medida,",",""))/10^IFERROR(LEN(medida)-FIND(",",medida),0),1E99),IF(OR(escada="Fixo",base="—"),base,IF(escada="alcance",IFERROR(MATCH(base,{"1,5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7" t="inlineStr">
        <is>
          <t>Aura · classe 7</t>
        </is>
      </c>
      <c r="HU17" t="inlineStr">
        <is>
          <t>Raio 4,5 m, nela</t>
        </is>
      </c>
      <c r="HV17" t="inlineStr">
        <is>
          <t>Raio 6 m, nela</t>
        </is>
      </c>
      <c r="HW17" t="inlineStr">
        <is>
          <t>Raio 9 m, nela</t>
        </is>
      </c>
      <c r="HX17" t="inlineStr">
        <is>
          <t>Raio 15 m, nela</t>
        </is>
      </c>
      <c r="HY17" t="inlineStr">
        <is>
          <t>Raio 15 m, nela</t>
        </is>
      </c>
      <c r="HZ17" t="inlineStr">
        <is>
          <t>Raio 15 m, nela</t>
        </is>
      </c>
      <c r="IA17" t="inlineStr"/>
      <c r="IB17" t="inlineStr"/>
      <c r="IC17" t="inlineStr"/>
      <c r="ID17" t="inlineStr"/>
      <c r="IE17" t="inlineStr"/>
      <c r="IF17" t="inlineStr"/>
      <c r="IH17">
        <f>IF(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H17,"")</f>
        <v/>
      </c>
      <c r="II17">
        <f>IF(AND(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R17),'DADOS_FORMAS'!$AH17,"")</f>
        <v/>
      </c>
      <c r="IK17">
        <f>IF(OR('DADOS_FORMAS'!$AM17='INVOCAÇÕES'!$O$246,'DADOS_FORMAS'!$AM17='INVOCAÇÕES'!$P$246,'DADOS_FORMAS'!$AM17='INVOCAÇÕES'!$Q$246,'DADOS_FORMAS'!$AM17='INVOCAÇÕES'!$R$246,'DADOS_FORMAS'!$AM17='INVOCAÇÕES'!$S$246,'DADOS_FORMAS'!$AM17='INVOCAÇÕES'!$O$248,'DADOS_FORMAS'!$AM17='INVOCAÇÕES'!$P$248,'DADOS_FORMAS'!$AM17='INVOCAÇÕES'!$Q$248,'DADOS_FORMAS'!$AM17='INVOCAÇÕES'!$R$248,'DADOS_FORMAS'!$AM17=""),'DADOS_FORMAS'!$AH17,"")</f>
        <v/>
      </c>
      <c r="IL17">
        <f>IF(AND(OR('DADOS_FORMAS'!$AM17='INVOCAÇÕES'!$O$246,'DADOS_FORMAS'!$AM17='INVOCAÇÕES'!$P$246,'DADOS_FORMAS'!$AM17='INVOCAÇÕES'!$Q$246,'DADOS_FORMAS'!$AM17='INVOCAÇÕES'!$R$246,'DADOS_FORMAS'!$AM17='INVOCAÇÕES'!$S$246,'DADOS_FORMAS'!$AM17='INVOCAÇÕES'!$O$248,'DADOS_FORMAS'!$AM17='INVOCAÇÕES'!$P$248,'DADOS_FORMAS'!$AM17='INVOCAÇÕES'!$Q$248,'DADOS_FORMAS'!$AM17='INVOCAÇÕES'!$R$248,'DADOS_FORMAS'!$AM17=""),'DADOS_FORMAS'!$AR17),'DADOS_FORMAS'!$AH17,"")</f>
        <v/>
      </c>
      <c r="IN17">
        <f>IF(OR('DADOS_FORMAS'!$AM17='INVOCAÇÕES'!$O$444,'DADOS_FORMAS'!$AM17='INVOCAÇÕES'!$P$444,'DADOS_FORMAS'!$AM17='INVOCAÇÕES'!$Q$444,'DADOS_FORMAS'!$AM17='INVOCAÇÕES'!$R$444,'DADOS_FORMAS'!$AM17='INVOCAÇÕES'!$S$444,'DADOS_FORMAS'!$AM17='INVOCAÇÕES'!$O$446,'DADOS_FORMAS'!$AM17='INVOCAÇÕES'!$P$446,'DADOS_FORMAS'!$AM17='INVOCAÇÕES'!$Q$446,'DADOS_FORMAS'!$AM17='INVOCAÇÕES'!$R$446,'DADOS_FORMAS'!$AM17=""),'DADOS_FORMAS'!$AH17,"")</f>
        <v/>
      </c>
      <c r="IO17">
        <f>IF(AND(OR('DADOS_FORMAS'!$AM17='INVOCAÇÕES'!$O$444,'DADOS_FORMAS'!$AM17='INVOCAÇÕES'!$P$444,'DADOS_FORMAS'!$AM17='INVOCAÇÕES'!$Q$444,'DADOS_FORMAS'!$AM17='INVOCAÇÕES'!$R$444,'DADOS_FORMAS'!$AM17='INVOCAÇÕES'!$S$444,'DADOS_FORMAS'!$AM17='INVOCAÇÕES'!$O$446,'DADOS_FORMAS'!$AM17='INVOCAÇÕES'!$P$446,'DADOS_FORMAS'!$AM17='INVOCAÇÕES'!$Q$446,'DADOS_FORMAS'!$AM17='INVOCAÇÕES'!$R$446,'DADOS_FORMAS'!$AM17=""),'DADOS_FORMAS'!$AR17),'DADOS_FORMAS'!$AH17,"")</f>
        <v/>
      </c>
      <c r="IQ17">
        <f>IF(OR('DADOS_FORMAS'!$AM17='INVOCAÇÕES'!$O$642,'DADOS_FORMAS'!$AM17='INVOCAÇÕES'!$P$642,'DADOS_FORMAS'!$AM17='INVOCAÇÕES'!$Q$642,'DADOS_FORMAS'!$AM17='INVOCAÇÕES'!$R$642,'DADOS_FORMAS'!$AM17='INVOCAÇÕES'!$S$642,'DADOS_FORMAS'!$AM17='INVOCAÇÕES'!$O$644,'DADOS_FORMAS'!$AM17='INVOCAÇÕES'!$P$644,'DADOS_FORMAS'!$AM17='INVOCAÇÕES'!$Q$644,'DADOS_FORMAS'!$AM17='INVOCAÇÕES'!$R$644,'DADOS_FORMAS'!$AM17=""),'DADOS_FORMAS'!$AH17,"")</f>
        <v/>
      </c>
      <c r="IR17">
        <f>IF(AND(OR('DADOS_FORMAS'!$AM17='INVOCAÇÕES'!$O$642,'DADOS_FORMAS'!$AM17='INVOCAÇÕES'!$P$642,'DADOS_FORMAS'!$AM17='INVOCAÇÕES'!$Q$642,'DADOS_FORMAS'!$AM17='INVOCAÇÕES'!$R$642,'DADOS_FORMAS'!$AM17='INVOCAÇÕES'!$S$642,'DADOS_FORMAS'!$AM17='INVOCAÇÕES'!$O$644,'DADOS_FORMAS'!$AM17='INVOCAÇÕES'!$P$644,'DADOS_FORMAS'!$AM17='INVOCAÇÕES'!$Q$644,'DADOS_FORMAS'!$AM17='INVOCAÇÕES'!$R$644,'DADOS_FORMAS'!$AM17=""),'DADOS_FORMAS'!$AR17),'DADOS_FORMAS'!$AH17,"")</f>
        <v/>
      </c>
      <c r="IT17">
        <f>IF(OR('DADOS_FORMAS'!$AM17='INVOCAÇÕES'!$O$840,'DADOS_FORMAS'!$AM17='INVOCAÇÕES'!$P$840,'DADOS_FORMAS'!$AM17='INVOCAÇÕES'!$Q$840,'DADOS_FORMAS'!$AM17='INVOCAÇÕES'!$R$840,'DADOS_FORMAS'!$AM17='INVOCAÇÕES'!$S$840,'DADOS_FORMAS'!$AM17='INVOCAÇÕES'!$O$842,'DADOS_FORMAS'!$AM17='INVOCAÇÕES'!$P$842,'DADOS_FORMAS'!$AM17='INVOCAÇÕES'!$Q$842,'DADOS_FORMAS'!$AM17='INVOCAÇÕES'!$R$842,'DADOS_FORMAS'!$AM17=""),'DADOS_FORMAS'!$AH17,"")</f>
        <v/>
      </c>
      <c r="IU17">
        <f>IF(AND(OR('DADOS_FORMAS'!$AM17='INVOCAÇÕES'!$O$840,'DADOS_FORMAS'!$AM17='INVOCAÇÕES'!$P$840,'DADOS_FORMAS'!$AM17='INVOCAÇÕES'!$Q$840,'DADOS_FORMAS'!$AM17='INVOCAÇÕES'!$R$840,'DADOS_FORMAS'!$AM17='INVOCAÇÕES'!$S$840,'DADOS_FORMAS'!$AM17='INVOCAÇÕES'!$O$842,'DADOS_FORMAS'!$AM17='INVOCAÇÕES'!$P$842,'DADOS_FORMAS'!$AM17='INVOCAÇÕES'!$Q$842,'DADOS_FORMAS'!$AM17='INVOCAÇÕES'!$R$842,'DADOS_FORMAS'!$AM17=""),'DADOS_FORMAS'!$AR17),'DADOS_FORMAS'!$AH17,"")</f>
        <v/>
      </c>
      <c r="IW17">
        <f>IF(OR('DADOS_FORMAS'!$AM17='INVOCAÇÕES'!$O$1038,'DADOS_FORMAS'!$AM17='INVOCAÇÕES'!$P$1038,'DADOS_FORMAS'!$AM17='INVOCAÇÕES'!$Q$1038,'DADOS_FORMAS'!$AM17='INVOCAÇÕES'!$R$1038,'DADOS_FORMAS'!$AM17='INVOCAÇÕES'!$S$1038,'DADOS_FORMAS'!$AM17='INVOCAÇÕES'!$O$1040,'DADOS_FORMAS'!$AM17='INVOCAÇÕES'!$P$1040,'DADOS_FORMAS'!$AM17='INVOCAÇÕES'!$Q$1040,'DADOS_FORMAS'!$AM17='INVOCAÇÕES'!$R$1040,'DADOS_FORMAS'!$AM17=""),'DADOS_FORMAS'!$AH17,"")</f>
        <v/>
      </c>
      <c r="IX17">
        <f>IF(AND(OR('DADOS_FORMAS'!$AM17='INVOCAÇÕES'!$O$1038,'DADOS_FORMAS'!$AM17='INVOCAÇÕES'!$P$1038,'DADOS_FORMAS'!$AM17='INVOCAÇÕES'!$Q$1038,'DADOS_FORMAS'!$AM17='INVOCAÇÕES'!$R$1038,'DADOS_FORMAS'!$AM17='INVOCAÇÕES'!$S$1038,'DADOS_FORMAS'!$AM17='INVOCAÇÕES'!$O$1040,'DADOS_FORMAS'!$AM17='INVOCAÇÕES'!$P$1040,'DADOS_FORMAS'!$AM17='INVOCAÇÕES'!$Q$1040,'DADOS_FORMAS'!$AM17='INVOCAÇÕES'!$R$1040,'DADOS_FORMAS'!$AM17=""),'DADOS_FORMAS'!$AR17),'DADOS_FORMAS'!$AH17,"")</f>
        <v/>
      </c>
      <c r="IZ17">
        <f>IF(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H17,"")</f>
        <v/>
      </c>
      <c r="JA17">
        <f>IF(AND(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R17),'DADOS_FORMAS'!$AH17,"")</f>
        <v/>
      </c>
      <c r="JC17">
        <f>IF(OR('DADOS_FORMAS'!$AM17='INVOCAÇÕES'!$AH$246,'DADOS_FORMAS'!$AM17='INVOCAÇÕES'!$AI$246,'DADOS_FORMAS'!$AM17='INVOCAÇÕES'!$AJ$246,'DADOS_FORMAS'!$AM17='INVOCAÇÕES'!$AK$246,'DADOS_FORMAS'!$AM17='INVOCAÇÕES'!$AL$246,'DADOS_FORMAS'!$AM17='INVOCAÇÕES'!$AH$248,'DADOS_FORMAS'!$AM17='INVOCAÇÕES'!$AI$248,'DADOS_FORMAS'!$AM17='INVOCAÇÕES'!$AJ$248,'DADOS_FORMAS'!$AM17='INVOCAÇÕES'!$AK$248,'DADOS_FORMAS'!$AM17=""),'DADOS_FORMAS'!$AH17,"")</f>
        <v/>
      </c>
      <c r="JD17">
        <f>IF(AND(OR('DADOS_FORMAS'!$AM17='INVOCAÇÕES'!$AH$246,'DADOS_FORMAS'!$AM17='INVOCAÇÕES'!$AI$246,'DADOS_FORMAS'!$AM17='INVOCAÇÕES'!$AJ$246,'DADOS_FORMAS'!$AM17='INVOCAÇÕES'!$AK$246,'DADOS_FORMAS'!$AM17='INVOCAÇÕES'!$AL$246,'DADOS_FORMAS'!$AM17='INVOCAÇÕES'!$AH$248,'DADOS_FORMAS'!$AM17='INVOCAÇÕES'!$AI$248,'DADOS_FORMAS'!$AM17='INVOCAÇÕES'!$AJ$248,'DADOS_FORMAS'!$AM17='INVOCAÇÕES'!$AK$248,'DADOS_FORMAS'!$AM17=""),'DADOS_FORMAS'!$AR17),'DADOS_FORMAS'!$AH17,"")</f>
        <v/>
      </c>
      <c r="JF17">
        <f>IF(OR('DADOS_FORMAS'!$AM17='INVOCAÇÕES'!$AH$444,'DADOS_FORMAS'!$AM17='INVOCAÇÕES'!$AI$444,'DADOS_FORMAS'!$AM17='INVOCAÇÕES'!$AJ$444,'DADOS_FORMAS'!$AM17='INVOCAÇÕES'!$AK$444,'DADOS_FORMAS'!$AM17='INVOCAÇÕES'!$AL$444,'DADOS_FORMAS'!$AM17='INVOCAÇÕES'!$AH$446,'DADOS_FORMAS'!$AM17='INVOCAÇÕES'!$AI$446,'DADOS_FORMAS'!$AM17='INVOCAÇÕES'!$AJ$446,'DADOS_FORMAS'!$AM17='INVOCAÇÕES'!$AK$446,'DADOS_FORMAS'!$AM17=""),'DADOS_FORMAS'!$AH17,"")</f>
        <v/>
      </c>
      <c r="JG17">
        <f>IF(AND(OR('DADOS_FORMAS'!$AM17='INVOCAÇÕES'!$AH$444,'DADOS_FORMAS'!$AM17='INVOCAÇÕES'!$AI$444,'DADOS_FORMAS'!$AM17='INVOCAÇÕES'!$AJ$444,'DADOS_FORMAS'!$AM17='INVOCAÇÕES'!$AK$444,'DADOS_FORMAS'!$AM17='INVOCAÇÕES'!$AL$444,'DADOS_FORMAS'!$AM17='INVOCAÇÕES'!$AH$446,'DADOS_FORMAS'!$AM17='INVOCAÇÕES'!$AI$446,'DADOS_FORMAS'!$AM17='INVOCAÇÕES'!$AJ$446,'DADOS_FORMAS'!$AM17='INVOCAÇÕES'!$AK$446,'DADOS_FORMAS'!$AM17=""),'DADOS_FORMAS'!$AR17),'DADOS_FORMAS'!$AH17,"")</f>
        <v/>
      </c>
      <c r="JI17">
        <f>IF(OR('DADOS_FORMAS'!$AM17='INVOCAÇÕES'!$AH$642,'DADOS_FORMAS'!$AM17='INVOCAÇÕES'!$AI$642,'DADOS_FORMAS'!$AM17='INVOCAÇÕES'!$AJ$642,'DADOS_FORMAS'!$AM17='INVOCAÇÕES'!$AK$642,'DADOS_FORMAS'!$AM17='INVOCAÇÕES'!$AL$642,'DADOS_FORMAS'!$AM17='INVOCAÇÕES'!$AH$644,'DADOS_FORMAS'!$AM17='INVOCAÇÕES'!$AI$644,'DADOS_FORMAS'!$AM17='INVOCAÇÕES'!$AJ$644,'DADOS_FORMAS'!$AM17='INVOCAÇÕES'!$AK$644,'DADOS_FORMAS'!$AM17=""),'DADOS_FORMAS'!$AH17,"")</f>
        <v/>
      </c>
      <c r="JJ17">
        <f>IF(AND(OR('DADOS_FORMAS'!$AM17='INVOCAÇÕES'!$AH$642,'DADOS_FORMAS'!$AM17='INVOCAÇÕES'!$AI$642,'DADOS_FORMAS'!$AM17='INVOCAÇÕES'!$AJ$642,'DADOS_FORMAS'!$AM17='INVOCAÇÕES'!$AK$642,'DADOS_FORMAS'!$AM17='INVOCAÇÕES'!$AL$642,'DADOS_FORMAS'!$AM17='INVOCAÇÕES'!$AH$644,'DADOS_FORMAS'!$AM17='INVOCAÇÕES'!$AI$644,'DADOS_FORMAS'!$AM17='INVOCAÇÕES'!$AJ$644,'DADOS_FORMAS'!$AM17='INVOCAÇÕES'!$AK$644,'DADOS_FORMAS'!$AM17=""),'DADOS_FORMAS'!$AR17),'DADOS_FORMAS'!$AH17,"")</f>
        <v/>
      </c>
      <c r="JL17">
        <f>IF(OR('DADOS_FORMAS'!$AM17='INVOCAÇÕES'!$AH$840,'DADOS_FORMAS'!$AM17='INVOCAÇÕES'!$AI$840,'DADOS_FORMAS'!$AM17='INVOCAÇÕES'!$AJ$840,'DADOS_FORMAS'!$AM17='INVOCAÇÕES'!$AK$840,'DADOS_FORMAS'!$AM17='INVOCAÇÕES'!$AL$840,'DADOS_FORMAS'!$AM17='INVOCAÇÕES'!$AH$842,'DADOS_FORMAS'!$AM17='INVOCAÇÕES'!$AI$842,'DADOS_FORMAS'!$AM17='INVOCAÇÕES'!$AJ$842,'DADOS_FORMAS'!$AM17='INVOCAÇÕES'!$AK$842,'DADOS_FORMAS'!$AM17=""),'DADOS_FORMAS'!$AH17,"")</f>
        <v/>
      </c>
      <c r="JM17">
        <f>IF(AND(OR('DADOS_FORMAS'!$AM17='INVOCAÇÕES'!$AH$840,'DADOS_FORMAS'!$AM17='INVOCAÇÕES'!$AI$840,'DADOS_FORMAS'!$AM17='INVOCAÇÕES'!$AJ$840,'DADOS_FORMAS'!$AM17='INVOCAÇÕES'!$AK$840,'DADOS_FORMAS'!$AM17='INVOCAÇÕES'!$AL$840,'DADOS_FORMAS'!$AM17='INVOCAÇÕES'!$AH$842,'DADOS_FORMAS'!$AM17='INVOCAÇÕES'!$AI$842,'DADOS_FORMAS'!$AM17='INVOCAÇÕES'!$AJ$842,'DADOS_FORMAS'!$AM17='INVOCAÇÕES'!$AK$842,'DADOS_FORMAS'!$AM17=""),'DADOS_FORMAS'!$AR17),'DADOS_FORMAS'!$AH17,"")</f>
        <v/>
      </c>
      <c r="JO17">
        <f>IF(OR('DADOS_FORMAS'!$AM17='INVOCAÇÕES'!$AH$1038,'DADOS_FORMAS'!$AM17='INVOCAÇÕES'!$AI$1038,'DADOS_FORMAS'!$AM17='INVOCAÇÕES'!$AJ$1038,'DADOS_FORMAS'!$AM17='INVOCAÇÕES'!$AK$1038,'DADOS_FORMAS'!$AM17='INVOCAÇÕES'!$AL$1038,'DADOS_FORMAS'!$AM17='INVOCAÇÕES'!$AH$1040,'DADOS_FORMAS'!$AM17='INVOCAÇÕES'!$AI$1040,'DADOS_FORMAS'!$AM17='INVOCAÇÕES'!$AJ$1040,'DADOS_FORMAS'!$AM17='INVOCAÇÕES'!$AK$1040,'DADOS_FORMAS'!$AM17=""),'DADOS_FORMAS'!$AH17,"")</f>
        <v/>
      </c>
      <c r="JP17">
        <f>IF(AND(OR('DADOS_FORMAS'!$AM17='INVOCAÇÕES'!$AH$1038,'DADOS_FORMAS'!$AM17='INVOCAÇÕES'!$AI$1038,'DADOS_FORMAS'!$AM17='INVOCAÇÕES'!$AJ$1038,'DADOS_FORMAS'!$AM17='INVOCAÇÕES'!$AK$1038,'DADOS_FORMAS'!$AM17='INVOCAÇÕES'!$AL$1038,'DADOS_FORMAS'!$AM17='INVOCAÇÕES'!$AH$1040,'DADOS_FORMAS'!$AM17='INVOCAÇÕES'!$AI$1040,'DADOS_FORMAS'!$AM17='INVOCAÇÕES'!$AJ$1040,'DADOS_FORMAS'!$AM17='INVOCAÇÕES'!$AK$1040,'DADOS_FORMAS'!$AM17=""),'DADOS_FORMAS'!$AR17),'DADOS_FORMAS'!$AH17,"")</f>
        <v/>
      </c>
      <c r="JZ17">
        <f>IFERROR(INDEX('DADOS_CRIACAO'!$H$2:$H$20,15),"")</f>
        <v/>
      </c>
      <c r="KA17">
        <f>IFERROR(INDEX(INDEX('DADOS_RESTRICOES'!$M$2:$Q$54,0,1),15),"")</f>
        <v/>
      </c>
    </row>
    <row r="18">
      <c r="AG18">
        <f>IF(AND($AF8,$AD8=""),$BV8,"")</f>
        <v/>
      </c>
      <c r="AH18">
        <f>IF(AND($AF8,$AD8=""),$BW8,"")</f>
        <v/>
      </c>
      <c r="AI18">
        <f>IF(AND($AF8,$AD8=""),$BX8,"")</f>
        <v/>
      </c>
      <c r="AJ18">
        <f>IF(AND($AF8,$AD8=""),$BY8,FALSE)</f>
        <v/>
      </c>
      <c r="AK18">
        <f>IF(AND($AF8,$AD8=""),$BZ8,"")</f>
        <v/>
      </c>
      <c r="AL18">
        <f>IF(AND($AF8,$AD8=""),$CA8,"")</f>
        <v/>
      </c>
      <c r="AM18">
        <f>IF(AND($AF8,$AD8=""),$CB8,"")</f>
        <v/>
      </c>
      <c r="AN18">
        <f>IF(AND($AF8,$AD8=""),$CC8,0)</f>
        <v/>
      </c>
      <c r="AO18">
        <f>IF(AND($AF8,$AD8=""),$CD8,"")</f>
        <v/>
      </c>
      <c r="AP18">
        <f>IF(AND($AF8,$AD8=""),$CE8,0)</f>
        <v/>
      </c>
      <c r="AQ18">
        <f>IF(AND($AF8,$AD8=""),$CF8,FALSE)</f>
        <v/>
      </c>
      <c r="AR18">
        <f>IF(AND($AF8,$AD8=""),$CG8,FALSE)</f>
        <v/>
      </c>
      <c r="AS18">
        <f>IF(AND($AF8,$AD8=""),$CH8,"")</f>
        <v/>
      </c>
      <c r="AT18">
        <f>IF(AND($AF8,$AD8=""),$CI8,"")</f>
        <v/>
      </c>
      <c r="AU18">
        <f>IF(AND($AF8,$AD8=""),$CJ8,"")</f>
        <v/>
      </c>
      <c r="AV18">
        <f>IF(AND($AF8,$AD8=""),$CK8,"")</f>
        <v/>
      </c>
      <c r="AW18">
        <f>IF(AND($AF8,$AD8=""),$CL8,"")</f>
        <v/>
      </c>
      <c r="AX18">
        <f>IF(AND($AF8,$AD8=""),$CM8,"")</f>
        <v/>
      </c>
      <c r="AY18">
        <f>IF(AND($AF8,$AD8=""),$CN8,"")</f>
        <v/>
      </c>
      <c r="AZ18">
        <f>IF(AND($AF8,$AD8=""),$CO8,"")</f>
        <v/>
      </c>
      <c r="BA18">
        <f>IF(AND($AF8,$AD8=""),$CP8,"")</f>
        <v/>
      </c>
      <c r="BB18">
        <f>IF(AND($AF8,$AD8=""),$CQ8,"")</f>
        <v/>
      </c>
      <c r="BC18">
        <f>IF(AND($AF8,$AD8=""),$CR8,"")</f>
        <v/>
      </c>
      <c r="BD18">
        <f>IF(AND($AF8,$AD8=""),$CS8,"")</f>
        <v/>
      </c>
      <c r="BE18">
        <f>IF(AND($AF8,$AD8=""),$CT8,"")</f>
        <v/>
      </c>
      <c r="BF18">
        <f>IF(AND($AF8,$AD8=""),$CU8,"")</f>
        <v/>
      </c>
      <c r="BG18">
        <f>IF(AND($AF8,$AD8=""),$CV8,"")</f>
        <v/>
      </c>
      <c r="BH18">
        <f>IF(AND($AF8,$AD8=""),$CW8,"")</f>
        <v/>
      </c>
      <c r="BI18">
        <f>IF(AND($AF8,$AD8=""),$CX8,"")</f>
        <v/>
      </c>
      <c r="BJ18">
        <f>IF(AND($AF8,$AD8=""),$CY8,"")</f>
        <v/>
      </c>
      <c r="BK18">
        <f>IF(AND($AF8,$AD8=""),$CZ8,0)</f>
        <v/>
      </c>
      <c r="BL18">
        <f>IF(AND($AF8,$AD8=""),$DA8,"")</f>
        <v/>
      </c>
      <c r="BM18">
        <f>IF(AND($AF8,$AD8=""),$DB8,"")</f>
        <v/>
      </c>
      <c r="BN18">
        <f>IF(AND($AF8,$AD8=""),$DC8,"")</f>
        <v/>
      </c>
      <c r="BO18">
        <f>IF(AND($AF8,$AD8=""),$DD8,0)</f>
        <v/>
      </c>
      <c r="BP18">
        <f>IF(AND($AF8,$AD8=""),$DE8,"")</f>
        <v/>
      </c>
      <c r="BQ18">
        <f>IF(AND($AF8,$AD8=""),$DF8,"")</f>
        <v/>
      </c>
      <c r="BR18">
        <f>IF(AND($AF8,$AD8=""),$DG8,"")</f>
        <v/>
      </c>
      <c r="BS18">
        <f>IF(AND($AF8,$AD8=""),$DH8,0)</f>
        <v/>
      </c>
      <c r="FJ18">
        <f>'DADOS_FORMAS'!$AH18</f>
        <v/>
      </c>
      <c r="FK18">
        <f>'DADOS_FORMAS'!$AM18</f>
        <v/>
      </c>
      <c r="FL18">
        <f>'DADOS_FORMAS'!$AN18</f>
        <v/>
      </c>
      <c r="FM18">
        <f>IF('DADOS_FORMAS'!$AN18=0,0,'DADOS_FORMAS'!$AN18+3*IFERROR(VLOOKUP(SUBSTITUTE(SUBSTITUTE(SUBSTITUTE('DADOS_FORMAS'!$AM18,"~","~~"),"*","~*"),"?","~?"),'DADOS_CRIACAO'!$H$2:$K$20,3,FALSE),0))</f>
        <v/>
      </c>
      <c r="FN18">
        <f>IFERROR(VLOOKUP(SUBSTITUTE(SUBSTITUTE(SUBSTITUTE('DADOS_FORMAS'!$AM18,"~","~~"),"*","~*"),"?","~?"),'DADOS_CRIACAO'!$H$2:$K$20,4,FALSE),0)</f>
        <v/>
      </c>
      <c r="FO18">
        <f>IF('DADOS_FORMAS'!$AS18="",0,1)</f>
        <v/>
      </c>
      <c r="FP18">
        <f>'DADOS_FORMAS'!$AP18</f>
        <v/>
      </c>
      <c r="FQ18">
        <f>IF(AND('DADOS_FORMAS'!$AO18="Acerto",'DADOS_FORMAS'!$AQ18),"Acerto + TR",'DADOS_FORMAS'!$AO18)</f>
        <v/>
      </c>
      <c r="FR18">
        <f>N(OR('DADOS_FORMAS'!$AQ18,'DADOS_FORMAS'!$AO18="TR, metade"))</f>
        <v/>
      </c>
      <c r="FS18">
        <f>'DADOS_FORMAS'!$BO18</f>
        <v/>
      </c>
      <c r="FT18">
        <f>'DADOS_FORMAS'!$BS18</f>
        <v/>
      </c>
      <c r="FU18">
        <f>'DADOS_FORMAS'!$BK18</f>
        <v/>
      </c>
      <c r="FV18">
        <f>N('DADOS_FORMAS'!$AR18)</f>
        <v/>
      </c>
      <c r="FW18">
        <f>IF(IFERROR(VLOOKUP(SUBSTITUTE(SUBSTITUTE(SUBSTITUTE('DADOS_FORMAS'!$AM18,"~","~~"),"*","~*"),"?","~?"),'DADOS_CRIACAO'!$H$2:$K$20,4,FALSE),0)=1,"",'DADOS_FORMAS'!$AH18)</f>
        <v/>
      </c>
      <c r="FX18">
        <f>IF(AND('DADOS_FORMAS'!$AR18,IFERROR(VLOOKUP(SUBSTITUTE(SUBSTITUTE(SUBSTITUTE('DADOS_FORMAS'!$AM18,"~","~~"),"*","~*"),"?","~?"),'DADOS_CRIACAO'!$H$2:$K$20,4,FALSE),0)=0),'DADOS_FORMAS'!$AH18,"")</f>
        <v/>
      </c>
      <c r="FZ18">
        <f>'DADOS_FORMAS'!$AH18</f>
        <v/>
      </c>
      <c r="GA18">
        <f>'DADOS_FORMAS'!$AM18</f>
        <v/>
      </c>
      <c r="GB18">
        <f>'DADOS_FORMAS'!$AN18</f>
        <v/>
      </c>
      <c r="GC18">
        <f>IF('DADOS_FORMAS'!$AS18="",0,1)</f>
        <v/>
      </c>
      <c r="GD18">
        <f>'DADOS_FORMAS'!$AP18</f>
        <v/>
      </c>
      <c r="GE18">
        <f>IF('DADOS_FORMAS'!$AO18="Acerto","Ataque",IF('DADOS_FORMAS'!$AQ18,"TR","—"))</f>
        <v/>
      </c>
      <c r="GF18">
        <f>N(OR('DADOS_FORMAS'!$AQ18,'DADOS_FORMAS'!$AO18="TR, metade"))</f>
        <v/>
      </c>
      <c r="GG18">
        <f>'DADOS_FORMAS'!$BO18</f>
        <v/>
      </c>
      <c r="GH18">
        <f>'DADOS_FORMAS'!$BS18</f>
        <v/>
      </c>
      <c r="GI18">
        <f>'DADOS_FORMAS'!$BK18</f>
        <v/>
      </c>
      <c r="GJ18">
        <f>N('DADOS_FORMAS'!$AR18)</f>
        <v/>
      </c>
      <c r="GR18">
        <f>'DADOS_FORMAS'!$BL14</f>
        <v/>
      </c>
      <c r="GS18">
        <f>IF('DADOS_FORMAS'!$BL14="area",'DADOS_FORMAS'!$AU14,'DADOS_FORMAS'!$AT14)</f>
        <v/>
      </c>
      <c r="GT18">
        <f>IF('DADOS_FORMAS'!$BL14="area",'DADOS_FORMAS'!$BE14,'DADOS_FORMAS'!$AX14)</f>
        <v/>
      </c>
      <c r="GU18">
        <f>'DADOS_FORMAS'!$BM14</f>
        <v/>
      </c>
      <c r="GV18">
        <f>'DADOS_FORMAS'!$BN14</f>
        <v/>
      </c>
      <c r="GW18">
        <f>LET(base,'DADOS_FORMAS'!$GT18,escada,'DADOS_FORMAS'!$GS18,medida,LEFT(base,MAX(0,LEN(base)-2)),valor,IFERROR(VALUE(SUBSTITUTE(medida,",",""))/10^IFERROR(LEN(medida)-FIND(",",medida),0),1E99),IF(OR(escada="Fixo",base="—"),base,IF(escada="alcance",IFERROR(MATCH(base,{"1,5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8" t="inlineStr">
        <is>
          <t>Linha · classes 1 a 5</t>
        </is>
      </c>
      <c r="GZ18" t="inlineStr">
        <is>
          <t>Linha de 18 m por 1,5 m</t>
        </is>
      </c>
      <c r="HA18" t="inlineStr">
        <is>
          <t>Linha de 30 m por 1,5 m</t>
        </is>
      </c>
      <c r="HB18" t="inlineStr">
        <is>
          <t>Linha de 60 m por 1,5 m</t>
        </is>
      </c>
      <c r="HC18" t="inlineStr">
        <is>
          <t>Linha de 60 m por 1,5 m</t>
        </is>
      </c>
      <c r="HD18" t="inlineStr">
        <is>
          <t>Linha de 60 m por 1,5 m</t>
        </is>
      </c>
      <c r="HE18" t="inlineStr">
        <is>
          <t>Linha de 60 m por 1,5 m</t>
        </is>
      </c>
      <c r="HF18" t="inlineStr"/>
      <c r="HG18" t="inlineStr"/>
      <c r="HH18" t="inlineStr"/>
      <c r="HI18" t="inlineStr"/>
      <c r="HJ18" t="inlineStr"/>
      <c r="HK18" t="inlineStr"/>
      <c r="HM18">
        <f>'DADOS_FORMAS'!$BL14</f>
        <v/>
      </c>
      <c r="HN18">
        <f>IF('DADOS_FORMAS'!$BL14="area",'DADOS_FORMAS'!$AU14,'DADOS_FORMAS'!$AT14)</f>
        <v/>
      </c>
      <c r="HO18">
        <f>IF('DADOS_FORMAS'!$BL14="area",'DADOS_FORMAS'!$BF14,'DADOS_FORMAS'!$AY14)</f>
        <v/>
      </c>
      <c r="HP18">
        <f>'DADOS_FORMAS'!$BM14</f>
        <v/>
      </c>
      <c r="HQ18">
        <f>'DADOS_FORMAS'!$BN14</f>
        <v/>
      </c>
      <c r="HR18">
        <f>LET(base,'DADOS_FORMAS'!$HO18,escada,'DADOS_FORMAS'!$HN18,medida,LEFT(base,MAX(0,LEN(base)-2)),valor,IFERROR(VALUE(SUBSTITUTE(medida,",",""))/10^IFERROR(LEN(medida)-FIND(",",medida),0),1E99),IF(OR(escada="Fixo",base="—"),base,IF(escada="alcance",IFERROR(MATCH(base,{"1,5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8" t="inlineStr">
        <is>
          <t>Cone · classe 0</t>
        </is>
      </c>
      <c r="HU18" t="inlineStr">
        <is>
          <t>Cone de 3 m</t>
        </is>
      </c>
      <c r="HV18" t="inlineStr">
        <is>
          <t>Cone de 4,5 m</t>
        </is>
      </c>
      <c r="HW18" t="inlineStr">
        <is>
          <t>Cone de 9 m</t>
        </is>
      </c>
      <c r="HX18" t="inlineStr">
        <is>
          <t>Cone de 18 m</t>
        </is>
      </c>
      <c r="HY18" t="inlineStr">
        <is>
          <t>Cone de 30 m</t>
        </is>
      </c>
      <c r="HZ18" t="inlineStr">
        <is>
          <t>Cone de 60 m</t>
        </is>
      </c>
      <c r="IA18" t="inlineStr"/>
      <c r="IB18" t="inlineStr"/>
      <c r="IC18" t="inlineStr"/>
      <c r="ID18" t="inlineStr"/>
      <c r="IE18" t="inlineStr"/>
      <c r="IF18" t="inlineStr"/>
      <c r="IH18">
        <f>IF(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H18,"")</f>
        <v/>
      </c>
      <c r="II18">
        <f>IF(AND(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R18),'DADOS_FORMAS'!$AH18,"")</f>
        <v/>
      </c>
      <c r="IK18">
        <f>IF(OR('DADOS_FORMAS'!$AM18='INVOCAÇÕES'!$O$246,'DADOS_FORMAS'!$AM18='INVOCAÇÕES'!$P$246,'DADOS_FORMAS'!$AM18='INVOCAÇÕES'!$Q$246,'DADOS_FORMAS'!$AM18='INVOCAÇÕES'!$R$246,'DADOS_FORMAS'!$AM18='INVOCAÇÕES'!$S$246,'DADOS_FORMAS'!$AM18='INVOCAÇÕES'!$O$248,'DADOS_FORMAS'!$AM18='INVOCAÇÕES'!$P$248,'DADOS_FORMAS'!$AM18='INVOCAÇÕES'!$Q$248,'DADOS_FORMAS'!$AM18='INVOCAÇÕES'!$R$248,'DADOS_FORMAS'!$AM18=""),'DADOS_FORMAS'!$AH18,"")</f>
        <v/>
      </c>
      <c r="IL18">
        <f>IF(AND(OR('DADOS_FORMAS'!$AM18='INVOCAÇÕES'!$O$246,'DADOS_FORMAS'!$AM18='INVOCAÇÕES'!$P$246,'DADOS_FORMAS'!$AM18='INVOCAÇÕES'!$Q$246,'DADOS_FORMAS'!$AM18='INVOCAÇÕES'!$R$246,'DADOS_FORMAS'!$AM18='INVOCAÇÕES'!$S$246,'DADOS_FORMAS'!$AM18='INVOCAÇÕES'!$O$248,'DADOS_FORMAS'!$AM18='INVOCAÇÕES'!$P$248,'DADOS_FORMAS'!$AM18='INVOCAÇÕES'!$Q$248,'DADOS_FORMAS'!$AM18='INVOCAÇÕES'!$R$248,'DADOS_FORMAS'!$AM18=""),'DADOS_FORMAS'!$AR18),'DADOS_FORMAS'!$AH18,"")</f>
        <v/>
      </c>
      <c r="IN18">
        <f>IF(OR('DADOS_FORMAS'!$AM18='INVOCAÇÕES'!$O$444,'DADOS_FORMAS'!$AM18='INVOCAÇÕES'!$P$444,'DADOS_FORMAS'!$AM18='INVOCAÇÕES'!$Q$444,'DADOS_FORMAS'!$AM18='INVOCAÇÕES'!$R$444,'DADOS_FORMAS'!$AM18='INVOCAÇÕES'!$S$444,'DADOS_FORMAS'!$AM18='INVOCAÇÕES'!$O$446,'DADOS_FORMAS'!$AM18='INVOCAÇÕES'!$P$446,'DADOS_FORMAS'!$AM18='INVOCAÇÕES'!$Q$446,'DADOS_FORMAS'!$AM18='INVOCAÇÕES'!$R$446,'DADOS_FORMAS'!$AM18=""),'DADOS_FORMAS'!$AH18,"")</f>
        <v/>
      </c>
      <c r="IO18">
        <f>IF(AND(OR('DADOS_FORMAS'!$AM18='INVOCAÇÕES'!$O$444,'DADOS_FORMAS'!$AM18='INVOCAÇÕES'!$P$444,'DADOS_FORMAS'!$AM18='INVOCAÇÕES'!$Q$444,'DADOS_FORMAS'!$AM18='INVOCAÇÕES'!$R$444,'DADOS_FORMAS'!$AM18='INVOCAÇÕES'!$S$444,'DADOS_FORMAS'!$AM18='INVOCAÇÕES'!$O$446,'DADOS_FORMAS'!$AM18='INVOCAÇÕES'!$P$446,'DADOS_FORMAS'!$AM18='INVOCAÇÕES'!$Q$446,'DADOS_FORMAS'!$AM18='INVOCAÇÕES'!$R$446,'DADOS_FORMAS'!$AM18=""),'DADOS_FORMAS'!$AR18),'DADOS_FORMAS'!$AH18,"")</f>
        <v/>
      </c>
      <c r="IQ18">
        <f>IF(OR('DADOS_FORMAS'!$AM18='INVOCAÇÕES'!$O$642,'DADOS_FORMAS'!$AM18='INVOCAÇÕES'!$P$642,'DADOS_FORMAS'!$AM18='INVOCAÇÕES'!$Q$642,'DADOS_FORMAS'!$AM18='INVOCAÇÕES'!$R$642,'DADOS_FORMAS'!$AM18='INVOCAÇÕES'!$S$642,'DADOS_FORMAS'!$AM18='INVOCAÇÕES'!$O$644,'DADOS_FORMAS'!$AM18='INVOCAÇÕES'!$P$644,'DADOS_FORMAS'!$AM18='INVOCAÇÕES'!$Q$644,'DADOS_FORMAS'!$AM18='INVOCAÇÕES'!$R$644,'DADOS_FORMAS'!$AM18=""),'DADOS_FORMAS'!$AH18,"")</f>
        <v/>
      </c>
      <c r="IR18">
        <f>IF(AND(OR('DADOS_FORMAS'!$AM18='INVOCAÇÕES'!$O$642,'DADOS_FORMAS'!$AM18='INVOCAÇÕES'!$P$642,'DADOS_FORMAS'!$AM18='INVOCAÇÕES'!$Q$642,'DADOS_FORMAS'!$AM18='INVOCAÇÕES'!$R$642,'DADOS_FORMAS'!$AM18='INVOCAÇÕES'!$S$642,'DADOS_FORMAS'!$AM18='INVOCAÇÕES'!$O$644,'DADOS_FORMAS'!$AM18='INVOCAÇÕES'!$P$644,'DADOS_FORMAS'!$AM18='INVOCAÇÕES'!$Q$644,'DADOS_FORMAS'!$AM18='INVOCAÇÕES'!$R$644,'DADOS_FORMAS'!$AM18=""),'DADOS_FORMAS'!$AR18),'DADOS_FORMAS'!$AH18,"")</f>
        <v/>
      </c>
      <c r="IT18">
        <f>IF(OR('DADOS_FORMAS'!$AM18='INVOCAÇÕES'!$O$840,'DADOS_FORMAS'!$AM18='INVOCAÇÕES'!$P$840,'DADOS_FORMAS'!$AM18='INVOCAÇÕES'!$Q$840,'DADOS_FORMAS'!$AM18='INVOCAÇÕES'!$R$840,'DADOS_FORMAS'!$AM18='INVOCAÇÕES'!$S$840,'DADOS_FORMAS'!$AM18='INVOCAÇÕES'!$O$842,'DADOS_FORMAS'!$AM18='INVOCAÇÕES'!$P$842,'DADOS_FORMAS'!$AM18='INVOCAÇÕES'!$Q$842,'DADOS_FORMAS'!$AM18='INVOCAÇÕES'!$R$842,'DADOS_FORMAS'!$AM18=""),'DADOS_FORMAS'!$AH18,"")</f>
        <v/>
      </c>
      <c r="IU18">
        <f>IF(AND(OR('DADOS_FORMAS'!$AM18='INVOCAÇÕES'!$O$840,'DADOS_FORMAS'!$AM18='INVOCAÇÕES'!$P$840,'DADOS_FORMAS'!$AM18='INVOCAÇÕES'!$Q$840,'DADOS_FORMAS'!$AM18='INVOCAÇÕES'!$R$840,'DADOS_FORMAS'!$AM18='INVOCAÇÕES'!$S$840,'DADOS_FORMAS'!$AM18='INVOCAÇÕES'!$O$842,'DADOS_FORMAS'!$AM18='INVOCAÇÕES'!$P$842,'DADOS_FORMAS'!$AM18='INVOCAÇÕES'!$Q$842,'DADOS_FORMAS'!$AM18='INVOCAÇÕES'!$R$842,'DADOS_FORMAS'!$AM18=""),'DADOS_FORMAS'!$AR18),'DADOS_FORMAS'!$AH18,"")</f>
        <v/>
      </c>
      <c r="IW18">
        <f>IF(OR('DADOS_FORMAS'!$AM18='INVOCAÇÕES'!$O$1038,'DADOS_FORMAS'!$AM18='INVOCAÇÕES'!$P$1038,'DADOS_FORMAS'!$AM18='INVOCAÇÕES'!$Q$1038,'DADOS_FORMAS'!$AM18='INVOCAÇÕES'!$R$1038,'DADOS_FORMAS'!$AM18='INVOCAÇÕES'!$S$1038,'DADOS_FORMAS'!$AM18='INVOCAÇÕES'!$O$1040,'DADOS_FORMAS'!$AM18='INVOCAÇÕES'!$P$1040,'DADOS_FORMAS'!$AM18='INVOCAÇÕES'!$Q$1040,'DADOS_FORMAS'!$AM18='INVOCAÇÕES'!$R$1040,'DADOS_FORMAS'!$AM18=""),'DADOS_FORMAS'!$AH18,"")</f>
        <v/>
      </c>
      <c r="IX18">
        <f>IF(AND(OR('DADOS_FORMAS'!$AM18='INVOCAÇÕES'!$O$1038,'DADOS_FORMAS'!$AM18='INVOCAÇÕES'!$P$1038,'DADOS_FORMAS'!$AM18='INVOCAÇÕES'!$Q$1038,'DADOS_FORMAS'!$AM18='INVOCAÇÕES'!$R$1038,'DADOS_FORMAS'!$AM18='INVOCAÇÕES'!$S$1038,'DADOS_FORMAS'!$AM18='INVOCAÇÕES'!$O$1040,'DADOS_FORMAS'!$AM18='INVOCAÇÕES'!$P$1040,'DADOS_FORMAS'!$AM18='INVOCAÇÕES'!$Q$1040,'DADOS_FORMAS'!$AM18='INVOCAÇÕES'!$R$1040,'DADOS_FORMAS'!$AM18=""),'DADOS_FORMAS'!$AR18),'DADOS_FORMAS'!$AH18,"")</f>
        <v/>
      </c>
      <c r="IZ18">
        <f>IF(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H18,"")</f>
        <v/>
      </c>
      <c r="JA18">
        <f>IF(AND(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R18),'DADOS_FORMAS'!$AH18,"")</f>
        <v/>
      </c>
      <c r="JC18">
        <f>IF(OR('DADOS_FORMAS'!$AM18='INVOCAÇÕES'!$AH$246,'DADOS_FORMAS'!$AM18='INVOCAÇÕES'!$AI$246,'DADOS_FORMAS'!$AM18='INVOCAÇÕES'!$AJ$246,'DADOS_FORMAS'!$AM18='INVOCAÇÕES'!$AK$246,'DADOS_FORMAS'!$AM18='INVOCAÇÕES'!$AL$246,'DADOS_FORMAS'!$AM18='INVOCAÇÕES'!$AH$248,'DADOS_FORMAS'!$AM18='INVOCAÇÕES'!$AI$248,'DADOS_FORMAS'!$AM18='INVOCAÇÕES'!$AJ$248,'DADOS_FORMAS'!$AM18='INVOCAÇÕES'!$AK$248,'DADOS_FORMAS'!$AM18=""),'DADOS_FORMAS'!$AH18,"")</f>
        <v/>
      </c>
      <c r="JD18">
        <f>IF(AND(OR('DADOS_FORMAS'!$AM18='INVOCAÇÕES'!$AH$246,'DADOS_FORMAS'!$AM18='INVOCAÇÕES'!$AI$246,'DADOS_FORMAS'!$AM18='INVOCAÇÕES'!$AJ$246,'DADOS_FORMAS'!$AM18='INVOCAÇÕES'!$AK$246,'DADOS_FORMAS'!$AM18='INVOCAÇÕES'!$AL$246,'DADOS_FORMAS'!$AM18='INVOCAÇÕES'!$AH$248,'DADOS_FORMAS'!$AM18='INVOCAÇÕES'!$AI$248,'DADOS_FORMAS'!$AM18='INVOCAÇÕES'!$AJ$248,'DADOS_FORMAS'!$AM18='INVOCAÇÕES'!$AK$248,'DADOS_FORMAS'!$AM18=""),'DADOS_FORMAS'!$AR18),'DADOS_FORMAS'!$AH18,"")</f>
        <v/>
      </c>
      <c r="JF18">
        <f>IF(OR('DADOS_FORMAS'!$AM18='INVOCAÇÕES'!$AH$444,'DADOS_FORMAS'!$AM18='INVOCAÇÕES'!$AI$444,'DADOS_FORMAS'!$AM18='INVOCAÇÕES'!$AJ$444,'DADOS_FORMAS'!$AM18='INVOCAÇÕES'!$AK$444,'DADOS_FORMAS'!$AM18='INVOCAÇÕES'!$AL$444,'DADOS_FORMAS'!$AM18='INVOCAÇÕES'!$AH$446,'DADOS_FORMAS'!$AM18='INVOCAÇÕES'!$AI$446,'DADOS_FORMAS'!$AM18='INVOCAÇÕES'!$AJ$446,'DADOS_FORMAS'!$AM18='INVOCAÇÕES'!$AK$446,'DADOS_FORMAS'!$AM18=""),'DADOS_FORMAS'!$AH18,"")</f>
        <v/>
      </c>
      <c r="JG18">
        <f>IF(AND(OR('DADOS_FORMAS'!$AM18='INVOCAÇÕES'!$AH$444,'DADOS_FORMAS'!$AM18='INVOCAÇÕES'!$AI$444,'DADOS_FORMAS'!$AM18='INVOCAÇÕES'!$AJ$444,'DADOS_FORMAS'!$AM18='INVOCAÇÕES'!$AK$444,'DADOS_FORMAS'!$AM18='INVOCAÇÕES'!$AL$444,'DADOS_FORMAS'!$AM18='INVOCAÇÕES'!$AH$446,'DADOS_FORMAS'!$AM18='INVOCAÇÕES'!$AI$446,'DADOS_FORMAS'!$AM18='INVOCAÇÕES'!$AJ$446,'DADOS_FORMAS'!$AM18='INVOCAÇÕES'!$AK$446,'DADOS_FORMAS'!$AM18=""),'DADOS_FORMAS'!$AR18),'DADOS_FORMAS'!$AH18,"")</f>
        <v/>
      </c>
      <c r="JI18">
        <f>IF(OR('DADOS_FORMAS'!$AM18='INVOCAÇÕES'!$AH$642,'DADOS_FORMAS'!$AM18='INVOCAÇÕES'!$AI$642,'DADOS_FORMAS'!$AM18='INVOCAÇÕES'!$AJ$642,'DADOS_FORMAS'!$AM18='INVOCAÇÕES'!$AK$642,'DADOS_FORMAS'!$AM18='INVOCAÇÕES'!$AL$642,'DADOS_FORMAS'!$AM18='INVOCAÇÕES'!$AH$644,'DADOS_FORMAS'!$AM18='INVOCAÇÕES'!$AI$644,'DADOS_FORMAS'!$AM18='INVOCAÇÕES'!$AJ$644,'DADOS_FORMAS'!$AM18='INVOCAÇÕES'!$AK$644,'DADOS_FORMAS'!$AM18=""),'DADOS_FORMAS'!$AH18,"")</f>
        <v/>
      </c>
      <c r="JJ18">
        <f>IF(AND(OR('DADOS_FORMAS'!$AM18='INVOCAÇÕES'!$AH$642,'DADOS_FORMAS'!$AM18='INVOCAÇÕES'!$AI$642,'DADOS_FORMAS'!$AM18='INVOCAÇÕES'!$AJ$642,'DADOS_FORMAS'!$AM18='INVOCAÇÕES'!$AK$642,'DADOS_FORMAS'!$AM18='INVOCAÇÕES'!$AL$642,'DADOS_FORMAS'!$AM18='INVOCAÇÕES'!$AH$644,'DADOS_FORMAS'!$AM18='INVOCAÇÕES'!$AI$644,'DADOS_FORMAS'!$AM18='INVOCAÇÕES'!$AJ$644,'DADOS_FORMAS'!$AM18='INVOCAÇÕES'!$AK$644,'DADOS_FORMAS'!$AM18=""),'DADOS_FORMAS'!$AR18),'DADOS_FORMAS'!$AH18,"")</f>
        <v/>
      </c>
      <c r="JL18">
        <f>IF(OR('DADOS_FORMAS'!$AM18='INVOCAÇÕES'!$AH$840,'DADOS_FORMAS'!$AM18='INVOCAÇÕES'!$AI$840,'DADOS_FORMAS'!$AM18='INVOCAÇÕES'!$AJ$840,'DADOS_FORMAS'!$AM18='INVOCAÇÕES'!$AK$840,'DADOS_FORMAS'!$AM18='INVOCAÇÕES'!$AL$840,'DADOS_FORMAS'!$AM18='INVOCAÇÕES'!$AH$842,'DADOS_FORMAS'!$AM18='INVOCAÇÕES'!$AI$842,'DADOS_FORMAS'!$AM18='INVOCAÇÕES'!$AJ$842,'DADOS_FORMAS'!$AM18='INVOCAÇÕES'!$AK$842,'DADOS_FORMAS'!$AM18=""),'DADOS_FORMAS'!$AH18,"")</f>
        <v/>
      </c>
      <c r="JM18">
        <f>IF(AND(OR('DADOS_FORMAS'!$AM18='INVOCAÇÕES'!$AH$840,'DADOS_FORMAS'!$AM18='INVOCAÇÕES'!$AI$840,'DADOS_FORMAS'!$AM18='INVOCAÇÕES'!$AJ$840,'DADOS_FORMAS'!$AM18='INVOCAÇÕES'!$AK$840,'DADOS_FORMAS'!$AM18='INVOCAÇÕES'!$AL$840,'DADOS_FORMAS'!$AM18='INVOCAÇÕES'!$AH$842,'DADOS_FORMAS'!$AM18='INVOCAÇÕES'!$AI$842,'DADOS_FORMAS'!$AM18='INVOCAÇÕES'!$AJ$842,'DADOS_FORMAS'!$AM18='INVOCAÇÕES'!$AK$842,'DADOS_FORMAS'!$AM18=""),'DADOS_FORMAS'!$AR18),'DADOS_FORMAS'!$AH18,"")</f>
        <v/>
      </c>
      <c r="JO18">
        <f>IF(OR('DADOS_FORMAS'!$AM18='INVOCAÇÕES'!$AH$1038,'DADOS_FORMAS'!$AM18='INVOCAÇÕES'!$AI$1038,'DADOS_FORMAS'!$AM18='INVOCAÇÕES'!$AJ$1038,'DADOS_FORMAS'!$AM18='INVOCAÇÕES'!$AK$1038,'DADOS_FORMAS'!$AM18='INVOCAÇÕES'!$AL$1038,'DADOS_FORMAS'!$AM18='INVOCAÇÕES'!$AH$1040,'DADOS_FORMAS'!$AM18='INVOCAÇÕES'!$AI$1040,'DADOS_FORMAS'!$AM18='INVOCAÇÕES'!$AJ$1040,'DADOS_FORMAS'!$AM18='INVOCAÇÕES'!$AK$1040,'DADOS_FORMAS'!$AM18=""),'DADOS_FORMAS'!$AH18,"")</f>
        <v/>
      </c>
      <c r="JP18">
        <f>IF(AND(OR('DADOS_FORMAS'!$AM18='INVOCAÇÕES'!$AH$1038,'DADOS_FORMAS'!$AM18='INVOCAÇÕES'!$AI$1038,'DADOS_FORMAS'!$AM18='INVOCAÇÕES'!$AJ$1038,'DADOS_FORMAS'!$AM18='INVOCAÇÕES'!$AK$1038,'DADOS_FORMAS'!$AM18='INVOCAÇÕES'!$AL$1038,'DADOS_FORMAS'!$AM18='INVOCAÇÕES'!$AH$1040,'DADOS_FORMAS'!$AM18='INVOCAÇÕES'!$AI$1040,'DADOS_FORMAS'!$AM18='INVOCAÇÕES'!$AJ$1040,'DADOS_FORMAS'!$AM18='INVOCAÇÕES'!$AK$1040,'DADOS_FORMAS'!$AM18=""),'DADOS_FORMAS'!$AR18),'DADOS_FORMAS'!$AH18,"")</f>
        <v/>
      </c>
      <c r="JZ18">
        <f>IFERROR(INDEX('DADOS_CRIACAO'!$H$2:$H$20,16),"")</f>
        <v/>
      </c>
      <c r="KA18">
        <f>IFERROR(INDEX(INDEX('DADOS_RESTRICOES'!$M$2:$Q$54,0,1),16),"")</f>
        <v/>
      </c>
    </row>
    <row r="19">
      <c r="AG19">
        <f>IF(AND($AF9,$AD9=""),$BV9,"")</f>
        <v/>
      </c>
      <c r="AH19">
        <f>IF(AND($AF9,$AD9=""),$BW9,"")</f>
        <v/>
      </c>
      <c r="AI19">
        <f>IF(AND($AF9,$AD9=""),$BX9,"")</f>
        <v/>
      </c>
      <c r="AJ19">
        <f>IF(AND($AF9,$AD9=""),$BY9,FALSE)</f>
        <v/>
      </c>
      <c r="AK19">
        <f>IF(AND($AF9,$AD9=""),$BZ9,"")</f>
        <v/>
      </c>
      <c r="AL19">
        <f>IF(AND($AF9,$AD9=""),$CA9,"")</f>
        <v/>
      </c>
      <c r="AM19">
        <f>IF(AND($AF9,$AD9=""),$CB9,"")</f>
        <v/>
      </c>
      <c r="AN19">
        <f>IF(AND($AF9,$AD9=""),$CC9,0)</f>
        <v/>
      </c>
      <c r="AO19">
        <f>IF(AND($AF9,$AD9=""),$CD9,"")</f>
        <v/>
      </c>
      <c r="AP19">
        <f>IF(AND($AF9,$AD9=""),$CE9,0)</f>
        <v/>
      </c>
      <c r="AQ19">
        <f>IF(AND($AF9,$AD9=""),$CF9,FALSE)</f>
        <v/>
      </c>
      <c r="AR19">
        <f>IF(AND($AF9,$AD9=""),$CG9,FALSE)</f>
        <v/>
      </c>
      <c r="AS19">
        <f>IF(AND($AF9,$AD9=""),$CH9,"")</f>
        <v/>
      </c>
      <c r="AT19">
        <f>IF(AND($AF9,$AD9=""),$CI9,"")</f>
        <v/>
      </c>
      <c r="AU19">
        <f>IF(AND($AF9,$AD9=""),$CJ9,"")</f>
        <v/>
      </c>
      <c r="AV19">
        <f>IF(AND($AF9,$AD9=""),$CK9,"")</f>
        <v/>
      </c>
      <c r="AW19">
        <f>IF(AND($AF9,$AD9=""),$CL9,"")</f>
        <v/>
      </c>
      <c r="AX19">
        <f>IF(AND($AF9,$AD9=""),$CM9,"")</f>
        <v/>
      </c>
      <c r="AY19">
        <f>IF(AND($AF9,$AD9=""),$CN9,"")</f>
        <v/>
      </c>
      <c r="AZ19">
        <f>IF(AND($AF9,$AD9=""),$CO9,"")</f>
        <v/>
      </c>
      <c r="BA19">
        <f>IF(AND($AF9,$AD9=""),$CP9,"")</f>
        <v/>
      </c>
      <c r="BB19">
        <f>IF(AND($AF9,$AD9=""),$CQ9,"")</f>
        <v/>
      </c>
      <c r="BC19">
        <f>IF(AND($AF9,$AD9=""),$CR9,"")</f>
        <v/>
      </c>
      <c r="BD19">
        <f>IF(AND($AF9,$AD9=""),$CS9,"")</f>
        <v/>
      </c>
      <c r="BE19">
        <f>IF(AND($AF9,$AD9=""),$CT9,"")</f>
        <v/>
      </c>
      <c r="BF19">
        <f>IF(AND($AF9,$AD9=""),$CU9,"")</f>
        <v/>
      </c>
      <c r="BG19">
        <f>IF(AND($AF9,$AD9=""),$CV9,"")</f>
        <v/>
      </c>
      <c r="BH19">
        <f>IF(AND($AF9,$AD9=""),$CW9,"")</f>
        <v/>
      </c>
      <c r="BI19">
        <f>IF(AND($AF9,$AD9=""),$CX9,"")</f>
        <v/>
      </c>
      <c r="BJ19">
        <f>IF(AND($AF9,$AD9=""),$CY9,"")</f>
        <v/>
      </c>
      <c r="BK19">
        <f>IF(AND($AF9,$AD9=""),$CZ9,0)</f>
        <v/>
      </c>
      <c r="BL19">
        <f>IF(AND($AF9,$AD9=""),$DA9,"")</f>
        <v/>
      </c>
      <c r="BM19">
        <f>IF(AND($AF9,$AD9=""),$DB9,"")</f>
        <v/>
      </c>
      <c r="BN19">
        <f>IF(AND($AF9,$AD9=""),$DC9,"")</f>
        <v/>
      </c>
      <c r="BO19">
        <f>IF(AND($AF9,$AD9=""),$DD9,0)</f>
        <v/>
      </c>
      <c r="BP19">
        <f>IF(AND($AF9,$AD9=""),$DE9,"")</f>
        <v/>
      </c>
      <c r="BQ19">
        <f>IF(AND($AF9,$AD9=""),$DF9,"")</f>
        <v/>
      </c>
      <c r="BR19">
        <f>IF(AND($AF9,$AD9=""),$DG9,"")</f>
        <v/>
      </c>
      <c r="BS19">
        <f>IF(AND($AF9,$AD9=""),$DH9,0)</f>
        <v/>
      </c>
      <c r="FJ19">
        <f>'DADOS_FORMAS'!$AH19</f>
        <v/>
      </c>
      <c r="FK19">
        <f>'DADOS_FORMAS'!$AM19</f>
        <v/>
      </c>
      <c r="FL19">
        <f>'DADOS_FORMAS'!$AN19</f>
        <v/>
      </c>
      <c r="FM19">
        <f>IF('DADOS_FORMAS'!$AN19=0,0,'DADOS_FORMAS'!$AN19+3*IFERROR(VLOOKUP(SUBSTITUTE(SUBSTITUTE(SUBSTITUTE('DADOS_FORMAS'!$AM19,"~","~~"),"*","~*"),"?","~?"),'DADOS_CRIACAO'!$H$2:$K$20,3,FALSE),0))</f>
        <v/>
      </c>
      <c r="FN19">
        <f>IFERROR(VLOOKUP(SUBSTITUTE(SUBSTITUTE(SUBSTITUTE('DADOS_FORMAS'!$AM19,"~","~~"),"*","~*"),"?","~?"),'DADOS_CRIACAO'!$H$2:$K$20,4,FALSE),0)</f>
        <v/>
      </c>
      <c r="FO19">
        <f>IF('DADOS_FORMAS'!$AS19="",0,1)</f>
        <v/>
      </c>
      <c r="FP19">
        <f>'DADOS_FORMAS'!$AP19</f>
        <v/>
      </c>
      <c r="FQ19">
        <f>IF(AND('DADOS_FORMAS'!$AO19="Acerto",'DADOS_FORMAS'!$AQ19),"Acerto + TR",'DADOS_FORMAS'!$AO19)</f>
        <v/>
      </c>
      <c r="FR19">
        <f>N(OR('DADOS_FORMAS'!$AQ19,'DADOS_FORMAS'!$AO19="TR, metade"))</f>
        <v/>
      </c>
      <c r="FS19">
        <f>'DADOS_FORMAS'!$BO19</f>
        <v/>
      </c>
      <c r="FT19">
        <f>'DADOS_FORMAS'!$BS19</f>
        <v/>
      </c>
      <c r="FU19">
        <f>'DADOS_FORMAS'!$BK19</f>
        <v/>
      </c>
      <c r="FV19">
        <f>N('DADOS_FORMAS'!$AR19)</f>
        <v/>
      </c>
      <c r="FW19">
        <f>IF(IFERROR(VLOOKUP(SUBSTITUTE(SUBSTITUTE(SUBSTITUTE('DADOS_FORMAS'!$AM19,"~","~~"),"*","~*"),"?","~?"),'DADOS_CRIACAO'!$H$2:$K$20,4,FALSE),0)=1,"",'DADOS_FORMAS'!$AH19)</f>
        <v/>
      </c>
      <c r="FX19">
        <f>IF(AND('DADOS_FORMAS'!$AR19,IFERROR(VLOOKUP(SUBSTITUTE(SUBSTITUTE(SUBSTITUTE('DADOS_FORMAS'!$AM19,"~","~~"),"*","~*"),"?","~?"),'DADOS_CRIACAO'!$H$2:$K$20,4,FALSE),0)=0),'DADOS_FORMAS'!$AH19,"")</f>
        <v/>
      </c>
      <c r="FZ19">
        <f>'DADOS_FORMAS'!$AH19</f>
        <v/>
      </c>
      <c r="GA19">
        <f>'DADOS_FORMAS'!$AM19</f>
        <v/>
      </c>
      <c r="GB19">
        <f>'DADOS_FORMAS'!$AN19</f>
        <v/>
      </c>
      <c r="GC19">
        <f>IF('DADOS_FORMAS'!$AS19="",0,1)</f>
        <v/>
      </c>
      <c r="GD19">
        <f>'DADOS_FORMAS'!$AP19</f>
        <v/>
      </c>
      <c r="GE19">
        <f>IF('DADOS_FORMAS'!$AO19="Acerto","Ataque",IF('DADOS_FORMAS'!$AQ19,"TR","—"))</f>
        <v/>
      </c>
      <c r="GF19">
        <f>N(OR('DADOS_FORMAS'!$AQ19,'DADOS_FORMAS'!$AO19="TR, metade"))</f>
        <v/>
      </c>
      <c r="GG19">
        <f>'DADOS_FORMAS'!$BO19</f>
        <v/>
      </c>
      <c r="GH19">
        <f>'DADOS_FORMAS'!$BS19</f>
        <v/>
      </c>
      <c r="GI19">
        <f>'DADOS_FORMAS'!$BK19</f>
        <v/>
      </c>
      <c r="GJ19">
        <f>N('DADOS_FORMAS'!$AR19)</f>
        <v/>
      </c>
      <c r="GR19">
        <f>'DADOS_FORMAS'!$BP14</f>
        <v/>
      </c>
      <c r="GS19">
        <f>IF('DADOS_FORMAS'!$BP14="area",'DADOS_FORMAS'!$AU14,'DADOS_FORMAS'!$AT14)</f>
        <v/>
      </c>
      <c r="GT19">
        <f>IF('DADOS_FORMAS'!$BP14="area",'DADOS_FORMAS'!$BE14,'DADOS_FORMAS'!$AX14)</f>
        <v/>
      </c>
      <c r="GU19">
        <f>'DADOS_FORMAS'!$BQ14</f>
        <v/>
      </c>
      <c r="GV19">
        <f>'DADOS_FORMAS'!$BR14</f>
        <v/>
      </c>
      <c r="GW19">
        <f>LET(base,'DADOS_FORMAS'!$GT19,escada,'DADOS_FORMAS'!$GS19,medida,LEFT(base,MAX(0,LEN(base)-2)),valor,IFERROR(VALUE(SUBSTITUTE(medida,",",""))/10^IFERROR(LEN(medida)-FIND(",",medida),0),1E99),IF(OR(escada="Fixo",base="—"),base,IF(escada="alcance",IFERROR(MATCH(base,{"1,5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9" t="inlineStr">
        <is>
          <t>Linha · classes 6 e 7</t>
        </is>
      </c>
      <c r="GZ19" t="inlineStr">
        <is>
          <t>Linha de 30 m por 1,5 m</t>
        </is>
      </c>
      <c r="HA19" t="inlineStr">
        <is>
          <t>Linha de 60 m por 1,5 m</t>
        </is>
      </c>
      <c r="HB19" t="inlineStr">
        <is>
          <t>Linha de 60 m por 1,5 m</t>
        </is>
      </c>
      <c r="HC19" t="inlineStr">
        <is>
          <t>Linha de 60 m por 1,5 m</t>
        </is>
      </c>
      <c r="HD19" t="inlineStr">
        <is>
          <t>Linha de 60 m por 1,5 m</t>
        </is>
      </c>
      <c r="HE19" t="inlineStr">
        <is>
          <t>Linha de 60 m por 1,5 m</t>
        </is>
      </c>
      <c r="HF19" t="inlineStr"/>
      <c r="HG19" t="inlineStr"/>
      <c r="HH19" t="inlineStr"/>
      <c r="HI19" t="inlineStr"/>
      <c r="HJ19" t="inlineStr"/>
      <c r="HK19" t="inlineStr"/>
      <c r="HM19">
        <f>'DADOS_FORMAS'!$BP14</f>
        <v/>
      </c>
      <c r="HN19">
        <f>IF('DADOS_FORMAS'!$BP14="area",'DADOS_FORMAS'!$AU14,'DADOS_FORMAS'!$AT14)</f>
        <v/>
      </c>
      <c r="HO19">
        <f>IF('DADOS_FORMAS'!$BP14="area",'DADOS_FORMAS'!$BF14,'DADOS_FORMAS'!$AY14)</f>
        <v/>
      </c>
      <c r="HP19">
        <f>'DADOS_FORMAS'!$BQ14</f>
        <v/>
      </c>
      <c r="HQ19">
        <f>'DADOS_FORMAS'!$BR14</f>
        <v/>
      </c>
      <c r="HR19">
        <f>LET(base,'DADOS_FORMAS'!$HO19,escada,'DADOS_FORMAS'!$HN19,medida,LEFT(base,MAX(0,LEN(base)-2)),valor,IFERROR(VALUE(SUBSTITUTE(medida,",",""))/10^IFERROR(LEN(medida)-FIND(",",medida),0),1E99),IF(OR(escada="Fixo",base="—"),base,IF(escada="alcance",IFERROR(MATCH(base,{"1,5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9" t="inlineStr">
        <is>
          <t>Cone · classes 1 a 5</t>
        </is>
      </c>
      <c r="HU19" t="inlineStr">
        <is>
          <t>Cone de 4,5 m</t>
        </is>
      </c>
      <c r="HV19" t="inlineStr">
        <is>
          <t>Cone de 9 m</t>
        </is>
      </c>
      <c r="HW19" t="inlineStr">
        <is>
          <t>Cone de 18 m</t>
        </is>
      </c>
      <c r="HX19" t="inlineStr">
        <is>
          <t>Cone de 30 m</t>
        </is>
      </c>
      <c r="HY19" t="inlineStr">
        <is>
          <t>Cone de 60 m</t>
        </is>
      </c>
      <c r="HZ19" t="inlineStr">
        <is>
          <t>Cone de 60 m</t>
        </is>
      </c>
      <c r="IA19" t="inlineStr"/>
      <c r="IB19" t="inlineStr"/>
      <c r="IC19" t="inlineStr"/>
      <c r="ID19" t="inlineStr"/>
      <c r="IE19" t="inlineStr"/>
      <c r="IF19" t="inlineStr"/>
      <c r="IH19">
        <f>IF(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H19,"")</f>
        <v/>
      </c>
      <c r="II19">
        <f>IF(AND(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R19),'DADOS_FORMAS'!$AH19,"")</f>
        <v/>
      </c>
      <c r="IK19">
        <f>IF(OR('DADOS_FORMAS'!$AM19='INVOCAÇÕES'!$O$246,'DADOS_FORMAS'!$AM19='INVOCAÇÕES'!$P$246,'DADOS_FORMAS'!$AM19='INVOCAÇÕES'!$Q$246,'DADOS_FORMAS'!$AM19='INVOCAÇÕES'!$R$246,'DADOS_FORMAS'!$AM19='INVOCAÇÕES'!$S$246,'DADOS_FORMAS'!$AM19='INVOCAÇÕES'!$O$248,'DADOS_FORMAS'!$AM19='INVOCAÇÕES'!$P$248,'DADOS_FORMAS'!$AM19='INVOCAÇÕES'!$Q$248,'DADOS_FORMAS'!$AM19='INVOCAÇÕES'!$R$248,'DADOS_FORMAS'!$AM19=""),'DADOS_FORMAS'!$AH19,"")</f>
        <v/>
      </c>
      <c r="IL19">
        <f>IF(AND(OR('DADOS_FORMAS'!$AM19='INVOCAÇÕES'!$O$246,'DADOS_FORMAS'!$AM19='INVOCAÇÕES'!$P$246,'DADOS_FORMAS'!$AM19='INVOCAÇÕES'!$Q$246,'DADOS_FORMAS'!$AM19='INVOCAÇÕES'!$R$246,'DADOS_FORMAS'!$AM19='INVOCAÇÕES'!$S$246,'DADOS_FORMAS'!$AM19='INVOCAÇÕES'!$O$248,'DADOS_FORMAS'!$AM19='INVOCAÇÕES'!$P$248,'DADOS_FORMAS'!$AM19='INVOCAÇÕES'!$Q$248,'DADOS_FORMAS'!$AM19='INVOCAÇÕES'!$R$248,'DADOS_FORMAS'!$AM19=""),'DADOS_FORMAS'!$AR19),'DADOS_FORMAS'!$AH19,"")</f>
        <v/>
      </c>
      <c r="IN19">
        <f>IF(OR('DADOS_FORMAS'!$AM19='INVOCAÇÕES'!$O$444,'DADOS_FORMAS'!$AM19='INVOCAÇÕES'!$P$444,'DADOS_FORMAS'!$AM19='INVOCAÇÕES'!$Q$444,'DADOS_FORMAS'!$AM19='INVOCAÇÕES'!$R$444,'DADOS_FORMAS'!$AM19='INVOCAÇÕES'!$S$444,'DADOS_FORMAS'!$AM19='INVOCAÇÕES'!$O$446,'DADOS_FORMAS'!$AM19='INVOCAÇÕES'!$P$446,'DADOS_FORMAS'!$AM19='INVOCAÇÕES'!$Q$446,'DADOS_FORMAS'!$AM19='INVOCAÇÕES'!$R$446,'DADOS_FORMAS'!$AM19=""),'DADOS_FORMAS'!$AH19,"")</f>
        <v/>
      </c>
      <c r="IO19">
        <f>IF(AND(OR('DADOS_FORMAS'!$AM19='INVOCAÇÕES'!$O$444,'DADOS_FORMAS'!$AM19='INVOCAÇÕES'!$P$444,'DADOS_FORMAS'!$AM19='INVOCAÇÕES'!$Q$444,'DADOS_FORMAS'!$AM19='INVOCAÇÕES'!$R$444,'DADOS_FORMAS'!$AM19='INVOCAÇÕES'!$S$444,'DADOS_FORMAS'!$AM19='INVOCAÇÕES'!$O$446,'DADOS_FORMAS'!$AM19='INVOCAÇÕES'!$P$446,'DADOS_FORMAS'!$AM19='INVOCAÇÕES'!$Q$446,'DADOS_FORMAS'!$AM19='INVOCAÇÕES'!$R$446,'DADOS_FORMAS'!$AM19=""),'DADOS_FORMAS'!$AR19),'DADOS_FORMAS'!$AH19,"")</f>
        <v/>
      </c>
      <c r="IQ19">
        <f>IF(OR('DADOS_FORMAS'!$AM19='INVOCAÇÕES'!$O$642,'DADOS_FORMAS'!$AM19='INVOCAÇÕES'!$P$642,'DADOS_FORMAS'!$AM19='INVOCAÇÕES'!$Q$642,'DADOS_FORMAS'!$AM19='INVOCAÇÕES'!$R$642,'DADOS_FORMAS'!$AM19='INVOCAÇÕES'!$S$642,'DADOS_FORMAS'!$AM19='INVOCAÇÕES'!$O$644,'DADOS_FORMAS'!$AM19='INVOCAÇÕES'!$P$644,'DADOS_FORMAS'!$AM19='INVOCAÇÕES'!$Q$644,'DADOS_FORMAS'!$AM19='INVOCAÇÕES'!$R$644,'DADOS_FORMAS'!$AM19=""),'DADOS_FORMAS'!$AH19,"")</f>
        <v/>
      </c>
      <c r="IR19">
        <f>IF(AND(OR('DADOS_FORMAS'!$AM19='INVOCAÇÕES'!$O$642,'DADOS_FORMAS'!$AM19='INVOCAÇÕES'!$P$642,'DADOS_FORMAS'!$AM19='INVOCAÇÕES'!$Q$642,'DADOS_FORMAS'!$AM19='INVOCAÇÕES'!$R$642,'DADOS_FORMAS'!$AM19='INVOCAÇÕES'!$S$642,'DADOS_FORMAS'!$AM19='INVOCAÇÕES'!$O$644,'DADOS_FORMAS'!$AM19='INVOCAÇÕES'!$P$644,'DADOS_FORMAS'!$AM19='INVOCAÇÕES'!$Q$644,'DADOS_FORMAS'!$AM19='INVOCAÇÕES'!$R$644,'DADOS_FORMAS'!$AM19=""),'DADOS_FORMAS'!$AR19),'DADOS_FORMAS'!$AH19,"")</f>
        <v/>
      </c>
      <c r="IT19">
        <f>IF(OR('DADOS_FORMAS'!$AM19='INVOCAÇÕES'!$O$840,'DADOS_FORMAS'!$AM19='INVOCAÇÕES'!$P$840,'DADOS_FORMAS'!$AM19='INVOCAÇÕES'!$Q$840,'DADOS_FORMAS'!$AM19='INVOCAÇÕES'!$R$840,'DADOS_FORMAS'!$AM19='INVOCAÇÕES'!$S$840,'DADOS_FORMAS'!$AM19='INVOCAÇÕES'!$O$842,'DADOS_FORMAS'!$AM19='INVOCAÇÕES'!$P$842,'DADOS_FORMAS'!$AM19='INVOCAÇÕES'!$Q$842,'DADOS_FORMAS'!$AM19='INVOCAÇÕES'!$R$842,'DADOS_FORMAS'!$AM19=""),'DADOS_FORMAS'!$AH19,"")</f>
        <v/>
      </c>
      <c r="IU19">
        <f>IF(AND(OR('DADOS_FORMAS'!$AM19='INVOCAÇÕES'!$O$840,'DADOS_FORMAS'!$AM19='INVOCAÇÕES'!$P$840,'DADOS_FORMAS'!$AM19='INVOCAÇÕES'!$Q$840,'DADOS_FORMAS'!$AM19='INVOCAÇÕES'!$R$840,'DADOS_FORMAS'!$AM19='INVOCAÇÕES'!$S$840,'DADOS_FORMAS'!$AM19='INVOCAÇÕES'!$O$842,'DADOS_FORMAS'!$AM19='INVOCAÇÕES'!$P$842,'DADOS_FORMAS'!$AM19='INVOCAÇÕES'!$Q$842,'DADOS_FORMAS'!$AM19='INVOCAÇÕES'!$R$842,'DADOS_FORMAS'!$AM19=""),'DADOS_FORMAS'!$AR19),'DADOS_FORMAS'!$AH19,"")</f>
        <v/>
      </c>
      <c r="IW19">
        <f>IF(OR('DADOS_FORMAS'!$AM19='INVOCAÇÕES'!$O$1038,'DADOS_FORMAS'!$AM19='INVOCAÇÕES'!$P$1038,'DADOS_FORMAS'!$AM19='INVOCAÇÕES'!$Q$1038,'DADOS_FORMAS'!$AM19='INVOCAÇÕES'!$R$1038,'DADOS_FORMAS'!$AM19='INVOCAÇÕES'!$S$1038,'DADOS_FORMAS'!$AM19='INVOCAÇÕES'!$O$1040,'DADOS_FORMAS'!$AM19='INVOCAÇÕES'!$P$1040,'DADOS_FORMAS'!$AM19='INVOCAÇÕES'!$Q$1040,'DADOS_FORMAS'!$AM19='INVOCAÇÕES'!$R$1040,'DADOS_FORMAS'!$AM19=""),'DADOS_FORMAS'!$AH19,"")</f>
        <v/>
      </c>
      <c r="IX19">
        <f>IF(AND(OR('DADOS_FORMAS'!$AM19='INVOCAÇÕES'!$O$1038,'DADOS_FORMAS'!$AM19='INVOCAÇÕES'!$P$1038,'DADOS_FORMAS'!$AM19='INVOCAÇÕES'!$Q$1038,'DADOS_FORMAS'!$AM19='INVOCAÇÕES'!$R$1038,'DADOS_FORMAS'!$AM19='INVOCAÇÕES'!$S$1038,'DADOS_FORMAS'!$AM19='INVOCAÇÕES'!$O$1040,'DADOS_FORMAS'!$AM19='INVOCAÇÕES'!$P$1040,'DADOS_FORMAS'!$AM19='INVOCAÇÕES'!$Q$1040,'DADOS_FORMAS'!$AM19='INVOCAÇÕES'!$R$1040,'DADOS_FORMAS'!$AM19=""),'DADOS_FORMAS'!$AR19),'DADOS_FORMAS'!$AH19,"")</f>
        <v/>
      </c>
      <c r="IZ19">
        <f>IF(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H19,"")</f>
        <v/>
      </c>
      <c r="JA19">
        <f>IF(AND(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R19),'DADOS_FORMAS'!$AH19,"")</f>
        <v/>
      </c>
      <c r="JC19">
        <f>IF(OR('DADOS_FORMAS'!$AM19='INVOCAÇÕES'!$AH$246,'DADOS_FORMAS'!$AM19='INVOCAÇÕES'!$AI$246,'DADOS_FORMAS'!$AM19='INVOCAÇÕES'!$AJ$246,'DADOS_FORMAS'!$AM19='INVOCAÇÕES'!$AK$246,'DADOS_FORMAS'!$AM19='INVOCAÇÕES'!$AL$246,'DADOS_FORMAS'!$AM19='INVOCAÇÕES'!$AH$248,'DADOS_FORMAS'!$AM19='INVOCAÇÕES'!$AI$248,'DADOS_FORMAS'!$AM19='INVOCAÇÕES'!$AJ$248,'DADOS_FORMAS'!$AM19='INVOCAÇÕES'!$AK$248,'DADOS_FORMAS'!$AM19=""),'DADOS_FORMAS'!$AH19,"")</f>
        <v/>
      </c>
      <c r="JD19">
        <f>IF(AND(OR('DADOS_FORMAS'!$AM19='INVOCAÇÕES'!$AH$246,'DADOS_FORMAS'!$AM19='INVOCAÇÕES'!$AI$246,'DADOS_FORMAS'!$AM19='INVOCAÇÕES'!$AJ$246,'DADOS_FORMAS'!$AM19='INVOCAÇÕES'!$AK$246,'DADOS_FORMAS'!$AM19='INVOCAÇÕES'!$AL$246,'DADOS_FORMAS'!$AM19='INVOCAÇÕES'!$AH$248,'DADOS_FORMAS'!$AM19='INVOCAÇÕES'!$AI$248,'DADOS_FORMAS'!$AM19='INVOCAÇÕES'!$AJ$248,'DADOS_FORMAS'!$AM19='INVOCAÇÕES'!$AK$248,'DADOS_FORMAS'!$AM19=""),'DADOS_FORMAS'!$AR19),'DADOS_FORMAS'!$AH19,"")</f>
        <v/>
      </c>
      <c r="JF19">
        <f>IF(OR('DADOS_FORMAS'!$AM19='INVOCAÇÕES'!$AH$444,'DADOS_FORMAS'!$AM19='INVOCAÇÕES'!$AI$444,'DADOS_FORMAS'!$AM19='INVOCAÇÕES'!$AJ$444,'DADOS_FORMAS'!$AM19='INVOCAÇÕES'!$AK$444,'DADOS_FORMAS'!$AM19='INVOCAÇÕES'!$AL$444,'DADOS_FORMAS'!$AM19='INVOCAÇÕES'!$AH$446,'DADOS_FORMAS'!$AM19='INVOCAÇÕES'!$AI$446,'DADOS_FORMAS'!$AM19='INVOCAÇÕES'!$AJ$446,'DADOS_FORMAS'!$AM19='INVOCAÇÕES'!$AK$446,'DADOS_FORMAS'!$AM19=""),'DADOS_FORMAS'!$AH19,"")</f>
        <v/>
      </c>
      <c r="JG19">
        <f>IF(AND(OR('DADOS_FORMAS'!$AM19='INVOCAÇÕES'!$AH$444,'DADOS_FORMAS'!$AM19='INVOCAÇÕES'!$AI$444,'DADOS_FORMAS'!$AM19='INVOCAÇÕES'!$AJ$444,'DADOS_FORMAS'!$AM19='INVOCAÇÕES'!$AK$444,'DADOS_FORMAS'!$AM19='INVOCAÇÕES'!$AL$444,'DADOS_FORMAS'!$AM19='INVOCAÇÕES'!$AH$446,'DADOS_FORMAS'!$AM19='INVOCAÇÕES'!$AI$446,'DADOS_FORMAS'!$AM19='INVOCAÇÕES'!$AJ$446,'DADOS_FORMAS'!$AM19='INVOCAÇÕES'!$AK$446,'DADOS_FORMAS'!$AM19=""),'DADOS_FORMAS'!$AR19),'DADOS_FORMAS'!$AH19,"")</f>
        <v/>
      </c>
      <c r="JI19">
        <f>IF(OR('DADOS_FORMAS'!$AM19='INVOCAÇÕES'!$AH$642,'DADOS_FORMAS'!$AM19='INVOCAÇÕES'!$AI$642,'DADOS_FORMAS'!$AM19='INVOCAÇÕES'!$AJ$642,'DADOS_FORMAS'!$AM19='INVOCAÇÕES'!$AK$642,'DADOS_FORMAS'!$AM19='INVOCAÇÕES'!$AL$642,'DADOS_FORMAS'!$AM19='INVOCAÇÕES'!$AH$644,'DADOS_FORMAS'!$AM19='INVOCAÇÕES'!$AI$644,'DADOS_FORMAS'!$AM19='INVOCAÇÕES'!$AJ$644,'DADOS_FORMAS'!$AM19='INVOCAÇÕES'!$AK$644,'DADOS_FORMAS'!$AM19=""),'DADOS_FORMAS'!$AH19,"")</f>
        <v/>
      </c>
      <c r="JJ19">
        <f>IF(AND(OR('DADOS_FORMAS'!$AM19='INVOCAÇÕES'!$AH$642,'DADOS_FORMAS'!$AM19='INVOCAÇÕES'!$AI$642,'DADOS_FORMAS'!$AM19='INVOCAÇÕES'!$AJ$642,'DADOS_FORMAS'!$AM19='INVOCAÇÕES'!$AK$642,'DADOS_FORMAS'!$AM19='INVOCAÇÕES'!$AL$642,'DADOS_FORMAS'!$AM19='INVOCAÇÕES'!$AH$644,'DADOS_FORMAS'!$AM19='INVOCAÇÕES'!$AI$644,'DADOS_FORMAS'!$AM19='INVOCAÇÕES'!$AJ$644,'DADOS_FORMAS'!$AM19='INVOCAÇÕES'!$AK$644,'DADOS_FORMAS'!$AM19=""),'DADOS_FORMAS'!$AR19),'DADOS_FORMAS'!$AH19,"")</f>
        <v/>
      </c>
      <c r="JL19">
        <f>IF(OR('DADOS_FORMAS'!$AM19='INVOCAÇÕES'!$AH$840,'DADOS_FORMAS'!$AM19='INVOCAÇÕES'!$AI$840,'DADOS_FORMAS'!$AM19='INVOCAÇÕES'!$AJ$840,'DADOS_FORMAS'!$AM19='INVOCAÇÕES'!$AK$840,'DADOS_FORMAS'!$AM19='INVOCAÇÕES'!$AL$840,'DADOS_FORMAS'!$AM19='INVOCAÇÕES'!$AH$842,'DADOS_FORMAS'!$AM19='INVOCAÇÕES'!$AI$842,'DADOS_FORMAS'!$AM19='INVOCAÇÕES'!$AJ$842,'DADOS_FORMAS'!$AM19='INVOCAÇÕES'!$AK$842,'DADOS_FORMAS'!$AM19=""),'DADOS_FORMAS'!$AH19,"")</f>
        <v/>
      </c>
      <c r="JM19">
        <f>IF(AND(OR('DADOS_FORMAS'!$AM19='INVOCAÇÕES'!$AH$840,'DADOS_FORMAS'!$AM19='INVOCAÇÕES'!$AI$840,'DADOS_FORMAS'!$AM19='INVOCAÇÕES'!$AJ$840,'DADOS_FORMAS'!$AM19='INVOCAÇÕES'!$AK$840,'DADOS_FORMAS'!$AM19='INVOCAÇÕES'!$AL$840,'DADOS_FORMAS'!$AM19='INVOCAÇÕES'!$AH$842,'DADOS_FORMAS'!$AM19='INVOCAÇÕES'!$AI$842,'DADOS_FORMAS'!$AM19='INVOCAÇÕES'!$AJ$842,'DADOS_FORMAS'!$AM19='INVOCAÇÕES'!$AK$842,'DADOS_FORMAS'!$AM19=""),'DADOS_FORMAS'!$AR19),'DADOS_FORMAS'!$AH19,"")</f>
        <v/>
      </c>
      <c r="JO19">
        <f>IF(OR('DADOS_FORMAS'!$AM19='INVOCAÇÕES'!$AH$1038,'DADOS_FORMAS'!$AM19='INVOCAÇÕES'!$AI$1038,'DADOS_FORMAS'!$AM19='INVOCAÇÕES'!$AJ$1038,'DADOS_FORMAS'!$AM19='INVOCAÇÕES'!$AK$1038,'DADOS_FORMAS'!$AM19='INVOCAÇÕES'!$AL$1038,'DADOS_FORMAS'!$AM19='INVOCAÇÕES'!$AH$1040,'DADOS_FORMAS'!$AM19='INVOCAÇÕES'!$AI$1040,'DADOS_FORMAS'!$AM19='INVOCAÇÕES'!$AJ$1040,'DADOS_FORMAS'!$AM19='INVOCAÇÕES'!$AK$1040,'DADOS_FORMAS'!$AM19=""),'DADOS_FORMAS'!$AH19,"")</f>
        <v/>
      </c>
      <c r="JP19">
        <f>IF(AND(OR('DADOS_FORMAS'!$AM19='INVOCAÇÕES'!$AH$1038,'DADOS_FORMAS'!$AM19='INVOCAÇÕES'!$AI$1038,'DADOS_FORMAS'!$AM19='INVOCAÇÕES'!$AJ$1038,'DADOS_FORMAS'!$AM19='INVOCAÇÕES'!$AK$1038,'DADOS_FORMAS'!$AM19='INVOCAÇÕES'!$AL$1038,'DADOS_FORMAS'!$AM19='INVOCAÇÕES'!$AH$1040,'DADOS_FORMAS'!$AM19='INVOCAÇÕES'!$AI$1040,'DADOS_FORMAS'!$AM19='INVOCAÇÕES'!$AJ$1040,'DADOS_FORMAS'!$AM19='INVOCAÇÕES'!$AK$1040,'DADOS_FORMAS'!$AM19=""),'DADOS_FORMAS'!$AR19),'DADOS_FORMAS'!$AH19,"")</f>
        <v/>
      </c>
      <c r="JZ19">
        <f>IFERROR(INDEX('DADOS_CRIACAO'!$H$2:$H$20,17),"")</f>
        <v/>
      </c>
      <c r="KA19">
        <f>IFERROR(INDEX(INDEX('DADOS_RESTRICOES'!$M$2:$Q$54,0,1),17),"")</f>
        <v/>
      </c>
    </row>
    <row r="20">
      <c r="AG20">
        <f>IF(AND($AF10,$AD10=""),$BV10,"")</f>
        <v/>
      </c>
      <c r="AH20">
        <f>IF(AND($AF10,$AD10=""),$BW10,"")</f>
        <v/>
      </c>
      <c r="AI20">
        <f>IF(AND($AF10,$AD10=""),$BX10,"")</f>
        <v/>
      </c>
      <c r="AJ20">
        <f>IF(AND($AF10,$AD10=""),$BY10,FALSE)</f>
        <v/>
      </c>
      <c r="AK20">
        <f>IF(AND($AF10,$AD10=""),$BZ10,"")</f>
        <v/>
      </c>
      <c r="AL20">
        <f>IF(AND($AF10,$AD10=""),$CA10,"")</f>
        <v/>
      </c>
      <c r="AM20">
        <f>IF(AND($AF10,$AD10=""),$CB10,"")</f>
        <v/>
      </c>
      <c r="AN20">
        <f>IF(AND($AF10,$AD10=""),$CC10,0)</f>
        <v/>
      </c>
      <c r="AO20">
        <f>IF(AND($AF10,$AD10=""),$CD10,"")</f>
        <v/>
      </c>
      <c r="AP20">
        <f>IF(AND($AF10,$AD10=""),$CE10,0)</f>
        <v/>
      </c>
      <c r="AQ20">
        <f>IF(AND($AF10,$AD10=""),$CF10,FALSE)</f>
        <v/>
      </c>
      <c r="AR20">
        <f>IF(AND($AF10,$AD10=""),$CG10,FALSE)</f>
        <v/>
      </c>
      <c r="AS20">
        <f>IF(AND($AF10,$AD10=""),$CH10,"")</f>
        <v/>
      </c>
      <c r="AT20">
        <f>IF(AND($AF10,$AD10=""),$CI10,"")</f>
        <v/>
      </c>
      <c r="AU20">
        <f>IF(AND($AF10,$AD10=""),$CJ10,"")</f>
        <v/>
      </c>
      <c r="AV20">
        <f>IF(AND($AF10,$AD10=""),$CK10,"")</f>
        <v/>
      </c>
      <c r="AW20">
        <f>IF(AND($AF10,$AD10=""),$CL10,"")</f>
        <v/>
      </c>
      <c r="AX20">
        <f>IF(AND($AF10,$AD10=""),$CM10,"")</f>
        <v/>
      </c>
      <c r="AY20">
        <f>IF(AND($AF10,$AD10=""),$CN10,"")</f>
        <v/>
      </c>
      <c r="AZ20">
        <f>IF(AND($AF10,$AD10=""),$CO10,"")</f>
        <v/>
      </c>
      <c r="BA20">
        <f>IF(AND($AF10,$AD10=""),$CP10,"")</f>
        <v/>
      </c>
      <c r="BB20">
        <f>IF(AND($AF10,$AD10=""),$CQ10,"")</f>
        <v/>
      </c>
      <c r="BC20">
        <f>IF(AND($AF10,$AD10=""),$CR10,"")</f>
        <v/>
      </c>
      <c r="BD20">
        <f>IF(AND($AF10,$AD10=""),$CS10,"")</f>
        <v/>
      </c>
      <c r="BE20">
        <f>IF(AND($AF10,$AD10=""),$CT10,"")</f>
        <v/>
      </c>
      <c r="BF20">
        <f>IF(AND($AF10,$AD10=""),$CU10,"")</f>
        <v/>
      </c>
      <c r="BG20">
        <f>IF(AND($AF10,$AD10=""),$CV10,"")</f>
        <v/>
      </c>
      <c r="BH20">
        <f>IF(AND($AF10,$AD10=""),$CW10,"")</f>
        <v/>
      </c>
      <c r="BI20">
        <f>IF(AND($AF10,$AD10=""),$CX10,"")</f>
        <v/>
      </c>
      <c r="BJ20">
        <f>IF(AND($AF10,$AD10=""),$CY10,"")</f>
        <v/>
      </c>
      <c r="BK20">
        <f>IF(AND($AF10,$AD10=""),$CZ10,0)</f>
        <v/>
      </c>
      <c r="BL20">
        <f>IF(AND($AF10,$AD10=""),$DA10,"")</f>
        <v/>
      </c>
      <c r="BM20">
        <f>IF(AND($AF10,$AD10=""),$DB10,"")</f>
        <v/>
      </c>
      <c r="BN20">
        <f>IF(AND($AF10,$AD10=""),$DC10,"")</f>
        <v/>
      </c>
      <c r="BO20">
        <f>IF(AND($AF10,$AD10=""),$DD10,0)</f>
        <v/>
      </c>
      <c r="BP20">
        <f>IF(AND($AF10,$AD10=""),$DE10,"")</f>
        <v/>
      </c>
      <c r="BQ20">
        <f>IF(AND($AF10,$AD10=""),$DF10,"")</f>
        <v/>
      </c>
      <c r="BR20">
        <f>IF(AND($AF10,$AD10=""),$DG10,"")</f>
        <v/>
      </c>
      <c r="BS20">
        <f>IF(AND($AF10,$AD10=""),$DH10,0)</f>
        <v/>
      </c>
      <c r="FJ20">
        <f>'DADOS_FORMAS'!$AH20</f>
        <v/>
      </c>
      <c r="FK20">
        <f>'DADOS_FORMAS'!$AM20</f>
        <v/>
      </c>
      <c r="FL20">
        <f>'DADOS_FORMAS'!$AN20</f>
        <v/>
      </c>
      <c r="FM20">
        <f>IF('DADOS_FORMAS'!$AN20=0,0,'DADOS_FORMAS'!$AN20+3*IFERROR(VLOOKUP(SUBSTITUTE(SUBSTITUTE(SUBSTITUTE('DADOS_FORMAS'!$AM20,"~","~~"),"*","~*"),"?","~?"),'DADOS_CRIACAO'!$H$2:$K$20,3,FALSE),0))</f>
        <v/>
      </c>
      <c r="FN20">
        <f>IFERROR(VLOOKUP(SUBSTITUTE(SUBSTITUTE(SUBSTITUTE('DADOS_FORMAS'!$AM20,"~","~~"),"*","~*"),"?","~?"),'DADOS_CRIACAO'!$H$2:$K$20,4,FALSE),0)</f>
        <v/>
      </c>
      <c r="FO20">
        <f>IF('DADOS_FORMAS'!$AS20="",0,1)</f>
        <v/>
      </c>
      <c r="FP20">
        <f>'DADOS_FORMAS'!$AP20</f>
        <v/>
      </c>
      <c r="FQ20">
        <f>IF(AND('DADOS_FORMAS'!$AO20="Acerto",'DADOS_FORMAS'!$AQ20),"Acerto + TR",'DADOS_FORMAS'!$AO20)</f>
        <v/>
      </c>
      <c r="FR20">
        <f>N(OR('DADOS_FORMAS'!$AQ20,'DADOS_FORMAS'!$AO20="TR, metade"))</f>
        <v/>
      </c>
      <c r="FS20">
        <f>'DADOS_FORMAS'!$BO20</f>
        <v/>
      </c>
      <c r="FT20">
        <f>'DADOS_FORMAS'!$BS20</f>
        <v/>
      </c>
      <c r="FU20">
        <f>'DADOS_FORMAS'!$BK20</f>
        <v/>
      </c>
      <c r="FV20">
        <f>N('DADOS_FORMAS'!$AR20)</f>
        <v/>
      </c>
      <c r="FW20">
        <f>IF(IFERROR(VLOOKUP(SUBSTITUTE(SUBSTITUTE(SUBSTITUTE('DADOS_FORMAS'!$AM20,"~","~~"),"*","~*"),"?","~?"),'DADOS_CRIACAO'!$H$2:$K$20,4,FALSE),0)=1,"",'DADOS_FORMAS'!$AH20)</f>
        <v/>
      </c>
      <c r="FX20">
        <f>IF(AND('DADOS_FORMAS'!$AR20,IFERROR(VLOOKUP(SUBSTITUTE(SUBSTITUTE(SUBSTITUTE('DADOS_FORMAS'!$AM20,"~","~~"),"*","~*"),"?","~?"),'DADOS_CRIACAO'!$H$2:$K$20,4,FALSE),0)=0),'DADOS_FORMAS'!$AH20,"")</f>
        <v/>
      </c>
      <c r="FZ20">
        <f>'DADOS_FORMAS'!$AH20</f>
        <v/>
      </c>
      <c r="GA20">
        <f>'DADOS_FORMAS'!$AM20</f>
        <v/>
      </c>
      <c r="GB20">
        <f>'DADOS_FORMAS'!$AN20</f>
        <v/>
      </c>
      <c r="GC20">
        <f>IF('DADOS_FORMAS'!$AS20="",0,1)</f>
        <v/>
      </c>
      <c r="GD20">
        <f>'DADOS_FORMAS'!$AP20</f>
        <v/>
      </c>
      <c r="GE20">
        <f>IF('DADOS_FORMAS'!$AO20="Acerto","Ataque",IF('DADOS_FORMAS'!$AQ20,"TR","—"))</f>
        <v/>
      </c>
      <c r="GF20">
        <f>N(OR('DADOS_FORMAS'!$AQ20,'DADOS_FORMAS'!$AO20="TR, metade"))</f>
        <v/>
      </c>
      <c r="GG20">
        <f>'DADOS_FORMAS'!$BO20</f>
        <v/>
      </c>
      <c r="GH20">
        <f>'DADOS_FORMAS'!$BS20</f>
        <v/>
      </c>
      <c r="GI20">
        <f>'DADOS_FORMAS'!$BK20</f>
        <v/>
      </c>
      <c r="GJ20">
        <f>N('DADOS_FORMAS'!$AR20)</f>
        <v/>
      </c>
      <c r="GR20">
        <f>'DADOS_FORMAS'!$BL15</f>
        <v/>
      </c>
      <c r="GS20">
        <f>IF('DADOS_FORMAS'!$BL15="area",'DADOS_FORMAS'!$AU15,'DADOS_FORMAS'!$AT15)</f>
        <v/>
      </c>
      <c r="GT20">
        <f>IF('DADOS_FORMAS'!$BL15="area",'DADOS_FORMAS'!$BC15,'DADOS_FORMAS'!$AV15)</f>
        <v/>
      </c>
      <c r="GU20">
        <f>'DADOS_FORMAS'!$BM15</f>
        <v/>
      </c>
      <c r="GV20">
        <f>'DADOS_FORMAS'!$BN15</f>
        <v/>
      </c>
      <c r="GW20">
        <f>LET(base,'DADOS_FORMAS'!$GT20,escada,'DADOS_FORMAS'!$GS20,medida,LEFT(base,MAX(0,LEN(base)-2)),valor,IFERROR(VALUE(SUBSTITUTE(medida,",",""))/10^IFERROR(LEN(medida)-FIND(",",medida),0),1E99),IF(OR(escada="Fixo",base="—"),base,IF(escada="alcance",IFERROR(MATCH(base,{"1,5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0" t="inlineStr">
        <is>
          <t>Cura · classe 0</t>
        </is>
      </c>
      <c r="GZ20" t="inlineStr">
        <is>
          <t>—</t>
        </is>
      </c>
      <c r="HA20" t="inlineStr">
        <is>
          <t>—</t>
        </is>
      </c>
      <c r="HB20" t="inlineStr">
        <is>
          <t>—</t>
        </is>
      </c>
      <c r="HC20" t="inlineStr">
        <is>
          <t>—</t>
        </is>
      </c>
      <c r="HD20" t="inlineStr">
        <is>
          <t>—</t>
        </is>
      </c>
      <c r="HE20" t="inlineStr">
        <is>
          <t>—</t>
        </is>
      </c>
      <c r="HF20" t="inlineStr"/>
      <c r="HG20" t="inlineStr"/>
      <c r="HH20" t="inlineStr"/>
      <c r="HI20" t="inlineStr"/>
      <c r="HJ20" t="inlineStr"/>
      <c r="HK20" t="inlineStr"/>
      <c r="HM20">
        <f>'DADOS_FORMAS'!$BL14</f>
        <v/>
      </c>
      <c r="HN20">
        <f>IF('DADOS_FORMAS'!$BL14="area",'DADOS_FORMAS'!$AU14,'DADOS_FORMAS'!$AT14)</f>
        <v/>
      </c>
      <c r="HO20">
        <f>IF('DADOS_FORMAS'!$BL14="area",'DADOS_FORMAS'!$BG14,'DADOS_FORMAS'!$AZ14)</f>
        <v/>
      </c>
      <c r="HP20">
        <f>'DADOS_FORMAS'!$BM14</f>
        <v/>
      </c>
      <c r="HQ20">
        <f>'DADOS_FORMAS'!$BN14</f>
        <v/>
      </c>
      <c r="HR20">
        <f>LET(base,'DADOS_FORMAS'!$HO20,escada,'DADOS_FORMAS'!$HN20,medida,LEFT(base,MAX(0,LEN(base)-2)),valor,IFERROR(VALUE(SUBSTITUTE(medida,",",""))/10^IFERROR(LEN(medida)-FIND(",",medida),0),1E99),IF(OR(escada="Fixo",base="—"),base,IF(escada="alcance",IFERROR(MATCH(base,{"1,5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0" t="inlineStr">
        <is>
          <t>Cone · classe 6</t>
        </is>
      </c>
      <c r="HU20" t="inlineStr">
        <is>
          <t>Cone de 4,5 m</t>
        </is>
      </c>
      <c r="HV20" t="inlineStr">
        <is>
          <t>Cone de 9 m</t>
        </is>
      </c>
      <c r="HW20" t="inlineStr">
        <is>
          <t>Cone de 18 m</t>
        </is>
      </c>
      <c r="HX20" t="inlineStr">
        <is>
          <t>Cone de 30 m</t>
        </is>
      </c>
      <c r="HY20" t="inlineStr">
        <is>
          <t>Cone de 60 m</t>
        </is>
      </c>
      <c r="HZ20" t="inlineStr">
        <is>
          <t>Cone de 60 m</t>
        </is>
      </c>
      <c r="IA20" t="inlineStr"/>
      <c r="IB20" t="inlineStr"/>
      <c r="IC20" t="inlineStr"/>
      <c r="ID20" t="inlineStr"/>
      <c r="IE20" t="inlineStr"/>
      <c r="IF20" t="inlineStr"/>
      <c r="IH20">
        <f>IF(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H20,"")</f>
        <v/>
      </c>
      <c r="II20">
        <f>IF(AND(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R20),'DADOS_FORMAS'!$AH20,"")</f>
        <v/>
      </c>
      <c r="IK20">
        <f>IF(OR('DADOS_FORMAS'!$AM20='INVOCAÇÕES'!$O$246,'DADOS_FORMAS'!$AM20='INVOCAÇÕES'!$P$246,'DADOS_FORMAS'!$AM20='INVOCAÇÕES'!$Q$246,'DADOS_FORMAS'!$AM20='INVOCAÇÕES'!$R$246,'DADOS_FORMAS'!$AM20='INVOCAÇÕES'!$S$246,'DADOS_FORMAS'!$AM20='INVOCAÇÕES'!$O$248,'DADOS_FORMAS'!$AM20='INVOCAÇÕES'!$P$248,'DADOS_FORMAS'!$AM20='INVOCAÇÕES'!$Q$248,'DADOS_FORMAS'!$AM20='INVOCAÇÕES'!$R$248,'DADOS_FORMAS'!$AM20=""),'DADOS_FORMAS'!$AH20,"")</f>
        <v/>
      </c>
      <c r="IL20">
        <f>IF(AND(OR('DADOS_FORMAS'!$AM20='INVOCAÇÕES'!$O$246,'DADOS_FORMAS'!$AM20='INVOCAÇÕES'!$P$246,'DADOS_FORMAS'!$AM20='INVOCAÇÕES'!$Q$246,'DADOS_FORMAS'!$AM20='INVOCAÇÕES'!$R$246,'DADOS_FORMAS'!$AM20='INVOCAÇÕES'!$S$246,'DADOS_FORMAS'!$AM20='INVOCAÇÕES'!$O$248,'DADOS_FORMAS'!$AM20='INVOCAÇÕES'!$P$248,'DADOS_FORMAS'!$AM20='INVOCAÇÕES'!$Q$248,'DADOS_FORMAS'!$AM20='INVOCAÇÕES'!$R$248,'DADOS_FORMAS'!$AM20=""),'DADOS_FORMAS'!$AR20),'DADOS_FORMAS'!$AH20,"")</f>
        <v/>
      </c>
      <c r="IN20">
        <f>IF(OR('DADOS_FORMAS'!$AM20='INVOCAÇÕES'!$O$444,'DADOS_FORMAS'!$AM20='INVOCAÇÕES'!$P$444,'DADOS_FORMAS'!$AM20='INVOCAÇÕES'!$Q$444,'DADOS_FORMAS'!$AM20='INVOCAÇÕES'!$R$444,'DADOS_FORMAS'!$AM20='INVOCAÇÕES'!$S$444,'DADOS_FORMAS'!$AM20='INVOCAÇÕES'!$O$446,'DADOS_FORMAS'!$AM20='INVOCAÇÕES'!$P$446,'DADOS_FORMAS'!$AM20='INVOCAÇÕES'!$Q$446,'DADOS_FORMAS'!$AM20='INVOCAÇÕES'!$R$446,'DADOS_FORMAS'!$AM20=""),'DADOS_FORMAS'!$AH20,"")</f>
        <v/>
      </c>
      <c r="IO20">
        <f>IF(AND(OR('DADOS_FORMAS'!$AM20='INVOCAÇÕES'!$O$444,'DADOS_FORMAS'!$AM20='INVOCAÇÕES'!$P$444,'DADOS_FORMAS'!$AM20='INVOCAÇÕES'!$Q$444,'DADOS_FORMAS'!$AM20='INVOCAÇÕES'!$R$444,'DADOS_FORMAS'!$AM20='INVOCAÇÕES'!$S$444,'DADOS_FORMAS'!$AM20='INVOCAÇÕES'!$O$446,'DADOS_FORMAS'!$AM20='INVOCAÇÕES'!$P$446,'DADOS_FORMAS'!$AM20='INVOCAÇÕES'!$Q$446,'DADOS_FORMAS'!$AM20='INVOCAÇÕES'!$R$446,'DADOS_FORMAS'!$AM20=""),'DADOS_FORMAS'!$AR20),'DADOS_FORMAS'!$AH20,"")</f>
        <v/>
      </c>
      <c r="IQ20">
        <f>IF(OR('DADOS_FORMAS'!$AM20='INVOCAÇÕES'!$O$642,'DADOS_FORMAS'!$AM20='INVOCAÇÕES'!$P$642,'DADOS_FORMAS'!$AM20='INVOCAÇÕES'!$Q$642,'DADOS_FORMAS'!$AM20='INVOCAÇÕES'!$R$642,'DADOS_FORMAS'!$AM20='INVOCAÇÕES'!$S$642,'DADOS_FORMAS'!$AM20='INVOCAÇÕES'!$O$644,'DADOS_FORMAS'!$AM20='INVOCAÇÕES'!$P$644,'DADOS_FORMAS'!$AM20='INVOCAÇÕES'!$Q$644,'DADOS_FORMAS'!$AM20='INVOCAÇÕES'!$R$644,'DADOS_FORMAS'!$AM20=""),'DADOS_FORMAS'!$AH20,"")</f>
        <v/>
      </c>
      <c r="IR20">
        <f>IF(AND(OR('DADOS_FORMAS'!$AM20='INVOCAÇÕES'!$O$642,'DADOS_FORMAS'!$AM20='INVOCAÇÕES'!$P$642,'DADOS_FORMAS'!$AM20='INVOCAÇÕES'!$Q$642,'DADOS_FORMAS'!$AM20='INVOCAÇÕES'!$R$642,'DADOS_FORMAS'!$AM20='INVOCAÇÕES'!$S$642,'DADOS_FORMAS'!$AM20='INVOCAÇÕES'!$O$644,'DADOS_FORMAS'!$AM20='INVOCAÇÕES'!$P$644,'DADOS_FORMAS'!$AM20='INVOCAÇÕES'!$Q$644,'DADOS_FORMAS'!$AM20='INVOCAÇÕES'!$R$644,'DADOS_FORMAS'!$AM20=""),'DADOS_FORMAS'!$AR20),'DADOS_FORMAS'!$AH20,"")</f>
        <v/>
      </c>
      <c r="IT20">
        <f>IF(OR('DADOS_FORMAS'!$AM20='INVOCAÇÕES'!$O$840,'DADOS_FORMAS'!$AM20='INVOCAÇÕES'!$P$840,'DADOS_FORMAS'!$AM20='INVOCAÇÕES'!$Q$840,'DADOS_FORMAS'!$AM20='INVOCAÇÕES'!$R$840,'DADOS_FORMAS'!$AM20='INVOCAÇÕES'!$S$840,'DADOS_FORMAS'!$AM20='INVOCAÇÕES'!$O$842,'DADOS_FORMAS'!$AM20='INVOCAÇÕES'!$P$842,'DADOS_FORMAS'!$AM20='INVOCAÇÕES'!$Q$842,'DADOS_FORMAS'!$AM20='INVOCAÇÕES'!$R$842,'DADOS_FORMAS'!$AM20=""),'DADOS_FORMAS'!$AH20,"")</f>
        <v/>
      </c>
      <c r="IU20">
        <f>IF(AND(OR('DADOS_FORMAS'!$AM20='INVOCAÇÕES'!$O$840,'DADOS_FORMAS'!$AM20='INVOCAÇÕES'!$P$840,'DADOS_FORMAS'!$AM20='INVOCAÇÕES'!$Q$840,'DADOS_FORMAS'!$AM20='INVOCAÇÕES'!$R$840,'DADOS_FORMAS'!$AM20='INVOCAÇÕES'!$S$840,'DADOS_FORMAS'!$AM20='INVOCAÇÕES'!$O$842,'DADOS_FORMAS'!$AM20='INVOCAÇÕES'!$P$842,'DADOS_FORMAS'!$AM20='INVOCAÇÕES'!$Q$842,'DADOS_FORMAS'!$AM20='INVOCAÇÕES'!$R$842,'DADOS_FORMAS'!$AM20=""),'DADOS_FORMAS'!$AR20),'DADOS_FORMAS'!$AH20,"")</f>
        <v/>
      </c>
      <c r="IW20">
        <f>IF(OR('DADOS_FORMAS'!$AM20='INVOCAÇÕES'!$O$1038,'DADOS_FORMAS'!$AM20='INVOCAÇÕES'!$P$1038,'DADOS_FORMAS'!$AM20='INVOCAÇÕES'!$Q$1038,'DADOS_FORMAS'!$AM20='INVOCAÇÕES'!$R$1038,'DADOS_FORMAS'!$AM20='INVOCAÇÕES'!$S$1038,'DADOS_FORMAS'!$AM20='INVOCAÇÕES'!$O$1040,'DADOS_FORMAS'!$AM20='INVOCAÇÕES'!$P$1040,'DADOS_FORMAS'!$AM20='INVOCAÇÕES'!$Q$1040,'DADOS_FORMAS'!$AM20='INVOCAÇÕES'!$R$1040,'DADOS_FORMAS'!$AM20=""),'DADOS_FORMAS'!$AH20,"")</f>
        <v/>
      </c>
      <c r="IX20">
        <f>IF(AND(OR('DADOS_FORMAS'!$AM20='INVOCAÇÕES'!$O$1038,'DADOS_FORMAS'!$AM20='INVOCAÇÕES'!$P$1038,'DADOS_FORMAS'!$AM20='INVOCAÇÕES'!$Q$1038,'DADOS_FORMAS'!$AM20='INVOCAÇÕES'!$R$1038,'DADOS_FORMAS'!$AM20='INVOCAÇÕES'!$S$1038,'DADOS_FORMAS'!$AM20='INVOCAÇÕES'!$O$1040,'DADOS_FORMAS'!$AM20='INVOCAÇÕES'!$P$1040,'DADOS_FORMAS'!$AM20='INVOCAÇÕES'!$Q$1040,'DADOS_FORMAS'!$AM20='INVOCAÇÕES'!$R$1040,'DADOS_FORMAS'!$AM20=""),'DADOS_FORMAS'!$AR20),'DADOS_FORMAS'!$AH20,"")</f>
        <v/>
      </c>
      <c r="IZ20">
        <f>IF(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H20,"")</f>
        <v/>
      </c>
      <c r="JA20">
        <f>IF(AND(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R20),'DADOS_FORMAS'!$AH20,"")</f>
        <v/>
      </c>
      <c r="JC20">
        <f>IF(OR('DADOS_FORMAS'!$AM20='INVOCAÇÕES'!$AH$246,'DADOS_FORMAS'!$AM20='INVOCAÇÕES'!$AI$246,'DADOS_FORMAS'!$AM20='INVOCAÇÕES'!$AJ$246,'DADOS_FORMAS'!$AM20='INVOCAÇÕES'!$AK$246,'DADOS_FORMAS'!$AM20='INVOCAÇÕES'!$AL$246,'DADOS_FORMAS'!$AM20='INVOCAÇÕES'!$AH$248,'DADOS_FORMAS'!$AM20='INVOCAÇÕES'!$AI$248,'DADOS_FORMAS'!$AM20='INVOCAÇÕES'!$AJ$248,'DADOS_FORMAS'!$AM20='INVOCAÇÕES'!$AK$248,'DADOS_FORMAS'!$AM20=""),'DADOS_FORMAS'!$AH20,"")</f>
        <v/>
      </c>
      <c r="JD20">
        <f>IF(AND(OR('DADOS_FORMAS'!$AM20='INVOCAÇÕES'!$AH$246,'DADOS_FORMAS'!$AM20='INVOCAÇÕES'!$AI$246,'DADOS_FORMAS'!$AM20='INVOCAÇÕES'!$AJ$246,'DADOS_FORMAS'!$AM20='INVOCAÇÕES'!$AK$246,'DADOS_FORMAS'!$AM20='INVOCAÇÕES'!$AL$246,'DADOS_FORMAS'!$AM20='INVOCAÇÕES'!$AH$248,'DADOS_FORMAS'!$AM20='INVOCAÇÕES'!$AI$248,'DADOS_FORMAS'!$AM20='INVOCAÇÕES'!$AJ$248,'DADOS_FORMAS'!$AM20='INVOCAÇÕES'!$AK$248,'DADOS_FORMAS'!$AM20=""),'DADOS_FORMAS'!$AR20),'DADOS_FORMAS'!$AH20,"")</f>
        <v/>
      </c>
      <c r="JF20">
        <f>IF(OR('DADOS_FORMAS'!$AM20='INVOCAÇÕES'!$AH$444,'DADOS_FORMAS'!$AM20='INVOCAÇÕES'!$AI$444,'DADOS_FORMAS'!$AM20='INVOCAÇÕES'!$AJ$444,'DADOS_FORMAS'!$AM20='INVOCAÇÕES'!$AK$444,'DADOS_FORMAS'!$AM20='INVOCAÇÕES'!$AL$444,'DADOS_FORMAS'!$AM20='INVOCAÇÕES'!$AH$446,'DADOS_FORMAS'!$AM20='INVOCAÇÕES'!$AI$446,'DADOS_FORMAS'!$AM20='INVOCAÇÕES'!$AJ$446,'DADOS_FORMAS'!$AM20='INVOCAÇÕES'!$AK$446,'DADOS_FORMAS'!$AM20=""),'DADOS_FORMAS'!$AH20,"")</f>
        <v/>
      </c>
      <c r="JG20">
        <f>IF(AND(OR('DADOS_FORMAS'!$AM20='INVOCAÇÕES'!$AH$444,'DADOS_FORMAS'!$AM20='INVOCAÇÕES'!$AI$444,'DADOS_FORMAS'!$AM20='INVOCAÇÕES'!$AJ$444,'DADOS_FORMAS'!$AM20='INVOCAÇÕES'!$AK$444,'DADOS_FORMAS'!$AM20='INVOCAÇÕES'!$AL$444,'DADOS_FORMAS'!$AM20='INVOCAÇÕES'!$AH$446,'DADOS_FORMAS'!$AM20='INVOCAÇÕES'!$AI$446,'DADOS_FORMAS'!$AM20='INVOCAÇÕES'!$AJ$446,'DADOS_FORMAS'!$AM20='INVOCAÇÕES'!$AK$446,'DADOS_FORMAS'!$AM20=""),'DADOS_FORMAS'!$AR20),'DADOS_FORMAS'!$AH20,"")</f>
        <v/>
      </c>
      <c r="JI20">
        <f>IF(OR('DADOS_FORMAS'!$AM20='INVOCAÇÕES'!$AH$642,'DADOS_FORMAS'!$AM20='INVOCAÇÕES'!$AI$642,'DADOS_FORMAS'!$AM20='INVOCAÇÕES'!$AJ$642,'DADOS_FORMAS'!$AM20='INVOCAÇÕES'!$AK$642,'DADOS_FORMAS'!$AM20='INVOCAÇÕES'!$AL$642,'DADOS_FORMAS'!$AM20='INVOCAÇÕES'!$AH$644,'DADOS_FORMAS'!$AM20='INVOCAÇÕES'!$AI$644,'DADOS_FORMAS'!$AM20='INVOCAÇÕES'!$AJ$644,'DADOS_FORMAS'!$AM20='INVOCAÇÕES'!$AK$644,'DADOS_FORMAS'!$AM20=""),'DADOS_FORMAS'!$AH20,"")</f>
        <v/>
      </c>
      <c r="JJ20">
        <f>IF(AND(OR('DADOS_FORMAS'!$AM20='INVOCAÇÕES'!$AH$642,'DADOS_FORMAS'!$AM20='INVOCAÇÕES'!$AI$642,'DADOS_FORMAS'!$AM20='INVOCAÇÕES'!$AJ$642,'DADOS_FORMAS'!$AM20='INVOCAÇÕES'!$AK$642,'DADOS_FORMAS'!$AM20='INVOCAÇÕES'!$AL$642,'DADOS_FORMAS'!$AM20='INVOCAÇÕES'!$AH$644,'DADOS_FORMAS'!$AM20='INVOCAÇÕES'!$AI$644,'DADOS_FORMAS'!$AM20='INVOCAÇÕES'!$AJ$644,'DADOS_FORMAS'!$AM20='INVOCAÇÕES'!$AK$644,'DADOS_FORMAS'!$AM20=""),'DADOS_FORMAS'!$AR20),'DADOS_FORMAS'!$AH20,"")</f>
        <v/>
      </c>
      <c r="JL20">
        <f>IF(OR('DADOS_FORMAS'!$AM20='INVOCAÇÕES'!$AH$840,'DADOS_FORMAS'!$AM20='INVOCAÇÕES'!$AI$840,'DADOS_FORMAS'!$AM20='INVOCAÇÕES'!$AJ$840,'DADOS_FORMAS'!$AM20='INVOCAÇÕES'!$AK$840,'DADOS_FORMAS'!$AM20='INVOCAÇÕES'!$AL$840,'DADOS_FORMAS'!$AM20='INVOCAÇÕES'!$AH$842,'DADOS_FORMAS'!$AM20='INVOCAÇÕES'!$AI$842,'DADOS_FORMAS'!$AM20='INVOCAÇÕES'!$AJ$842,'DADOS_FORMAS'!$AM20='INVOCAÇÕES'!$AK$842,'DADOS_FORMAS'!$AM20=""),'DADOS_FORMAS'!$AH20,"")</f>
        <v/>
      </c>
      <c r="JM20">
        <f>IF(AND(OR('DADOS_FORMAS'!$AM20='INVOCAÇÕES'!$AH$840,'DADOS_FORMAS'!$AM20='INVOCAÇÕES'!$AI$840,'DADOS_FORMAS'!$AM20='INVOCAÇÕES'!$AJ$840,'DADOS_FORMAS'!$AM20='INVOCAÇÕES'!$AK$840,'DADOS_FORMAS'!$AM20='INVOCAÇÕES'!$AL$840,'DADOS_FORMAS'!$AM20='INVOCAÇÕES'!$AH$842,'DADOS_FORMAS'!$AM20='INVOCAÇÕES'!$AI$842,'DADOS_FORMAS'!$AM20='INVOCAÇÕES'!$AJ$842,'DADOS_FORMAS'!$AM20='INVOCAÇÕES'!$AK$842,'DADOS_FORMAS'!$AM20=""),'DADOS_FORMAS'!$AR20),'DADOS_FORMAS'!$AH20,"")</f>
        <v/>
      </c>
      <c r="JO20">
        <f>IF(OR('DADOS_FORMAS'!$AM20='INVOCAÇÕES'!$AH$1038,'DADOS_FORMAS'!$AM20='INVOCAÇÕES'!$AI$1038,'DADOS_FORMAS'!$AM20='INVOCAÇÕES'!$AJ$1038,'DADOS_FORMAS'!$AM20='INVOCAÇÕES'!$AK$1038,'DADOS_FORMAS'!$AM20='INVOCAÇÕES'!$AL$1038,'DADOS_FORMAS'!$AM20='INVOCAÇÕES'!$AH$1040,'DADOS_FORMAS'!$AM20='INVOCAÇÕES'!$AI$1040,'DADOS_FORMAS'!$AM20='INVOCAÇÕES'!$AJ$1040,'DADOS_FORMAS'!$AM20='INVOCAÇÕES'!$AK$1040,'DADOS_FORMAS'!$AM20=""),'DADOS_FORMAS'!$AH20,"")</f>
        <v/>
      </c>
      <c r="JP20">
        <f>IF(AND(OR('DADOS_FORMAS'!$AM20='INVOCAÇÕES'!$AH$1038,'DADOS_FORMAS'!$AM20='INVOCAÇÕES'!$AI$1038,'DADOS_FORMAS'!$AM20='INVOCAÇÕES'!$AJ$1038,'DADOS_FORMAS'!$AM20='INVOCAÇÕES'!$AK$1038,'DADOS_FORMAS'!$AM20='INVOCAÇÕES'!$AL$1038,'DADOS_FORMAS'!$AM20='INVOCAÇÕES'!$AH$1040,'DADOS_FORMAS'!$AM20='INVOCAÇÕES'!$AI$1040,'DADOS_FORMAS'!$AM20='INVOCAÇÕES'!$AJ$1040,'DADOS_FORMAS'!$AM20='INVOCAÇÕES'!$AK$1040,'DADOS_FORMAS'!$AM20=""),'DADOS_FORMAS'!$AR20),'DADOS_FORMAS'!$AH20,"")</f>
        <v/>
      </c>
      <c r="JZ20">
        <f>IFERROR(INDEX('DADOS_CRIACAO'!$H$2:$H$20,18),"")</f>
        <v/>
      </c>
      <c r="KA20">
        <f>IFERROR(INDEX(INDEX('DADOS_RESTRICOES'!$M$2:$Q$54,0,1),18),"")</f>
        <v/>
      </c>
    </row>
    <row r="21">
      <c r="AG21">
        <f>IF(AND($AF11,$AD11=""),$BV11,"")</f>
        <v/>
      </c>
      <c r="AH21">
        <f>IF(AND($AF11,$AD11=""),$BW11,"")</f>
        <v/>
      </c>
      <c r="AI21">
        <f>IF(AND($AF11,$AD11=""),$BX11,"")</f>
        <v/>
      </c>
      <c r="AJ21">
        <f>IF(AND($AF11,$AD11=""),$BY11,FALSE)</f>
        <v/>
      </c>
      <c r="AK21">
        <f>IF(AND($AF11,$AD11=""),$BZ11,"")</f>
        <v/>
      </c>
      <c r="AL21">
        <f>IF(AND($AF11,$AD11=""),$CA11,"")</f>
        <v/>
      </c>
      <c r="AM21">
        <f>IF(AND($AF11,$AD11=""),$CB11,"")</f>
        <v/>
      </c>
      <c r="AN21">
        <f>IF(AND($AF11,$AD11=""),$CC11,0)</f>
        <v/>
      </c>
      <c r="AO21">
        <f>IF(AND($AF11,$AD11=""),$CD11,"")</f>
        <v/>
      </c>
      <c r="AP21">
        <f>IF(AND($AF11,$AD11=""),$CE11,0)</f>
        <v/>
      </c>
      <c r="AQ21">
        <f>IF(AND($AF11,$AD11=""),$CF11,FALSE)</f>
        <v/>
      </c>
      <c r="AR21">
        <f>IF(AND($AF11,$AD11=""),$CG11,FALSE)</f>
        <v/>
      </c>
      <c r="AS21">
        <f>IF(AND($AF11,$AD11=""),$CH11,"")</f>
        <v/>
      </c>
      <c r="AT21">
        <f>IF(AND($AF11,$AD11=""),$CI11,"")</f>
        <v/>
      </c>
      <c r="AU21">
        <f>IF(AND($AF11,$AD11=""),$CJ11,"")</f>
        <v/>
      </c>
      <c r="AV21">
        <f>IF(AND($AF11,$AD11=""),$CK11,"")</f>
        <v/>
      </c>
      <c r="AW21">
        <f>IF(AND($AF11,$AD11=""),$CL11,"")</f>
        <v/>
      </c>
      <c r="AX21">
        <f>IF(AND($AF11,$AD11=""),$CM11,"")</f>
        <v/>
      </c>
      <c r="AY21">
        <f>IF(AND($AF11,$AD11=""),$CN11,"")</f>
        <v/>
      </c>
      <c r="AZ21">
        <f>IF(AND($AF11,$AD11=""),$CO11,"")</f>
        <v/>
      </c>
      <c r="BA21">
        <f>IF(AND($AF11,$AD11=""),$CP11,"")</f>
        <v/>
      </c>
      <c r="BB21">
        <f>IF(AND($AF11,$AD11=""),$CQ11,"")</f>
        <v/>
      </c>
      <c r="BC21">
        <f>IF(AND($AF11,$AD11=""),$CR11,"")</f>
        <v/>
      </c>
      <c r="BD21">
        <f>IF(AND($AF11,$AD11=""),$CS11,"")</f>
        <v/>
      </c>
      <c r="BE21">
        <f>IF(AND($AF11,$AD11=""),$CT11,"")</f>
        <v/>
      </c>
      <c r="BF21">
        <f>IF(AND($AF11,$AD11=""),$CU11,"")</f>
        <v/>
      </c>
      <c r="BG21">
        <f>IF(AND($AF11,$AD11=""),$CV11,"")</f>
        <v/>
      </c>
      <c r="BH21">
        <f>IF(AND($AF11,$AD11=""),$CW11,"")</f>
        <v/>
      </c>
      <c r="BI21">
        <f>IF(AND($AF11,$AD11=""),$CX11,"")</f>
        <v/>
      </c>
      <c r="BJ21">
        <f>IF(AND($AF11,$AD11=""),$CY11,"")</f>
        <v/>
      </c>
      <c r="BK21">
        <f>IF(AND($AF11,$AD11=""),$CZ11,0)</f>
        <v/>
      </c>
      <c r="BL21">
        <f>IF(AND($AF11,$AD11=""),$DA11,"")</f>
        <v/>
      </c>
      <c r="BM21">
        <f>IF(AND($AF11,$AD11=""),$DB11,"")</f>
        <v/>
      </c>
      <c r="BN21">
        <f>IF(AND($AF11,$AD11=""),$DC11,"")</f>
        <v/>
      </c>
      <c r="BO21">
        <f>IF(AND($AF11,$AD11=""),$DD11,0)</f>
        <v/>
      </c>
      <c r="BP21">
        <f>IF(AND($AF11,$AD11=""),$DE11,"")</f>
        <v/>
      </c>
      <c r="BQ21">
        <f>IF(AND($AF11,$AD11=""),$DF11,"")</f>
        <v/>
      </c>
      <c r="BR21">
        <f>IF(AND($AF11,$AD11=""),$DG11,"")</f>
        <v/>
      </c>
      <c r="BS21">
        <f>IF(AND($AF11,$AD11=""),$DH11,0)</f>
        <v/>
      </c>
      <c r="FJ21">
        <f>'DADOS_FORMAS'!$AH21</f>
        <v/>
      </c>
      <c r="FK21">
        <f>'DADOS_FORMAS'!$AM21</f>
        <v/>
      </c>
      <c r="FL21">
        <f>'DADOS_FORMAS'!$AN21</f>
        <v/>
      </c>
      <c r="FM21">
        <f>IF('DADOS_FORMAS'!$AN21=0,0,'DADOS_FORMAS'!$AN21+3*IFERROR(VLOOKUP(SUBSTITUTE(SUBSTITUTE(SUBSTITUTE('DADOS_FORMAS'!$AM21,"~","~~"),"*","~*"),"?","~?"),'DADOS_CRIACAO'!$H$2:$K$20,3,FALSE),0))</f>
        <v/>
      </c>
      <c r="FN21">
        <f>IFERROR(VLOOKUP(SUBSTITUTE(SUBSTITUTE(SUBSTITUTE('DADOS_FORMAS'!$AM21,"~","~~"),"*","~*"),"?","~?"),'DADOS_CRIACAO'!$H$2:$K$20,4,FALSE),0)</f>
        <v/>
      </c>
      <c r="FO21">
        <f>IF('DADOS_FORMAS'!$AS21="",0,1)</f>
        <v/>
      </c>
      <c r="FP21">
        <f>'DADOS_FORMAS'!$AP21</f>
        <v/>
      </c>
      <c r="FQ21">
        <f>IF(AND('DADOS_FORMAS'!$AO21="Acerto",'DADOS_FORMAS'!$AQ21),"Acerto + TR",'DADOS_FORMAS'!$AO21)</f>
        <v/>
      </c>
      <c r="FR21">
        <f>N(OR('DADOS_FORMAS'!$AQ21,'DADOS_FORMAS'!$AO21="TR, metade"))</f>
        <v/>
      </c>
      <c r="FS21">
        <f>'DADOS_FORMAS'!$BO21</f>
        <v/>
      </c>
      <c r="FT21">
        <f>'DADOS_FORMAS'!$BS21</f>
        <v/>
      </c>
      <c r="FU21">
        <f>'DADOS_FORMAS'!$BK21</f>
        <v/>
      </c>
      <c r="FV21">
        <f>N('DADOS_FORMAS'!$AR21)</f>
        <v/>
      </c>
      <c r="FW21">
        <f>IF(IFERROR(VLOOKUP(SUBSTITUTE(SUBSTITUTE(SUBSTITUTE('DADOS_FORMAS'!$AM21,"~","~~"),"*","~*"),"?","~?"),'DADOS_CRIACAO'!$H$2:$K$20,4,FALSE),0)=1,"",'DADOS_FORMAS'!$AH21)</f>
        <v/>
      </c>
      <c r="FX21">
        <f>IF(AND('DADOS_FORMAS'!$AR21,IFERROR(VLOOKUP(SUBSTITUTE(SUBSTITUTE(SUBSTITUTE('DADOS_FORMAS'!$AM21,"~","~~"),"*","~*"),"?","~?"),'DADOS_CRIACAO'!$H$2:$K$20,4,FALSE),0)=0),'DADOS_FORMAS'!$AH21,"")</f>
        <v/>
      </c>
      <c r="FZ21">
        <f>'DADOS_FORMAS'!$AH21</f>
        <v/>
      </c>
      <c r="GA21">
        <f>'DADOS_FORMAS'!$AM21</f>
        <v/>
      </c>
      <c r="GB21">
        <f>'DADOS_FORMAS'!$AN21</f>
        <v/>
      </c>
      <c r="GC21">
        <f>IF('DADOS_FORMAS'!$AS21="",0,1)</f>
        <v/>
      </c>
      <c r="GD21">
        <f>'DADOS_FORMAS'!$AP21</f>
        <v/>
      </c>
      <c r="GE21">
        <f>IF('DADOS_FORMAS'!$AO21="Acerto","Ataque",IF('DADOS_FORMAS'!$AQ21,"TR","—"))</f>
        <v/>
      </c>
      <c r="GF21">
        <f>N(OR('DADOS_FORMAS'!$AQ21,'DADOS_FORMAS'!$AO21="TR, metade"))</f>
        <v/>
      </c>
      <c r="GG21">
        <f>'DADOS_FORMAS'!$BO21</f>
        <v/>
      </c>
      <c r="GH21">
        <f>'DADOS_FORMAS'!$BS21</f>
        <v/>
      </c>
      <c r="GI21">
        <f>'DADOS_FORMAS'!$BK21</f>
        <v/>
      </c>
      <c r="GJ21">
        <f>N('DADOS_FORMAS'!$AR21)</f>
        <v/>
      </c>
      <c r="GR21">
        <f>'DADOS_FORMAS'!$BP15</f>
        <v/>
      </c>
      <c r="GS21">
        <f>IF('DADOS_FORMAS'!$BP15="area",'DADOS_FORMAS'!$AU15,'DADOS_FORMAS'!$AT15)</f>
        <v/>
      </c>
      <c r="GT21">
        <f>IF('DADOS_FORMAS'!$BP15="area",'DADOS_FORMAS'!$BC15,'DADOS_FORMAS'!$AV15)</f>
        <v/>
      </c>
      <c r="GU21">
        <f>'DADOS_FORMAS'!$BQ15</f>
        <v/>
      </c>
      <c r="GV21">
        <f>'DADOS_FORMAS'!$BR15</f>
        <v/>
      </c>
      <c r="GW21">
        <f>LET(base,'DADOS_FORMAS'!$GT21,escada,'DADOS_FORMAS'!$GS21,medida,LEFT(base,MAX(0,LEN(base)-2)),valor,IFERROR(VALUE(SUBSTITUTE(medida,",",""))/10^IFERROR(LEN(medida)-FIND(",",medida),0),1E99),IF(OR(escada="Fixo",base="—"),base,IF(escada="alcance",IFERROR(MATCH(base,{"1,5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1" t="inlineStr">
        <is>
          <t>Cura · classes 1 a 5</t>
        </is>
      </c>
      <c r="GZ21" t="inlineStr">
        <is>
          <t>Um aliado a 9 m</t>
        </is>
      </c>
      <c r="HA21" t="inlineStr">
        <is>
          <t>Um aliado a 18 m</t>
        </is>
      </c>
      <c r="HB21" t="inlineStr">
        <is>
          <t>Um aliado a 36 m</t>
        </is>
      </c>
      <c r="HC21" t="inlineStr">
        <is>
          <t>Um aliado a 90 m</t>
        </is>
      </c>
      <c r="HD21" t="inlineStr">
        <is>
          <t>Um aliado a visão a olho nu</t>
        </is>
      </c>
      <c r="HE21" t="inlineStr">
        <is>
          <t>Um aliado a visão a olho nu</t>
        </is>
      </c>
      <c r="HF21" t="inlineStr"/>
      <c r="HG21" t="inlineStr"/>
      <c r="HH21" t="inlineStr"/>
      <c r="HI21" t="inlineStr"/>
      <c r="HJ21" t="inlineStr"/>
      <c r="HK21" t="inlineStr"/>
      <c r="HM21">
        <f>'DADOS_FORMAS'!$BP14</f>
        <v/>
      </c>
      <c r="HN21">
        <f>IF('DADOS_FORMAS'!$BP14="area",'DADOS_FORMAS'!$AU14,'DADOS_FORMAS'!$AT14)</f>
        <v/>
      </c>
      <c r="HO21">
        <f>IF('DADOS_FORMAS'!$BP14="area",'DADOS_FORMAS'!$BG14,'DADOS_FORMAS'!$AZ14)</f>
        <v/>
      </c>
      <c r="HP21">
        <f>'DADOS_FORMAS'!$BQ14</f>
        <v/>
      </c>
      <c r="HQ21">
        <f>'DADOS_FORMAS'!$BR14</f>
        <v/>
      </c>
      <c r="HR21">
        <f>LET(base,'DADOS_FORMAS'!$HO21,escada,'DADOS_FORMAS'!$HN21,medida,LEFT(base,MAX(0,LEN(base)-2)),valor,IFERROR(VALUE(SUBSTITUTE(medida,",",""))/10^IFERROR(LEN(medida)-FIND(",",medida),0),1E99),IF(OR(escada="Fixo",base="—"),base,IF(escada="alcance",IFERROR(MATCH(base,{"1,5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1" t="inlineStr">
        <is>
          <t>Cone · classe 7</t>
        </is>
      </c>
      <c r="HU21" t="inlineStr">
        <is>
          <t>Cone de 9 m</t>
        </is>
      </c>
      <c r="HV21" t="inlineStr">
        <is>
          <t>Cone de 18 m</t>
        </is>
      </c>
      <c r="HW21" t="inlineStr">
        <is>
          <t>Cone de 30 m</t>
        </is>
      </c>
      <c r="HX21" t="inlineStr">
        <is>
          <t>Cone de 60 m</t>
        </is>
      </c>
      <c r="HY21" t="inlineStr">
        <is>
          <t>Cone de 60 m</t>
        </is>
      </c>
      <c r="HZ21" t="inlineStr">
        <is>
          <t>Cone de 60 m</t>
        </is>
      </c>
      <c r="IA21" t="inlineStr"/>
      <c r="IB21" t="inlineStr"/>
      <c r="IC21" t="inlineStr"/>
      <c r="ID21" t="inlineStr"/>
      <c r="IE21" t="inlineStr"/>
      <c r="IF21" t="inlineStr"/>
      <c r="IH21">
        <f>IF(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H21,"")</f>
        <v/>
      </c>
      <c r="II21">
        <f>IF(AND(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R21),'DADOS_FORMAS'!$AH21,"")</f>
        <v/>
      </c>
      <c r="IK21">
        <f>IF(OR('DADOS_FORMAS'!$AM21='INVOCAÇÕES'!$O$246,'DADOS_FORMAS'!$AM21='INVOCAÇÕES'!$P$246,'DADOS_FORMAS'!$AM21='INVOCAÇÕES'!$Q$246,'DADOS_FORMAS'!$AM21='INVOCAÇÕES'!$R$246,'DADOS_FORMAS'!$AM21='INVOCAÇÕES'!$S$246,'DADOS_FORMAS'!$AM21='INVOCAÇÕES'!$O$248,'DADOS_FORMAS'!$AM21='INVOCAÇÕES'!$P$248,'DADOS_FORMAS'!$AM21='INVOCAÇÕES'!$Q$248,'DADOS_FORMAS'!$AM21='INVOCAÇÕES'!$R$248,'DADOS_FORMAS'!$AM21=""),'DADOS_FORMAS'!$AH21,"")</f>
        <v/>
      </c>
      <c r="IL21">
        <f>IF(AND(OR('DADOS_FORMAS'!$AM21='INVOCAÇÕES'!$O$246,'DADOS_FORMAS'!$AM21='INVOCAÇÕES'!$P$246,'DADOS_FORMAS'!$AM21='INVOCAÇÕES'!$Q$246,'DADOS_FORMAS'!$AM21='INVOCAÇÕES'!$R$246,'DADOS_FORMAS'!$AM21='INVOCAÇÕES'!$S$246,'DADOS_FORMAS'!$AM21='INVOCAÇÕES'!$O$248,'DADOS_FORMAS'!$AM21='INVOCAÇÕES'!$P$248,'DADOS_FORMAS'!$AM21='INVOCAÇÕES'!$Q$248,'DADOS_FORMAS'!$AM21='INVOCAÇÕES'!$R$248,'DADOS_FORMAS'!$AM21=""),'DADOS_FORMAS'!$AR21),'DADOS_FORMAS'!$AH21,"")</f>
        <v/>
      </c>
      <c r="IN21">
        <f>IF(OR('DADOS_FORMAS'!$AM21='INVOCAÇÕES'!$O$444,'DADOS_FORMAS'!$AM21='INVOCAÇÕES'!$P$444,'DADOS_FORMAS'!$AM21='INVOCAÇÕES'!$Q$444,'DADOS_FORMAS'!$AM21='INVOCAÇÕES'!$R$444,'DADOS_FORMAS'!$AM21='INVOCAÇÕES'!$S$444,'DADOS_FORMAS'!$AM21='INVOCAÇÕES'!$O$446,'DADOS_FORMAS'!$AM21='INVOCAÇÕES'!$P$446,'DADOS_FORMAS'!$AM21='INVOCAÇÕES'!$Q$446,'DADOS_FORMAS'!$AM21='INVOCAÇÕES'!$R$446,'DADOS_FORMAS'!$AM21=""),'DADOS_FORMAS'!$AH21,"")</f>
        <v/>
      </c>
      <c r="IO21">
        <f>IF(AND(OR('DADOS_FORMAS'!$AM21='INVOCAÇÕES'!$O$444,'DADOS_FORMAS'!$AM21='INVOCAÇÕES'!$P$444,'DADOS_FORMAS'!$AM21='INVOCAÇÕES'!$Q$444,'DADOS_FORMAS'!$AM21='INVOCAÇÕES'!$R$444,'DADOS_FORMAS'!$AM21='INVOCAÇÕES'!$S$444,'DADOS_FORMAS'!$AM21='INVOCAÇÕES'!$O$446,'DADOS_FORMAS'!$AM21='INVOCAÇÕES'!$P$446,'DADOS_FORMAS'!$AM21='INVOCAÇÕES'!$Q$446,'DADOS_FORMAS'!$AM21='INVOCAÇÕES'!$R$446,'DADOS_FORMAS'!$AM21=""),'DADOS_FORMAS'!$AR21),'DADOS_FORMAS'!$AH21,"")</f>
        <v/>
      </c>
      <c r="IQ21">
        <f>IF(OR('DADOS_FORMAS'!$AM21='INVOCAÇÕES'!$O$642,'DADOS_FORMAS'!$AM21='INVOCAÇÕES'!$P$642,'DADOS_FORMAS'!$AM21='INVOCAÇÕES'!$Q$642,'DADOS_FORMAS'!$AM21='INVOCAÇÕES'!$R$642,'DADOS_FORMAS'!$AM21='INVOCAÇÕES'!$S$642,'DADOS_FORMAS'!$AM21='INVOCAÇÕES'!$O$644,'DADOS_FORMAS'!$AM21='INVOCAÇÕES'!$P$644,'DADOS_FORMAS'!$AM21='INVOCAÇÕES'!$Q$644,'DADOS_FORMAS'!$AM21='INVOCAÇÕES'!$R$644,'DADOS_FORMAS'!$AM21=""),'DADOS_FORMAS'!$AH21,"")</f>
        <v/>
      </c>
      <c r="IR21">
        <f>IF(AND(OR('DADOS_FORMAS'!$AM21='INVOCAÇÕES'!$O$642,'DADOS_FORMAS'!$AM21='INVOCAÇÕES'!$P$642,'DADOS_FORMAS'!$AM21='INVOCAÇÕES'!$Q$642,'DADOS_FORMAS'!$AM21='INVOCAÇÕES'!$R$642,'DADOS_FORMAS'!$AM21='INVOCAÇÕES'!$S$642,'DADOS_FORMAS'!$AM21='INVOCAÇÕES'!$O$644,'DADOS_FORMAS'!$AM21='INVOCAÇÕES'!$P$644,'DADOS_FORMAS'!$AM21='INVOCAÇÕES'!$Q$644,'DADOS_FORMAS'!$AM21='INVOCAÇÕES'!$R$644,'DADOS_FORMAS'!$AM21=""),'DADOS_FORMAS'!$AR21),'DADOS_FORMAS'!$AH21,"")</f>
        <v/>
      </c>
      <c r="IT21">
        <f>IF(OR('DADOS_FORMAS'!$AM21='INVOCAÇÕES'!$O$840,'DADOS_FORMAS'!$AM21='INVOCAÇÕES'!$P$840,'DADOS_FORMAS'!$AM21='INVOCAÇÕES'!$Q$840,'DADOS_FORMAS'!$AM21='INVOCAÇÕES'!$R$840,'DADOS_FORMAS'!$AM21='INVOCAÇÕES'!$S$840,'DADOS_FORMAS'!$AM21='INVOCAÇÕES'!$O$842,'DADOS_FORMAS'!$AM21='INVOCAÇÕES'!$P$842,'DADOS_FORMAS'!$AM21='INVOCAÇÕES'!$Q$842,'DADOS_FORMAS'!$AM21='INVOCAÇÕES'!$R$842,'DADOS_FORMAS'!$AM21=""),'DADOS_FORMAS'!$AH21,"")</f>
        <v/>
      </c>
      <c r="IU21">
        <f>IF(AND(OR('DADOS_FORMAS'!$AM21='INVOCAÇÕES'!$O$840,'DADOS_FORMAS'!$AM21='INVOCAÇÕES'!$P$840,'DADOS_FORMAS'!$AM21='INVOCAÇÕES'!$Q$840,'DADOS_FORMAS'!$AM21='INVOCAÇÕES'!$R$840,'DADOS_FORMAS'!$AM21='INVOCAÇÕES'!$S$840,'DADOS_FORMAS'!$AM21='INVOCAÇÕES'!$O$842,'DADOS_FORMAS'!$AM21='INVOCAÇÕES'!$P$842,'DADOS_FORMAS'!$AM21='INVOCAÇÕES'!$Q$842,'DADOS_FORMAS'!$AM21='INVOCAÇÕES'!$R$842,'DADOS_FORMAS'!$AM21=""),'DADOS_FORMAS'!$AR21),'DADOS_FORMAS'!$AH21,"")</f>
        <v/>
      </c>
      <c r="IW21">
        <f>IF(OR('DADOS_FORMAS'!$AM21='INVOCAÇÕES'!$O$1038,'DADOS_FORMAS'!$AM21='INVOCAÇÕES'!$P$1038,'DADOS_FORMAS'!$AM21='INVOCAÇÕES'!$Q$1038,'DADOS_FORMAS'!$AM21='INVOCAÇÕES'!$R$1038,'DADOS_FORMAS'!$AM21='INVOCAÇÕES'!$S$1038,'DADOS_FORMAS'!$AM21='INVOCAÇÕES'!$O$1040,'DADOS_FORMAS'!$AM21='INVOCAÇÕES'!$P$1040,'DADOS_FORMAS'!$AM21='INVOCAÇÕES'!$Q$1040,'DADOS_FORMAS'!$AM21='INVOCAÇÕES'!$R$1040,'DADOS_FORMAS'!$AM21=""),'DADOS_FORMAS'!$AH21,"")</f>
        <v/>
      </c>
      <c r="IX21">
        <f>IF(AND(OR('DADOS_FORMAS'!$AM21='INVOCAÇÕES'!$O$1038,'DADOS_FORMAS'!$AM21='INVOCAÇÕES'!$P$1038,'DADOS_FORMAS'!$AM21='INVOCAÇÕES'!$Q$1038,'DADOS_FORMAS'!$AM21='INVOCAÇÕES'!$R$1038,'DADOS_FORMAS'!$AM21='INVOCAÇÕES'!$S$1038,'DADOS_FORMAS'!$AM21='INVOCAÇÕES'!$O$1040,'DADOS_FORMAS'!$AM21='INVOCAÇÕES'!$P$1040,'DADOS_FORMAS'!$AM21='INVOCAÇÕES'!$Q$1040,'DADOS_FORMAS'!$AM21='INVOCAÇÕES'!$R$1040,'DADOS_FORMAS'!$AM21=""),'DADOS_FORMAS'!$AR21),'DADOS_FORMAS'!$AH21,"")</f>
        <v/>
      </c>
      <c r="IZ21">
        <f>IF(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H21,"")</f>
        <v/>
      </c>
      <c r="JA21">
        <f>IF(AND(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R21),'DADOS_FORMAS'!$AH21,"")</f>
        <v/>
      </c>
      <c r="JC21">
        <f>IF(OR('DADOS_FORMAS'!$AM21='INVOCAÇÕES'!$AH$246,'DADOS_FORMAS'!$AM21='INVOCAÇÕES'!$AI$246,'DADOS_FORMAS'!$AM21='INVOCAÇÕES'!$AJ$246,'DADOS_FORMAS'!$AM21='INVOCAÇÕES'!$AK$246,'DADOS_FORMAS'!$AM21='INVOCAÇÕES'!$AL$246,'DADOS_FORMAS'!$AM21='INVOCAÇÕES'!$AH$248,'DADOS_FORMAS'!$AM21='INVOCAÇÕES'!$AI$248,'DADOS_FORMAS'!$AM21='INVOCAÇÕES'!$AJ$248,'DADOS_FORMAS'!$AM21='INVOCAÇÕES'!$AK$248,'DADOS_FORMAS'!$AM21=""),'DADOS_FORMAS'!$AH21,"")</f>
        <v/>
      </c>
      <c r="JD21">
        <f>IF(AND(OR('DADOS_FORMAS'!$AM21='INVOCAÇÕES'!$AH$246,'DADOS_FORMAS'!$AM21='INVOCAÇÕES'!$AI$246,'DADOS_FORMAS'!$AM21='INVOCAÇÕES'!$AJ$246,'DADOS_FORMAS'!$AM21='INVOCAÇÕES'!$AK$246,'DADOS_FORMAS'!$AM21='INVOCAÇÕES'!$AL$246,'DADOS_FORMAS'!$AM21='INVOCAÇÕES'!$AH$248,'DADOS_FORMAS'!$AM21='INVOCAÇÕES'!$AI$248,'DADOS_FORMAS'!$AM21='INVOCAÇÕES'!$AJ$248,'DADOS_FORMAS'!$AM21='INVOCAÇÕES'!$AK$248,'DADOS_FORMAS'!$AM21=""),'DADOS_FORMAS'!$AR21),'DADOS_FORMAS'!$AH21,"")</f>
        <v/>
      </c>
      <c r="JF21">
        <f>IF(OR('DADOS_FORMAS'!$AM21='INVOCAÇÕES'!$AH$444,'DADOS_FORMAS'!$AM21='INVOCAÇÕES'!$AI$444,'DADOS_FORMAS'!$AM21='INVOCAÇÕES'!$AJ$444,'DADOS_FORMAS'!$AM21='INVOCAÇÕES'!$AK$444,'DADOS_FORMAS'!$AM21='INVOCAÇÕES'!$AL$444,'DADOS_FORMAS'!$AM21='INVOCAÇÕES'!$AH$446,'DADOS_FORMAS'!$AM21='INVOCAÇÕES'!$AI$446,'DADOS_FORMAS'!$AM21='INVOCAÇÕES'!$AJ$446,'DADOS_FORMAS'!$AM21='INVOCAÇÕES'!$AK$446,'DADOS_FORMAS'!$AM21=""),'DADOS_FORMAS'!$AH21,"")</f>
        <v/>
      </c>
      <c r="JG21">
        <f>IF(AND(OR('DADOS_FORMAS'!$AM21='INVOCAÇÕES'!$AH$444,'DADOS_FORMAS'!$AM21='INVOCAÇÕES'!$AI$444,'DADOS_FORMAS'!$AM21='INVOCAÇÕES'!$AJ$444,'DADOS_FORMAS'!$AM21='INVOCAÇÕES'!$AK$444,'DADOS_FORMAS'!$AM21='INVOCAÇÕES'!$AL$444,'DADOS_FORMAS'!$AM21='INVOCAÇÕES'!$AH$446,'DADOS_FORMAS'!$AM21='INVOCAÇÕES'!$AI$446,'DADOS_FORMAS'!$AM21='INVOCAÇÕES'!$AJ$446,'DADOS_FORMAS'!$AM21='INVOCAÇÕES'!$AK$446,'DADOS_FORMAS'!$AM21=""),'DADOS_FORMAS'!$AR21),'DADOS_FORMAS'!$AH21,"")</f>
        <v/>
      </c>
      <c r="JI21">
        <f>IF(OR('DADOS_FORMAS'!$AM21='INVOCAÇÕES'!$AH$642,'DADOS_FORMAS'!$AM21='INVOCAÇÕES'!$AI$642,'DADOS_FORMAS'!$AM21='INVOCAÇÕES'!$AJ$642,'DADOS_FORMAS'!$AM21='INVOCAÇÕES'!$AK$642,'DADOS_FORMAS'!$AM21='INVOCAÇÕES'!$AL$642,'DADOS_FORMAS'!$AM21='INVOCAÇÕES'!$AH$644,'DADOS_FORMAS'!$AM21='INVOCAÇÕES'!$AI$644,'DADOS_FORMAS'!$AM21='INVOCAÇÕES'!$AJ$644,'DADOS_FORMAS'!$AM21='INVOCAÇÕES'!$AK$644,'DADOS_FORMAS'!$AM21=""),'DADOS_FORMAS'!$AH21,"")</f>
        <v/>
      </c>
      <c r="JJ21">
        <f>IF(AND(OR('DADOS_FORMAS'!$AM21='INVOCAÇÕES'!$AH$642,'DADOS_FORMAS'!$AM21='INVOCAÇÕES'!$AI$642,'DADOS_FORMAS'!$AM21='INVOCAÇÕES'!$AJ$642,'DADOS_FORMAS'!$AM21='INVOCAÇÕES'!$AK$642,'DADOS_FORMAS'!$AM21='INVOCAÇÕES'!$AL$642,'DADOS_FORMAS'!$AM21='INVOCAÇÕES'!$AH$644,'DADOS_FORMAS'!$AM21='INVOCAÇÕES'!$AI$644,'DADOS_FORMAS'!$AM21='INVOCAÇÕES'!$AJ$644,'DADOS_FORMAS'!$AM21='INVOCAÇÕES'!$AK$644,'DADOS_FORMAS'!$AM21=""),'DADOS_FORMAS'!$AR21),'DADOS_FORMAS'!$AH21,"")</f>
        <v/>
      </c>
      <c r="JL21">
        <f>IF(OR('DADOS_FORMAS'!$AM21='INVOCAÇÕES'!$AH$840,'DADOS_FORMAS'!$AM21='INVOCAÇÕES'!$AI$840,'DADOS_FORMAS'!$AM21='INVOCAÇÕES'!$AJ$840,'DADOS_FORMAS'!$AM21='INVOCAÇÕES'!$AK$840,'DADOS_FORMAS'!$AM21='INVOCAÇÕES'!$AL$840,'DADOS_FORMAS'!$AM21='INVOCAÇÕES'!$AH$842,'DADOS_FORMAS'!$AM21='INVOCAÇÕES'!$AI$842,'DADOS_FORMAS'!$AM21='INVOCAÇÕES'!$AJ$842,'DADOS_FORMAS'!$AM21='INVOCAÇÕES'!$AK$842,'DADOS_FORMAS'!$AM21=""),'DADOS_FORMAS'!$AH21,"")</f>
        <v/>
      </c>
      <c r="JM21">
        <f>IF(AND(OR('DADOS_FORMAS'!$AM21='INVOCAÇÕES'!$AH$840,'DADOS_FORMAS'!$AM21='INVOCAÇÕES'!$AI$840,'DADOS_FORMAS'!$AM21='INVOCAÇÕES'!$AJ$840,'DADOS_FORMAS'!$AM21='INVOCAÇÕES'!$AK$840,'DADOS_FORMAS'!$AM21='INVOCAÇÕES'!$AL$840,'DADOS_FORMAS'!$AM21='INVOCAÇÕES'!$AH$842,'DADOS_FORMAS'!$AM21='INVOCAÇÕES'!$AI$842,'DADOS_FORMAS'!$AM21='INVOCAÇÕES'!$AJ$842,'DADOS_FORMAS'!$AM21='INVOCAÇÕES'!$AK$842,'DADOS_FORMAS'!$AM21=""),'DADOS_FORMAS'!$AR21),'DADOS_FORMAS'!$AH21,"")</f>
        <v/>
      </c>
      <c r="JO21">
        <f>IF(OR('DADOS_FORMAS'!$AM21='INVOCAÇÕES'!$AH$1038,'DADOS_FORMAS'!$AM21='INVOCAÇÕES'!$AI$1038,'DADOS_FORMAS'!$AM21='INVOCAÇÕES'!$AJ$1038,'DADOS_FORMAS'!$AM21='INVOCAÇÕES'!$AK$1038,'DADOS_FORMAS'!$AM21='INVOCAÇÕES'!$AL$1038,'DADOS_FORMAS'!$AM21='INVOCAÇÕES'!$AH$1040,'DADOS_FORMAS'!$AM21='INVOCAÇÕES'!$AI$1040,'DADOS_FORMAS'!$AM21='INVOCAÇÕES'!$AJ$1040,'DADOS_FORMAS'!$AM21='INVOCAÇÕES'!$AK$1040,'DADOS_FORMAS'!$AM21=""),'DADOS_FORMAS'!$AH21,"")</f>
        <v/>
      </c>
      <c r="JP21">
        <f>IF(AND(OR('DADOS_FORMAS'!$AM21='INVOCAÇÕES'!$AH$1038,'DADOS_FORMAS'!$AM21='INVOCAÇÕES'!$AI$1038,'DADOS_FORMAS'!$AM21='INVOCAÇÕES'!$AJ$1038,'DADOS_FORMAS'!$AM21='INVOCAÇÕES'!$AK$1038,'DADOS_FORMAS'!$AM21='INVOCAÇÕES'!$AL$1038,'DADOS_FORMAS'!$AM21='INVOCAÇÕES'!$AH$1040,'DADOS_FORMAS'!$AM21='INVOCAÇÕES'!$AI$1040,'DADOS_FORMAS'!$AM21='INVOCAÇÕES'!$AJ$1040,'DADOS_FORMAS'!$AM21='INVOCAÇÕES'!$AK$1040,'DADOS_FORMAS'!$AM21=""),'DADOS_FORMAS'!$AR21),'DADOS_FORMAS'!$AH21,"")</f>
        <v/>
      </c>
      <c r="JZ21">
        <f>IFERROR(INDEX('DADOS_CRIACAO'!$H$2:$H$20,19),"")</f>
        <v/>
      </c>
      <c r="KA21">
        <f>IFERROR(INDEX(INDEX('DADOS_RESTRICOES'!$M$2:$Q$54,0,1),19),"")</f>
        <v/>
      </c>
    </row>
    <row r="22">
      <c r="GR22">
        <f>'DADOS_FORMAS'!$BL15</f>
        <v/>
      </c>
      <c r="GS22">
        <f>IF('DADOS_FORMAS'!$BL15="area",'DADOS_FORMAS'!$AU15,'DADOS_FORMAS'!$AT15)</f>
        <v/>
      </c>
      <c r="GT22">
        <f>IF('DADOS_FORMAS'!$BL15="area",'DADOS_FORMAS'!$BD15,'DADOS_FORMAS'!$AW15)</f>
        <v/>
      </c>
      <c r="GU22">
        <f>'DADOS_FORMAS'!$BM15</f>
        <v/>
      </c>
      <c r="GV22">
        <f>'DADOS_FORMAS'!$BN15</f>
        <v/>
      </c>
      <c r="GW22">
        <f>LET(base,'DADOS_FORMAS'!$GT22,escada,'DADOS_FORMAS'!$GS22,medida,LEFT(base,MAX(0,LEN(base)-2)),valor,IFERROR(VALUE(SUBSTITUTE(medida,",",""))/10^IFERROR(LEN(medida)-FIND(",",medida),0),1E99),IF(OR(escada="Fixo",base="—"),base,IF(escada="alcance",IFERROR(MATCH(base,{"1,5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2" t="inlineStr">
        <is>
          <t>Cura · classes 6 e 7</t>
        </is>
      </c>
      <c r="GZ22" t="inlineStr">
        <is>
          <t>Um aliado a 18 m</t>
        </is>
      </c>
      <c r="HA22" t="inlineStr">
        <is>
          <t>Um aliado a 36 m</t>
        </is>
      </c>
      <c r="HB22" t="inlineStr">
        <is>
          <t>Um aliado a 90 m</t>
        </is>
      </c>
      <c r="HC22" t="inlineStr">
        <is>
          <t>Um aliado a visão a olho nu</t>
        </is>
      </c>
      <c r="HD22" t="inlineStr">
        <is>
          <t>Um aliado a visão a olho nu</t>
        </is>
      </c>
      <c r="HE22" t="inlineStr">
        <is>
          <t>Um aliado a visão a olho nu</t>
        </is>
      </c>
      <c r="HF22" t="inlineStr"/>
      <c r="HG22" t="inlineStr"/>
      <c r="HH22" t="inlineStr"/>
      <c r="HI22" t="inlineStr"/>
      <c r="HJ22" t="inlineStr"/>
      <c r="HK22" t="inlineStr"/>
      <c r="HM22">
        <f>'DADOS_FORMAS'!$BL14</f>
        <v/>
      </c>
      <c r="HN22">
        <f>IF('DADOS_FORMAS'!$BL14="area",'DADOS_FORMAS'!$AU14,'DADOS_FORMAS'!$AT14)</f>
        <v/>
      </c>
      <c r="HO22">
        <f>IF('DADOS_FORMAS'!$BL14="area",'DADOS_FORMAS'!$BH14,'DADOS_FORMAS'!$BA14)</f>
        <v/>
      </c>
      <c r="HP22">
        <f>'DADOS_FORMAS'!$BM14</f>
        <v/>
      </c>
      <c r="HQ22">
        <f>'DADOS_FORMAS'!$BN14</f>
        <v/>
      </c>
      <c r="HR22">
        <f>LET(base,'DADOS_FORMAS'!$HO22,escada,'DADOS_FORMAS'!$HN22,medida,LEFT(base,MAX(0,LEN(base)-2)),valor,IFERROR(VALUE(SUBSTITUTE(medida,",",""))/10^IFERROR(LEN(medida)-FIND(",",medida),0),1E99),IF(OR(escada="Fixo",base="—"),base,IF(escada="alcance",IFERROR(MATCH(base,{"1,5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2" t="inlineStr">
        <is>
          <t>Linha · classe 0</t>
        </is>
      </c>
      <c r="HU22" t="inlineStr">
        <is>
          <t>Linha de 9 m por 1,5 m</t>
        </is>
      </c>
      <c r="HV22" t="inlineStr">
        <is>
          <t>Linha de 18 m por 1,5 m</t>
        </is>
      </c>
      <c r="HW22" t="inlineStr">
        <is>
          <t>Linha de 30 m por 1,5 m</t>
        </is>
      </c>
      <c r="HX22" t="inlineStr">
        <is>
          <t>Linha de 60 m por 1,5 m</t>
        </is>
      </c>
      <c r="HY22" t="inlineStr">
        <is>
          <t>Linha de 60 m por 1,5 m</t>
        </is>
      </c>
      <c r="HZ22" t="inlineStr">
        <is>
          <t>Linha de 60 m por 1,5 m</t>
        </is>
      </c>
      <c r="IA22" t="inlineStr"/>
      <c r="IB22" t="inlineStr"/>
      <c r="IC22" t="inlineStr"/>
      <c r="ID22" t="inlineStr"/>
      <c r="IE22" t="inlineStr"/>
      <c r="IF22" t="inlineStr"/>
      <c r="KA22">
        <f>IFERROR(INDEX(INDEX('DADOS_RESTRICOES'!$M$2:$Q$54,0,1),20),"")</f>
        <v/>
      </c>
    </row>
    <row r="23">
      <c r="GR23">
        <f>'DADOS_FORMAS'!$BP15</f>
        <v/>
      </c>
      <c r="GS23">
        <f>IF('DADOS_FORMAS'!$BP15="area",'DADOS_FORMAS'!$AU15,'DADOS_FORMAS'!$AT15)</f>
        <v/>
      </c>
      <c r="GT23">
        <f>IF('DADOS_FORMAS'!$BP15="area",'DADOS_FORMAS'!$BD15,'DADOS_FORMAS'!$AW15)</f>
        <v/>
      </c>
      <c r="GU23">
        <f>'DADOS_FORMAS'!$BQ15</f>
        <v/>
      </c>
      <c r="GV23">
        <f>'DADOS_FORMAS'!$BR15</f>
        <v/>
      </c>
      <c r="GW23">
        <f>LET(base,'DADOS_FORMAS'!$GT23,escada,'DADOS_FORMAS'!$GS23,medida,LEFT(base,MAX(0,LEN(base)-2)),valor,IFERROR(VALUE(SUBSTITUTE(medida,",",""))/10^IFERROR(LEN(medida)-FIND(",",medida),0),1E99),IF(OR(escada="Fixo",base="—"),base,IF(escada="alcance",IFERROR(MATCH(base,{"1,5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3" t="inlineStr">
        <is>
          <t>Apoio · classe 0</t>
        </is>
      </c>
      <c r="GZ23" t="inlineStr">
        <is>
          <t>Um aliado a 4,5 m</t>
        </is>
      </c>
      <c r="HA23" t="inlineStr">
        <is>
          <t>Um aliado a 9 m</t>
        </is>
      </c>
      <c r="HB23" t="inlineStr">
        <is>
          <t>Um aliado a 18 m</t>
        </is>
      </c>
      <c r="HC23" t="inlineStr">
        <is>
          <t>Um aliado a 36 m</t>
        </is>
      </c>
      <c r="HD23" t="inlineStr">
        <is>
          <t>Um aliado a 90 m</t>
        </is>
      </c>
      <c r="HE23" t="inlineStr">
        <is>
          <t>Um aliado a visão a olho nu</t>
        </is>
      </c>
      <c r="HF23" t="inlineStr"/>
      <c r="HG23" t="inlineStr"/>
      <c r="HH23" t="inlineStr"/>
      <c r="HI23" t="inlineStr"/>
      <c r="HJ23" t="inlineStr"/>
      <c r="HK23" t="inlineStr"/>
      <c r="HM23">
        <f>'DADOS_FORMAS'!$BP14</f>
        <v/>
      </c>
      <c r="HN23">
        <f>IF('DADOS_FORMAS'!$BP14="area",'DADOS_FORMAS'!$AU14,'DADOS_FORMAS'!$AT14)</f>
        <v/>
      </c>
      <c r="HO23">
        <f>IF('DADOS_FORMAS'!$BP14="area",'DADOS_FORMAS'!$BH14,'DADOS_FORMAS'!$BA14)</f>
        <v/>
      </c>
      <c r="HP23">
        <f>'DADOS_FORMAS'!$BQ14</f>
        <v/>
      </c>
      <c r="HQ23">
        <f>'DADOS_FORMAS'!$BR14</f>
        <v/>
      </c>
      <c r="HR23">
        <f>LET(base,'DADOS_FORMAS'!$HO23,escada,'DADOS_FORMAS'!$HN23,medida,LEFT(base,MAX(0,LEN(base)-2)),valor,IFERROR(VALUE(SUBSTITUTE(medida,",",""))/10^IFERROR(LEN(medida)-FIND(",",medida),0),1E99),IF(OR(escada="Fixo",base="—"),base,IF(escada="alcance",IFERROR(MATCH(base,{"1,5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3" t="inlineStr">
        <is>
          <t>Linha · classes 1 a 5</t>
        </is>
      </c>
      <c r="HU23" t="inlineStr">
        <is>
          <t>Linha de 18 m por 1,5 m</t>
        </is>
      </c>
      <c r="HV23" t="inlineStr">
        <is>
          <t>Linha de 30 m por 1,5 m</t>
        </is>
      </c>
      <c r="HW23" t="inlineStr">
        <is>
          <t>Linha de 60 m por 1,5 m</t>
        </is>
      </c>
      <c r="HX23" t="inlineStr">
        <is>
          <t>Linha de 60 m por 1,5 m</t>
        </is>
      </c>
      <c r="HY23" t="inlineStr">
        <is>
          <t>Linha de 60 m por 1,5 m</t>
        </is>
      </c>
      <c r="HZ23" t="inlineStr">
        <is>
          <t>Linha de 60 m por 1,5 m</t>
        </is>
      </c>
      <c r="IA23" t="inlineStr"/>
      <c r="IB23" t="inlineStr"/>
      <c r="IC23" t="inlineStr"/>
      <c r="ID23" t="inlineStr"/>
      <c r="IE23" t="inlineStr"/>
      <c r="IF23" t="inlineStr"/>
      <c r="KA23">
        <f>IFERROR(INDEX(INDEX('DADOS_RESTRICOES'!$M$2:$Q$54,0,1),21),"")</f>
        <v/>
      </c>
    </row>
    <row r="24">
      <c r="GR24">
        <f>'DADOS_FORMAS'!$BL15</f>
        <v/>
      </c>
      <c r="GS24">
        <f>IF('DADOS_FORMAS'!$BL15="area",'DADOS_FORMAS'!$AU15,'DADOS_FORMAS'!$AT15)</f>
        <v/>
      </c>
      <c r="GT24">
        <f>IF('DADOS_FORMAS'!$BL15="area",'DADOS_FORMAS'!$BE15,'DADOS_FORMAS'!$AX15)</f>
        <v/>
      </c>
      <c r="GU24">
        <f>'DADOS_FORMAS'!$BM15</f>
        <v/>
      </c>
      <c r="GV24">
        <f>'DADOS_FORMAS'!$BN15</f>
        <v/>
      </c>
      <c r="GW24">
        <f>LET(base,'DADOS_FORMAS'!$GT24,escada,'DADOS_FORMAS'!$GS24,medida,LEFT(base,MAX(0,LEN(base)-2)),valor,IFERROR(VALUE(SUBSTITUTE(medida,",",""))/10^IFERROR(LEN(medida)-FIND(",",medida),0),1E99),IF(OR(escada="Fixo",base="—"),base,IF(escada="alcance",IFERROR(MATCH(base,{"1,5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4" t="inlineStr">
        <is>
          <t>Apoio · classes 1 a 5</t>
        </is>
      </c>
      <c r="GZ24" t="inlineStr">
        <is>
          <t>Um aliado a 9 m</t>
        </is>
      </c>
      <c r="HA24" t="inlineStr">
        <is>
          <t>Um aliado a 18 m</t>
        </is>
      </c>
      <c r="HB24" t="inlineStr">
        <is>
          <t>Um aliado a 36 m</t>
        </is>
      </c>
      <c r="HC24" t="inlineStr">
        <is>
          <t>Um aliado a 90 m</t>
        </is>
      </c>
      <c r="HD24" t="inlineStr">
        <is>
          <t>Um aliado a visão a olho nu</t>
        </is>
      </c>
      <c r="HE24" t="inlineStr">
        <is>
          <t>Um aliado a visão a olho nu</t>
        </is>
      </c>
      <c r="HF24" t="inlineStr"/>
      <c r="HG24" t="inlineStr"/>
      <c r="HH24" t="inlineStr"/>
      <c r="HI24" t="inlineStr"/>
      <c r="HJ24" t="inlineStr"/>
      <c r="HK24" t="inlineStr"/>
      <c r="HM24">
        <f>'DADOS_FORMAS'!$BL14</f>
        <v/>
      </c>
      <c r="HN24">
        <f>IF('DADOS_FORMAS'!$BL14="area",'DADOS_FORMAS'!$AU14,'DADOS_FORMAS'!$AT14)</f>
        <v/>
      </c>
      <c r="HO24">
        <f>IF('DADOS_FORMAS'!$BL14="area",'DADOS_FORMAS'!$BI14,'DADOS_FORMAS'!$BB14)</f>
        <v/>
      </c>
      <c r="HP24">
        <f>'DADOS_FORMAS'!$BM14</f>
        <v/>
      </c>
      <c r="HQ24">
        <f>'DADOS_FORMAS'!$BN14</f>
        <v/>
      </c>
      <c r="HR24">
        <f>LET(base,'DADOS_FORMAS'!$HO24,escada,'DADOS_FORMAS'!$HN24,medida,LEFT(base,MAX(0,LEN(base)-2)),valor,IFERROR(VALUE(SUBSTITUTE(medida,",",""))/10^IFERROR(LEN(medida)-FIND(",",medida),0),1E99),IF(OR(escada="Fixo",base="—"),base,IF(escada="alcance",IFERROR(MATCH(base,{"1,5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4" t="inlineStr">
        <is>
          <t>Linha · classe 6</t>
        </is>
      </c>
      <c r="HU24" t="inlineStr">
        <is>
          <t>Linha de 18 m por 1,5 m</t>
        </is>
      </c>
      <c r="HV24" t="inlineStr">
        <is>
          <t>Linha de 30 m por 1,5 m</t>
        </is>
      </c>
      <c r="HW24" t="inlineStr">
        <is>
          <t>Linha de 60 m por 1,5 m</t>
        </is>
      </c>
      <c r="HX24" t="inlineStr">
        <is>
          <t>Linha de 60 m por 1,5 m</t>
        </is>
      </c>
      <c r="HY24" t="inlineStr">
        <is>
          <t>Linha de 60 m por 1,5 m</t>
        </is>
      </c>
      <c r="HZ24" t="inlineStr">
        <is>
          <t>Linha de 60 m por 1,5 m</t>
        </is>
      </c>
      <c r="IA24" t="inlineStr"/>
      <c r="IB24" t="inlineStr"/>
      <c r="IC24" t="inlineStr"/>
      <c r="ID24" t="inlineStr"/>
      <c r="IE24" t="inlineStr"/>
      <c r="IF24" t="inlineStr"/>
      <c r="KA24">
        <f>IFERROR(INDEX(INDEX('DADOS_RESTRICOES'!$M$2:$Q$54,0,1),22),"")</f>
        <v/>
      </c>
    </row>
    <row r="25">
      <c r="GR25">
        <f>'DADOS_FORMAS'!$BP15</f>
        <v/>
      </c>
      <c r="GS25">
        <f>IF('DADOS_FORMAS'!$BP15="area",'DADOS_FORMAS'!$AU15,'DADOS_FORMAS'!$AT15)</f>
        <v/>
      </c>
      <c r="GT25">
        <f>IF('DADOS_FORMAS'!$BP15="area",'DADOS_FORMAS'!$BE15,'DADOS_FORMAS'!$AX15)</f>
        <v/>
      </c>
      <c r="GU25">
        <f>'DADOS_FORMAS'!$BQ15</f>
        <v/>
      </c>
      <c r="GV25">
        <f>'DADOS_FORMAS'!$BR15</f>
        <v/>
      </c>
      <c r="GW25">
        <f>LET(base,'DADOS_FORMAS'!$GT25,escada,'DADOS_FORMAS'!$GS25,medida,LEFT(base,MAX(0,LEN(base)-2)),valor,IFERROR(VALUE(SUBSTITUTE(medida,",",""))/10^IFERROR(LEN(medida)-FIND(",",medida),0),1E99),IF(OR(escada="Fixo",base="—"),base,IF(escada="alcance",IFERROR(MATCH(base,{"1,5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5" t="inlineStr">
        <is>
          <t>Apoio · classes 6 e 7</t>
        </is>
      </c>
      <c r="GZ25" t="inlineStr">
        <is>
          <t>Um aliado a 18 m</t>
        </is>
      </c>
      <c r="HA25" t="inlineStr">
        <is>
          <t>Um aliado a 36 m</t>
        </is>
      </c>
      <c r="HB25" t="inlineStr">
        <is>
          <t>Um aliado a 90 m</t>
        </is>
      </c>
      <c r="HC25" t="inlineStr">
        <is>
          <t>Um aliado a visão a olho nu</t>
        </is>
      </c>
      <c r="HD25" t="inlineStr">
        <is>
          <t>Um aliado a visão a olho nu</t>
        </is>
      </c>
      <c r="HE25" t="inlineStr">
        <is>
          <t>Um aliado a visão a olho nu</t>
        </is>
      </c>
      <c r="HF25" t="inlineStr"/>
      <c r="HG25" t="inlineStr"/>
      <c r="HH25" t="inlineStr"/>
      <c r="HI25" t="inlineStr"/>
      <c r="HJ25" t="inlineStr"/>
      <c r="HK25" t="inlineStr"/>
      <c r="HM25">
        <f>'DADOS_FORMAS'!$BP14</f>
        <v/>
      </c>
      <c r="HN25">
        <f>IF('DADOS_FORMAS'!$BP14="area",'DADOS_FORMAS'!$AU14,'DADOS_FORMAS'!$AT14)</f>
        <v/>
      </c>
      <c r="HO25">
        <f>IF('DADOS_FORMAS'!$BP14="area",'DADOS_FORMAS'!$BI14,'DADOS_FORMAS'!$BB14)</f>
        <v/>
      </c>
      <c r="HP25">
        <f>'DADOS_FORMAS'!$BQ14</f>
        <v/>
      </c>
      <c r="HQ25">
        <f>'DADOS_FORMAS'!$BR14</f>
        <v/>
      </c>
      <c r="HR25">
        <f>LET(base,'DADOS_FORMAS'!$HO25,escada,'DADOS_FORMAS'!$HN25,medida,LEFT(base,MAX(0,LEN(base)-2)),valor,IFERROR(VALUE(SUBSTITUTE(medida,",",""))/10^IFERROR(LEN(medida)-FIND(",",medida),0),1E99),IF(OR(escada="Fixo",base="—"),base,IF(escada="alcance",IFERROR(MATCH(base,{"1,5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5" t="inlineStr">
        <is>
          <t>Linha · classe 7</t>
        </is>
      </c>
      <c r="HU25" t="inlineStr">
        <is>
          <t>Linha de 30 m por 1,5 m</t>
        </is>
      </c>
      <c r="HV25" t="inlineStr">
        <is>
          <t>Linha de 60 m por 1,5 m</t>
        </is>
      </c>
      <c r="HW25" t="inlineStr">
        <is>
          <t>Linha de 60 m por 1,5 m</t>
        </is>
      </c>
      <c r="HX25" t="inlineStr">
        <is>
          <t>Linha de 60 m por 1,5 m</t>
        </is>
      </c>
      <c r="HY25" t="inlineStr">
        <is>
          <t>Linha de 60 m por 1,5 m</t>
        </is>
      </c>
      <c r="HZ25" t="inlineStr">
        <is>
          <t>Linha de 60 m por 1,5 m</t>
        </is>
      </c>
      <c r="IA25" t="inlineStr"/>
      <c r="IB25" t="inlineStr"/>
      <c r="IC25" t="inlineStr"/>
      <c r="ID25" t="inlineStr"/>
      <c r="IE25" t="inlineStr"/>
      <c r="IF25" t="inlineStr"/>
      <c r="KA25">
        <f>IFERROR(INDEX(INDEX('DADOS_RESTRICOES'!$M$2:$Q$54,0,1),23),"")</f>
        <v/>
      </c>
    </row>
    <row r="26">
      <c r="GR26">
        <f>'DADOS_FORMAS'!$BL16</f>
        <v/>
      </c>
      <c r="GS26">
        <f>IF('DADOS_FORMAS'!$BL16="area",'DADOS_FORMAS'!$AU16,'DADOS_FORMAS'!$AT16)</f>
        <v/>
      </c>
      <c r="GT26">
        <f>IF('DADOS_FORMAS'!$BL16="area",'DADOS_FORMAS'!$BC16,'DADOS_FORMAS'!$AV16)</f>
        <v/>
      </c>
      <c r="GU26">
        <f>'DADOS_FORMAS'!$BM16</f>
        <v/>
      </c>
      <c r="GV26">
        <f>'DADOS_FORMAS'!$BN16</f>
        <v/>
      </c>
      <c r="GW26">
        <f>LET(base,'DADOS_FORMAS'!$GT26,escada,'DADOS_FORMAS'!$GS26,medida,LEFT(base,MAX(0,LEN(base)-2)),valor,IFERROR(VALUE(SUBSTITUTE(medida,",",""))/10^IFERROR(LEN(medida)-FIND(",",medida),0),1E99),IF(OR(escada="Fixo",base="—"),base,IF(escada="alcance",IFERROR(MATCH(base,{"1,5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6" t="inlineStr">
        <is>
          <t>Onda · classe 0</t>
        </is>
      </c>
      <c r="GZ26" t="inlineStr">
        <is>
          <t>—</t>
        </is>
      </c>
      <c r="HA26" t="inlineStr">
        <is>
          <t>—</t>
        </is>
      </c>
      <c r="HB26" t="inlineStr">
        <is>
          <t>—</t>
        </is>
      </c>
      <c r="HC26" t="inlineStr">
        <is>
          <t>—</t>
        </is>
      </c>
      <c r="HD26" t="inlineStr">
        <is>
          <t>—</t>
        </is>
      </c>
      <c r="HE26" t="inlineStr">
        <is>
          <t>—</t>
        </is>
      </c>
      <c r="HF26" t="inlineStr"/>
      <c r="HG26" t="inlineStr"/>
      <c r="HH26" t="inlineStr"/>
      <c r="HI26" t="inlineStr"/>
      <c r="HJ26" t="inlineStr"/>
      <c r="HK26" t="inlineStr"/>
      <c r="HM26">
        <f>'DADOS_FORMAS'!$BL15</f>
        <v/>
      </c>
      <c r="HN26">
        <f>IF('DADOS_FORMAS'!$BL15="area",'DADOS_FORMAS'!$AU15,'DADOS_FORMAS'!$AT15)</f>
        <v/>
      </c>
      <c r="HO26">
        <f>IF('DADOS_FORMAS'!$BL15="area",'DADOS_FORMAS'!$BF15,'DADOS_FORMAS'!$AY15)</f>
        <v/>
      </c>
      <c r="HP26">
        <f>'DADOS_FORMAS'!$BM15</f>
        <v/>
      </c>
      <c r="HQ26">
        <f>'DADOS_FORMAS'!$BN15</f>
        <v/>
      </c>
      <c r="HR26">
        <f>LET(base,'DADOS_FORMAS'!$HO26,escada,'DADOS_FORMAS'!$HN26,medida,LEFT(base,MAX(0,LEN(base)-2)),valor,IFERROR(VALUE(SUBSTITUTE(medida,",",""))/10^IFERROR(LEN(medida)-FIND(",",medida),0),1E99),IF(OR(escada="Fixo",base="—"),base,IF(escada="alcance",IFERROR(MATCH(base,{"1,5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6" t="inlineStr">
        <is>
          <t>Cura · classe 0</t>
        </is>
      </c>
      <c r="HU26" t="inlineStr">
        <is>
          <t>—</t>
        </is>
      </c>
      <c r="HV26" t="inlineStr">
        <is>
          <t>—</t>
        </is>
      </c>
      <c r="HW26" t="inlineStr">
        <is>
          <t>—</t>
        </is>
      </c>
      <c r="HX26" t="inlineStr">
        <is>
          <t>—</t>
        </is>
      </c>
      <c r="HY26" t="inlineStr">
        <is>
          <t>—</t>
        </is>
      </c>
      <c r="HZ26" t="inlineStr">
        <is>
          <t>—</t>
        </is>
      </c>
      <c r="IA26" t="inlineStr"/>
      <c r="IB26" t="inlineStr"/>
      <c r="IC26" t="inlineStr"/>
      <c r="ID26" t="inlineStr"/>
      <c r="IE26" t="inlineStr"/>
      <c r="IF26" t="inlineStr"/>
      <c r="KA26">
        <f>IFERROR(INDEX(INDEX('DADOS_RESTRICOES'!$M$2:$Q$54,0,1),24),"")</f>
        <v/>
      </c>
    </row>
    <row r="27">
      <c r="GR27">
        <f>'DADOS_FORMAS'!$BP16</f>
        <v/>
      </c>
      <c r="GS27">
        <f>IF('DADOS_FORMAS'!$BP16="area",'DADOS_FORMAS'!$AU16,'DADOS_FORMAS'!$AT16)</f>
        <v/>
      </c>
      <c r="GT27">
        <f>IF('DADOS_FORMAS'!$BP16="area",'DADOS_FORMAS'!$BC16,'DADOS_FORMAS'!$AV16)</f>
        <v/>
      </c>
      <c r="GU27">
        <f>'DADOS_FORMAS'!$BQ16</f>
        <v/>
      </c>
      <c r="GV27">
        <f>'DADOS_FORMAS'!$BR16</f>
        <v/>
      </c>
      <c r="GW27">
        <f>LET(base,'DADOS_FORMAS'!$GT27,escada,'DADOS_FORMAS'!$GS27,medida,LEFT(base,MAX(0,LEN(base)-2)),valor,IFERROR(VALUE(SUBSTITUTE(medida,",",""))/10^IFERROR(LEN(medida)-FIND(",",medida),0),1E99),IF(OR(escada="Fixo",base="—"),base,IF(escada="alcance",IFERROR(MATCH(base,{"1,5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7" t="inlineStr">
        <is>
          <t>Onda · classes 1 a 5</t>
        </is>
      </c>
      <c r="GZ27" t="inlineStr">
        <is>
          <t>Raio 3 m, em você</t>
        </is>
      </c>
      <c r="HA27" t="inlineStr">
        <is>
          <t>Raio 4,5 m, em você</t>
        </is>
      </c>
      <c r="HB27" t="inlineStr">
        <is>
          <t>Raio 6 m, em você</t>
        </is>
      </c>
      <c r="HC27" t="inlineStr">
        <is>
          <t>Raio 9 m, em você</t>
        </is>
      </c>
      <c r="HD27" t="inlineStr">
        <is>
          <t>Raio 15 m, em você</t>
        </is>
      </c>
      <c r="HE27" t="inlineStr">
        <is>
          <t>Raio 15 m, em você</t>
        </is>
      </c>
      <c r="HF27" t="inlineStr"/>
      <c r="HG27" t="inlineStr"/>
      <c r="HH27" t="inlineStr"/>
      <c r="HI27" t="inlineStr"/>
      <c r="HJ27" t="inlineStr"/>
      <c r="HK27" t="inlineStr"/>
      <c r="HM27">
        <f>'DADOS_FORMAS'!$BP15</f>
        <v/>
      </c>
      <c r="HN27">
        <f>IF('DADOS_FORMAS'!$BP15="area",'DADOS_FORMAS'!$AU15,'DADOS_FORMAS'!$AT15)</f>
        <v/>
      </c>
      <c r="HO27">
        <f>IF('DADOS_FORMAS'!$BP15="area",'DADOS_FORMAS'!$BF15,'DADOS_FORMAS'!$AY15)</f>
        <v/>
      </c>
      <c r="HP27">
        <f>'DADOS_FORMAS'!$BQ15</f>
        <v/>
      </c>
      <c r="HQ27">
        <f>'DADOS_FORMAS'!$BR15</f>
        <v/>
      </c>
      <c r="HR27">
        <f>LET(base,'DADOS_FORMAS'!$HO27,escada,'DADOS_FORMAS'!$HN27,medida,LEFT(base,MAX(0,LEN(base)-2)),valor,IFERROR(VALUE(SUBSTITUTE(medida,",",""))/10^IFERROR(LEN(medida)-FIND(",",medida),0),1E99),IF(OR(escada="Fixo",base="—"),base,IF(escada="alcance",IFERROR(MATCH(base,{"1,5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7" t="inlineStr">
        <is>
          <t>Cura · classes 1 a 5</t>
        </is>
      </c>
      <c r="HU27" t="inlineStr">
        <is>
          <t>Um aliado a 9 m</t>
        </is>
      </c>
      <c r="HV27" t="inlineStr">
        <is>
          <t>Um aliado a 18 m</t>
        </is>
      </c>
      <c r="HW27" t="inlineStr">
        <is>
          <t>Um aliado a 36 m</t>
        </is>
      </c>
      <c r="HX27" t="inlineStr">
        <is>
          <t>Um aliado a 90 m</t>
        </is>
      </c>
      <c r="HY27" t="inlineStr">
        <is>
          <t>Um aliado a visão a olho nu</t>
        </is>
      </c>
      <c r="HZ27" t="inlineStr">
        <is>
          <t>Um aliado a visão a olho nu</t>
        </is>
      </c>
      <c r="IA27" t="inlineStr"/>
      <c r="IB27" t="inlineStr"/>
      <c r="IC27" t="inlineStr"/>
      <c r="ID27" t="inlineStr"/>
      <c r="IE27" t="inlineStr"/>
      <c r="IF27" t="inlineStr"/>
      <c r="KA27">
        <f>IFERROR(INDEX(INDEX('DADOS_RESTRICOES'!$M$2:$Q$54,0,1),25),"")</f>
        <v/>
      </c>
    </row>
    <row r="28">
      <c r="GR28">
        <f>'DADOS_FORMAS'!$BL16</f>
        <v/>
      </c>
      <c r="GS28">
        <f>IF('DADOS_FORMAS'!$BL16="area",'DADOS_FORMAS'!$AU16,'DADOS_FORMAS'!$AT16)</f>
        <v/>
      </c>
      <c r="GT28">
        <f>IF('DADOS_FORMAS'!$BL16="area",'DADOS_FORMAS'!$BD16,'DADOS_FORMAS'!$AW16)</f>
        <v/>
      </c>
      <c r="GU28">
        <f>'DADOS_FORMAS'!$BM16</f>
        <v/>
      </c>
      <c r="GV28">
        <f>'DADOS_FORMAS'!$BN16</f>
        <v/>
      </c>
      <c r="GW28">
        <f>LET(base,'DADOS_FORMAS'!$GT28,escada,'DADOS_FORMAS'!$GS28,medida,LEFT(base,MAX(0,LEN(base)-2)),valor,IFERROR(VALUE(SUBSTITUTE(medida,",",""))/10^IFERROR(LEN(medida)-FIND(",",medida),0),1E99),IF(OR(escada="Fixo",base="—"),base,IF(escada="alcance",IFERROR(MATCH(base,{"1,5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8" t="inlineStr">
        <is>
          <t>Onda · classes 6 e 7</t>
        </is>
      </c>
      <c r="GZ28" t="inlineStr">
        <is>
          <t>Raio 4,5 m, em você</t>
        </is>
      </c>
      <c r="HA28" t="inlineStr">
        <is>
          <t>Raio 6 m, em você</t>
        </is>
      </c>
      <c r="HB28" t="inlineStr">
        <is>
          <t>Raio 9 m, em você</t>
        </is>
      </c>
      <c r="HC28" t="inlineStr">
        <is>
          <t>Raio 15 m, em você</t>
        </is>
      </c>
      <c r="HD28" t="inlineStr">
        <is>
          <t>Raio 15 m, em você</t>
        </is>
      </c>
      <c r="HE28" t="inlineStr">
        <is>
          <t>Raio 15 m, em você</t>
        </is>
      </c>
      <c r="HF28" t="inlineStr"/>
      <c r="HG28" t="inlineStr"/>
      <c r="HH28" t="inlineStr"/>
      <c r="HI28" t="inlineStr"/>
      <c r="HJ28" t="inlineStr"/>
      <c r="HK28" t="inlineStr"/>
      <c r="HM28">
        <f>'DADOS_FORMAS'!$BL15</f>
        <v/>
      </c>
      <c r="HN28">
        <f>IF('DADOS_FORMAS'!$BL15="area",'DADOS_FORMAS'!$AU15,'DADOS_FORMAS'!$AT15)</f>
        <v/>
      </c>
      <c r="HO28">
        <f>IF('DADOS_FORMAS'!$BL15="area",'DADOS_FORMAS'!$BG15,'DADOS_FORMAS'!$AZ15)</f>
        <v/>
      </c>
      <c r="HP28">
        <f>'DADOS_FORMAS'!$BM15</f>
        <v/>
      </c>
      <c r="HQ28">
        <f>'DADOS_FORMAS'!$BN15</f>
        <v/>
      </c>
      <c r="HR28">
        <f>LET(base,'DADOS_FORMAS'!$HO28,escada,'DADOS_FORMAS'!$HN28,medida,LEFT(base,MAX(0,LEN(base)-2)),valor,IFERROR(VALUE(SUBSTITUTE(medida,",",""))/10^IFERROR(LEN(medida)-FIND(",",medida),0),1E99),IF(OR(escada="Fixo",base="—"),base,IF(escada="alcance",IFERROR(MATCH(base,{"1,5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8" t="inlineStr">
        <is>
          <t>Cura · classe 6</t>
        </is>
      </c>
      <c r="HU28" t="inlineStr">
        <is>
          <t>Um aliado a 18 m</t>
        </is>
      </c>
      <c r="HV28" t="inlineStr">
        <is>
          <t>Um aliado a 36 m</t>
        </is>
      </c>
      <c r="HW28" t="inlineStr">
        <is>
          <t>Um aliado a 90 m</t>
        </is>
      </c>
      <c r="HX28" t="inlineStr">
        <is>
          <t>Um aliado a visão a olho nu</t>
        </is>
      </c>
      <c r="HY28" t="inlineStr">
        <is>
          <t>Um aliado a visão a olho nu</t>
        </is>
      </c>
      <c r="HZ28" t="inlineStr">
        <is>
          <t>Um aliado a visão a olho nu</t>
        </is>
      </c>
      <c r="IA28" t="inlineStr"/>
      <c r="IB28" t="inlineStr"/>
      <c r="IC28" t="inlineStr"/>
      <c r="ID28" t="inlineStr"/>
      <c r="IE28" t="inlineStr"/>
      <c r="IF28" t="inlineStr"/>
      <c r="KA28">
        <f>IFERROR(INDEX(INDEX('DADOS_RESTRICOES'!$M$2:$Q$54,0,1),26),"")</f>
        <v/>
      </c>
    </row>
    <row r="29">
      <c r="GR29">
        <f>'DADOS_FORMAS'!$BP16</f>
        <v/>
      </c>
      <c r="GS29">
        <f>IF('DADOS_FORMAS'!$BP16="area",'DADOS_FORMAS'!$AU16,'DADOS_FORMAS'!$AT16)</f>
        <v/>
      </c>
      <c r="GT29">
        <f>IF('DADOS_FORMAS'!$BP16="area",'DADOS_FORMAS'!$BD16,'DADOS_FORMAS'!$AW16)</f>
        <v/>
      </c>
      <c r="GU29">
        <f>'DADOS_FORMAS'!$BQ16</f>
        <v/>
      </c>
      <c r="GV29">
        <f>'DADOS_FORMAS'!$BR16</f>
        <v/>
      </c>
      <c r="GW29">
        <f>LET(base,'DADOS_FORMAS'!$GT29,escada,'DADOS_FORMAS'!$GS29,medida,LEFT(base,MAX(0,LEN(base)-2)),valor,IFERROR(VALUE(SUBSTITUTE(medida,",",""))/10^IFERROR(LEN(medida)-FIND(",",medida),0),1E99),IF(OR(escada="Fixo",base="—"),base,IF(escada="alcance",IFERROR(MATCH(base,{"1,5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9" t="inlineStr">
        <is>
          <t>Efeito · classe 0</t>
        </is>
      </c>
      <c r="GZ29" t="inlineStr">
        <is>
          <t>Fora de combate</t>
        </is>
      </c>
      <c r="HA29" t="inlineStr">
        <is>
          <t>Fora de combate</t>
        </is>
      </c>
      <c r="HB29" t="inlineStr">
        <is>
          <t>Fora de combate</t>
        </is>
      </c>
      <c r="HC29" t="inlineStr">
        <is>
          <t>Fora de combate</t>
        </is>
      </c>
      <c r="HD29" t="inlineStr">
        <is>
          <t>Fora de combate</t>
        </is>
      </c>
      <c r="HE29" t="inlineStr">
        <is>
          <t>Fora de combate</t>
        </is>
      </c>
      <c r="HF29" t="inlineStr"/>
      <c r="HG29" t="inlineStr"/>
      <c r="HH29" t="inlineStr"/>
      <c r="HI29" t="inlineStr"/>
      <c r="HJ29" t="inlineStr"/>
      <c r="HK29" t="inlineStr"/>
      <c r="HM29">
        <f>'DADOS_FORMAS'!$BP15</f>
        <v/>
      </c>
      <c r="HN29">
        <f>IF('DADOS_FORMAS'!$BP15="area",'DADOS_FORMAS'!$AU15,'DADOS_FORMAS'!$AT15)</f>
        <v/>
      </c>
      <c r="HO29">
        <f>IF('DADOS_FORMAS'!$BP15="area",'DADOS_FORMAS'!$BG15,'DADOS_FORMAS'!$AZ15)</f>
        <v/>
      </c>
      <c r="HP29">
        <f>'DADOS_FORMAS'!$BQ15</f>
        <v/>
      </c>
      <c r="HQ29">
        <f>'DADOS_FORMAS'!$BR15</f>
        <v/>
      </c>
      <c r="HR29">
        <f>LET(base,'DADOS_FORMAS'!$HO29,escada,'DADOS_FORMAS'!$HN29,medida,LEFT(base,MAX(0,LEN(base)-2)),valor,IFERROR(VALUE(SUBSTITUTE(medida,",",""))/10^IFERROR(LEN(medida)-FIND(",",medida),0),1E99),IF(OR(escada="Fixo",base="—"),base,IF(escada="alcance",IFERROR(MATCH(base,{"1,5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9" t="inlineStr">
        <is>
          <t>Cura · classe 7</t>
        </is>
      </c>
      <c r="HU29" t="inlineStr">
        <is>
          <t>Um aliado a 18 m</t>
        </is>
      </c>
      <c r="HV29" t="inlineStr">
        <is>
          <t>Um aliado a 36 m</t>
        </is>
      </c>
      <c r="HW29" t="inlineStr">
        <is>
          <t>Um aliado a 90 m</t>
        </is>
      </c>
      <c r="HX29" t="inlineStr">
        <is>
          <t>Um aliado a visão a olho nu</t>
        </is>
      </c>
      <c r="HY29" t="inlineStr">
        <is>
          <t>Um aliado a visão a olho nu</t>
        </is>
      </c>
      <c r="HZ29" t="inlineStr">
        <is>
          <t>Um aliado a visão a olho nu</t>
        </is>
      </c>
      <c r="IA29" t="inlineStr"/>
      <c r="IB29" t="inlineStr"/>
      <c r="IC29" t="inlineStr"/>
      <c r="ID29" t="inlineStr"/>
      <c r="IE29" t="inlineStr"/>
      <c r="IF29" t="inlineStr"/>
      <c r="KA29">
        <f>IFERROR(INDEX(INDEX('DADOS_RESTRICOES'!$M$2:$Q$54,0,1),27),"")</f>
        <v/>
      </c>
    </row>
    <row r="30">
      <c r="GR30">
        <f>'DADOS_FORMAS'!$BL16</f>
        <v/>
      </c>
      <c r="GS30">
        <f>IF('DADOS_FORMAS'!$BL16="area",'DADOS_FORMAS'!$AU16,'DADOS_FORMAS'!$AT16)</f>
        <v/>
      </c>
      <c r="GT30">
        <f>IF('DADOS_FORMAS'!$BL16="area",'DADOS_FORMAS'!$BE16,'DADOS_FORMAS'!$AX16)</f>
        <v/>
      </c>
      <c r="GU30">
        <f>'DADOS_FORMAS'!$BM16</f>
        <v/>
      </c>
      <c r="GV30">
        <f>'DADOS_FORMAS'!$BN16</f>
        <v/>
      </c>
      <c r="GW30">
        <f>LET(base,'DADOS_FORMAS'!$GT30,escada,'DADOS_FORMAS'!$GS30,medida,LEFT(base,MAX(0,LEN(base)-2)),valor,IFERROR(VALUE(SUBSTITUTE(medida,",",""))/10^IFERROR(LEN(medida)-FIND(",",medida),0),1E99),IF(OR(escada="Fixo",base="—"),base,IF(escada="alcance",IFERROR(MATCH(base,{"1,5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0" t="inlineStr">
        <is>
          <t>Efeito · classes 1 a 5</t>
        </is>
      </c>
      <c r="GZ30" t="inlineStr">
        <is>
          <t>Fora de combate</t>
        </is>
      </c>
      <c r="HA30" t="inlineStr">
        <is>
          <t>Fora de combate</t>
        </is>
      </c>
      <c r="HB30" t="inlineStr">
        <is>
          <t>Fora de combate</t>
        </is>
      </c>
      <c r="HC30" t="inlineStr">
        <is>
          <t>Fora de combate</t>
        </is>
      </c>
      <c r="HD30" t="inlineStr">
        <is>
          <t>Fora de combate</t>
        </is>
      </c>
      <c r="HE30" t="inlineStr">
        <is>
          <t>Fora de combate</t>
        </is>
      </c>
      <c r="HF30" t="inlineStr"/>
      <c r="HG30" t="inlineStr"/>
      <c r="HH30" t="inlineStr"/>
      <c r="HI30" t="inlineStr"/>
      <c r="HJ30" t="inlineStr"/>
      <c r="HK30" t="inlineStr"/>
      <c r="HM30">
        <f>'DADOS_FORMAS'!$BL15</f>
        <v/>
      </c>
      <c r="HN30">
        <f>IF('DADOS_FORMAS'!$BL15="area",'DADOS_FORMAS'!$AU15,'DADOS_FORMAS'!$AT15)</f>
        <v/>
      </c>
      <c r="HO30">
        <f>IF('DADOS_FORMAS'!$BL15="area",'DADOS_FORMAS'!$BH15,'DADOS_FORMAS'!$BA15)</f>
        <v/>
      </c>
      <c r="HP30">
        <f>'DADOS_FORMAS'!$BM15</f>
        <v/>
      </c>
      <c r="HQ30">
        <f>'DADOS_FORMAS'!$BN15</f>
        <v/>
      </c>
      <c r="HR30">
        <f>LET(base,'DADOS_FORMAS'!$HO30,escada,'DADOS_FORMAS'!$HN30,medida,LEFT(base,MAX(0,LEN(base)-2)),valor,IFERROR(VALUE(SUBSTITUTE(medida,",",""))/10^IFERROR(LEN(medida)-FIND(",",medida),0),1E99),IF(OR(escada="Fixo",base="—"),base,IF(escada="alcance",IFERROR(MATCH(base,{"1,5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0" t="inlineStr">
        <is>
          <t>Apoio · classe 0</t>
        </is>
      </c>
      <c r="HU30" t="inlineStr">
        <is>
          <t>Um aliado a 4,5 m</t>
        </is>
      </c>
      <c r="HV30" t="inlineStr">
        <is>
          <t>Um aliado a 9 m</t>
        </is>
      </c>
      <c r="HW30" t="inlineStr">
        <is>
          <t>Um aliado a 18 m</t>
        </is>
      </c>
      <c r="HX30" t="inlineStr">
        <is>
          <t>Um aliado a 36 m</t>
        </is>
      </c>
      <c r="HY30" t="inlineStr">
        <is>
          <t>Um aliado a 90 m</t>
        </is>
      </c>
      <c r="HZ30" t="inlineStr">
        <is>
          <t>Um aliado a visão a olho nu</t>
        </is>
      </c>
      <c r="IA30" t="inlineStr"/>
      <c r="IB30" t="inlineStr"/>
      <c r="IC30" t="inlineStr"/>
      <c r="ID30" t="inlineStr"/>
      <c r="IE30" t="inlineStr"/>
      <c r="IF30" t="inlineStr"/>
      <c r="KA30">
        <f>IFERROR(INDEX(INDEX('DADOS_RESTRICOES'!$M$2:$Q$54,0,1),28),"")</f>
        <v/>
      </c>
    </row>
    <row r="31">
      <c r="GR31">
        <f>'DADOS_FORMAS'!$BP16</f>
        <v/>
      </c>
      <c r="GS31">
        <f>IF('DADOS_FORMAS'!$BP16="area",'DADOS_FORMAS'!$AU16,'DADOS_FORMAS'!$AT16)</f>
        <v/>
      </c>
      <c r="GT31">
        <f>IF('DADOS_FORMAS'!$BP16="area",'DADOS_FORMAS'!$BE16,'DADOS_FORMAS'!$AX16)</f>
        <v/>
      </c>
      <c r="GU31">
        <f>'DADOS_FORMAS'!$BQ16</f>
        <v/>
      </c>
      <c r="GV31">
        <f>'DADOS_FORMAS'!$BR16</f>
        <v/>
      </c>
      <c r="GW31">
        <f>LET(base,'DADOS_FORMAS'!$GT31,escada,'DADOS_FORMAS'!$GS31,medida,LEFT(base,MAX(0,LEN(base)-2)),valor,IFERROR(VALUE(SUBSTITUTE(medida,",",""))/10^IFERROR(LEN(medida)-FIND(",",medida),0),1E99),IF(OR(escada="Fixo",base="—"),base,IF(escada="alcance",IFERROR(MATCH(base,{"1,5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1" t="inlineStr">
        <is>
          <t>Efeito · classes 6 e 7</t>
        </is>
      </c>
      <c r="GZ31" t="inlineStr">
        <is>
          <t>Fora de combate</t>
        </is>
      </c>
      <c r="HA31" t="inlineStr">
        <is>
          <t>Fora de combate</t>
        </is>
      </c>
      <c r="HB31" t="inlineStr">
        <is>
          <t>Fora de combate</t>
        </is>
      </c>
      <c r="HC31" t="inlineStr">
        <is>
          <t>Fora de combate</t>
        </is>
      </c>
      <c r="HD31" t="inlineStr">
        <is>
          <t>Fora de combate</t>
        </is>
      </c>
      <c r="HE31" t="inlineStr">
        <is>
          <t>Fora de combate</t>
        </is>
      </c>
      <c r="HF31" t="inlineStr"/>
      <c r="HG31" t="inlineStr"/>
      <c r="HH31" t="inlineStr"/>
      <c r="HI31" t="inlineStr"/>
      <c r="HJ31" t="inlineStr"/>
      <c r="HK31" t="inlineStr"/>
      <c r="HM31">
        <f>'DADOS_FORMAS'!$BP15</f>
        <v/>
      </c>
      <c r="HN31">
        <f>IF('DADOS_FORMAS'!$BP15="area",'DADOS_FORMAS'!$AU15,'DADOS_FORMAS'!$AT15)</f>
        <v/>
      </c>
      <c r="HO31">
        <f>IF('DADOS_FORMAS'!$BP15="area",'DADOS_FORMAS'!$BH15,'DADOS_FORMAS'!$BA15)</f>
        <v/>
      </c>
      <c r="HP31">
        <f>'DADOS_FORMAS'!$BQ15</f>
        <v/>
      </c>
      <c r="HQ31">
        <f>'DADOS_FORMAS'!$BR15</f>
        <v/>
      </c>
      <c r="HR31">
        <f>LET(base,'DADOS_FORMAS'!$HO31,escada,'DADOS_FORMAS'!$HN31,medida,LEFT(base,MAX(0,LEN(base)-2)),valor,IFERROR(VALUE(SUBSTITUTE(medida,",",""))/10^IFERROR(LEN(medida)-FIND(",",medida),0),1E99),IF(OR(escada="Fixo",base="—"),base,IF(escada="alcance",IFERROR(MATCH(base,{"1,5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1" t="inlineStr">
        <is>
          <t>Apoio · classes 1 a 5</t>
        </is>
      </c>
      <c r="HU31" t="inlineStr">
        <is>
          <t>Um aliado a 9 m</t>
        </is>
      </c>
      <c r="HV31" t="inlineStr">
        <is>
          <t>Um aliado a 18 m</t>
        </is>
      </c>
      <c r="HW31" t="inlineStr">
        <is>
          <t>Um aliado a 36 m</t>
        </is>
      </c>
      <c r="HX31" t="inlineStr">
        <is>
          <t>Um aliado a 90 m</t>
        </is>
      </c>
      <c r="HY31" t="inlineStr">
        <is>
          <t>Um aliado a visão a olho nu</t>
        </is>
      </c>
      <c r="HZ31" t="inlineStr">
        <is>
          <t>Um aliado a visão a olho nu</t>
        </is>
      </c>
      <c r="IA31" t="inlineStr"/>
      <c r="IB31" t="inlineStr"/>
      <c r="IC31" t="inlineStr"/>
      <c r="ID31" t="inlineStr"/>
      <c r="IE31" t="inlineStr"/>
      <c r="IF31" t="inlineStr"/>
      <c r="KA31">
        <f>IFERROR(INDEX(INDEX('DADOS_RESTRICOES'!$M$2:$Q$54,0,1),29),"")</f>
        <v/>
      </c>
    </row>
    <row r="32">
      <c r="GR32">
        <f>'DADOS_FORMAS'!$BL17</f>
        <v/>
      </c>
      <c r="GS32">
        <f>IF('DADOS_FORMAS'!$BL17="area",'DADOS_FORMAS'!$AU17,'DADOS_FORMAS'!$AT17)</f>
        <v/>
      </c>
      <c r="GT32">
        <f>IF('DADOS_FORMAS'!$BL17="area",'DADOS_FORMAS'!$BC17,'DADOS_FORMAS'!$AV17)</f>
        <v/>
      </c>
      <c r="GU32">
        <f>'DADOS_FORMAS'!$BM17</f>
        <v/>
      </c>
      <c r="GV32">
        <f>'DADOS_FORMAS'!$BN17</f>
        <v/>
      </c>
      <c r="GW32">
        <f>LET(base,'DADOS_FORMAS'!$GT32,escada,'DADOS_FORMAS'!$GS32,medida,LEFT(base,MAX(0,LEN(base)-2)),valor,IFERROR(VALUE(SUBSTITUTE(medida,",",""))/10^IFERROR(LEN(medida)-FIND(",",medida),0),1E99),IF(OR(escada="Fixo",base="—"),base,IF(escada="alcance",IFERROR(MATCH(base,{"1,5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2">
        <f>'DADOS_FORMAS'!$AH12&amp;" · classe 0"</f>
        <v/>
      </c>
      <c r="GZ32">
        <f>LET(trecho,IF(OR('DADOS_FORMAS'!$AH12="",'DADOS_FORMAS'!$GR2="",'DADOS_FORMAS'!$GT2=""),"",IF('DADOS_FORMAS'!$GT2="—","—",'DADOS_FORMAS'!$GU2&amp;'DADOS_FORMAS'!$GT2&amp;'DADOS_FORMAS'!$GV2)),UPPER(LEFT(trecho,1))&amp;MID(trecho,2,LEN(trecho)))</f>
        <v/>
      </c>
      <c r="HA32">
        <f>LET(trecho,IF(OR('DADOS_FORMAS'!$AH12="",'DADOS_FORMAS'!$GR2="",'DADOS_FORMAS'!$GT2=""),"",IF('DADOS_FORMAS'!$GT2="—","—",'DADOS_FORMAS'!$GU2&amp;IF('DADOS_FORMAS'!$GS2="alcance",INDEX('DADOS_FORMAS'!$GL$2:$GL$7,MIN(6,'DADOS_FORMAS'!$GW2+1)),IF('DADOS_FORMAS'!$GS2="raio",INDEX('DADOS_FORMAS'!$GN$2:$GN$6,MIN(5,'DADOS_FORMAS'!$GW2+1)),IF('DADOS_FORMAS'!$GS2="comprimento",INDEX('DADOS_FORMAS'!$GP$2:$GP$6,MIN(5,'DADOS_FORMAS'!$GW2+1)),'DADOS_FORMAS'!$GT2)))&amp;'DADOS_FORMAS'!$GV2)),UPPER(LEFT(trecho,1))&amp;MID(trecho,2,LEN(trecho)))</f>
        <v/>
      </c>
      <c r="HB32">
        <f>LET(trecho,IF(OR('DADOS_FORMAS'!$AH12="",'DADOS_FORMAS'!$GR2="",'DADOS_FORMAS'!$GT2=""),"",IF('DADOS_FORMAS'!$GT2="—","—",'DADOS_FORMAS'!$GU2&amp;IF('DADOS_FORMAS'!$GS2="alcance",INDEX('DADOS_FORMAS'!$GL$2:$GL$7,MIN(6,'DADOS_FORMAS'!$GW2+2)),IF('DADOS_FORMAS'!$GS2="raio",INDEX('DADOS_FORMAS'!$GN$2:$GN$6,MIN(5,'DADOS_FORMAS'!$GW2+2)),IF('DADOS_FORMAS'!$GS2="comprimento",INDEX('DADOS_FORMAS'!$GP$2:$GP$6,MIN(5,'DADOS_FORMAS'!$GW2+2)),'DADOS_FORMAS'!$GT2)))&amp;'DADOS_FORMAS'!$GV2)),UPPER(LEFT(trecho,1))&amp;MID(trecho,2,LEN(trecho)))</f>
        <v/>
      </c>
      <c r="HC32">
        <f>LET(trecho,IF(OR('DADOS_FORMAS'!$AH12="",'DADOS_FORMAS'!$GR2="",'DADOS_FORMAS'!$GT2=""),"",IF('DADOS_FORMAS'!$GT2="—","—",'DADOS_FORMAS'!$GU2&amp;IF('DADOS_FORMAS'!$GS2="alcance",INDEX('DADOS_FORMAS'!$GL$2:$GL$7,MIN(6,'DADOS_FORMAS'!$GW2+3)),IF('DADOS_FORMAS'!$GS2="raio",INDEX('DADOS_FORMAS'!$GN$2:$GN$6,MIN(5,'DADOS_FORMAS'!$GW2+3)),IF('DADOS_FORMAS'!$GS2="comprimento",INDEX('DADOS_FORMAS'!$GP$2:$GP$6,MIN(5,'DADOS_FORMAS'!$GW2+3)),'DADOS_FORMAS'!$GT2)))&amp;'DADOS_FORMAS'!$GV2)),UPPER(LEFT(trecho,1))&amp;MID(trecho,2,LEN(trecho)))</f>
        <v/>
      </c>
      <c r="HD32">
        <f>LET(trecho,IF(OR('DADOS_FORMAS'!$AH12="",'DADOS_FORMAS'!$GR2="",'DADOS_FORMAS'!$GT2=""),"",IF('DADOS_FORMAS'!$GT2="—","—",'DADOS_FORMAS'!$GU2&amp;IF('DADOS_FORMAS'!$GS2="alcance",INDEX('DADOS_FORMAS'!$GL$2:$GL$7,MIN(6,'DADOS_FORMAS'!$GW2+4)),IF('DADOS_FORMAS'!$GS2="raio",INDEX('DADOS_FORMAS'!$GN$2:$GN$6,MIN(5,'DADOS_FORMAS'!$GW2+4)),IF('DADOS_FORMAS'!$GS2="comprimento",INDEX('DADOS_FORMAS'!$GP$2:$GP$6,MIN(5,'DADOS_FORMAS'!$GW2+4)),'DADOS_FORMAS'!$GT2)))&amp;'DADOS_FORMAS'!$GV2)),UPPER(LEFT(trecho,1))&amp;MID(trecho,2,LEN(trecho)))</f>
        <v/>
      </c>
      <c r="HE32">
        <f>LET(trecho,IF(OR('DADOS_FORMAS'!$AH12="",'DADOS_FORMAS'!$GR2="",'DADOS_FORMAS'!$GT2=""),"",IF('DADOS_FORMAS'!$GT2="—","—",'DADOS_FORMAS'!$GU2&amp;IF('DADOS_FORMAS'!$GS2="alcance",INDEX('DADOS_FORMAS'!$GL$2:$GL$7,MIN(6,'DADOS_FORMAS'!$GW2+5)),IF('DADOS_FORMAS'!$GS2="raio",INDEX('DADOS_FORMAS'!$GN$2:$GN$6,MIN(5,'DADOS_FORMAS'!$GW2+5)),IF('DADOS_FORMAS'!$GS2="comprimento",INDEX('DADOS_FORMAS'!$GP$2:$GP$6,MIN(5,'DADOS_FORMAS'!$GW2+5)),'DADOS_FORMAS'!$GT2)))&amp;'DADOS_FORMAS'!$GV2)),UPPER(LEFT(trecho,1))&amp;MID(trecho,2,LEN(trecho)))</f>
        <v/>
      </c>
      <c r="HF32">
        <f>IF(OR('DADOS_FORMAS'!$AH12="",'DADOS_FORMAS'!$GR3="",'DADOS_FORMAS'!$GT3=""),"",IF('DADOS_FORMAS'!$GT3="—","—",'DADOS_FORMAS'!$GU3&amp;'DADOS_FORMAS'!$GT3&amp;'DADOS_FORMAS'!$GV3))</f>
        <v/>
      </c>
      <c r="HG32">
        <f>IF(OR('DADOS_FORMAS'!$AH12="",'DADOS_FORMAS'!$GR3="",'DADOS_FORMAS'!$GT3=""),"",IF('DADOS_FORMAS'!$GT3="—","—",'DADOS_FORMAS'!$GU3&amp;IF('DADOS_FORMAS'!$GS3="alcance",INDEX('DADOS_FORMAS'!$GL$2:$GL$7,MIN(6,'DADOS_FORMAS'!$GW3+1)),IF('DADOS_FORMAS'!$GS3="raio",INDEX('DADOS_FORMAS'!$GN$2:$GN$6,MIN(5,'DADOS_FORMAS'!$GW3+1)),IF('DADOS_FORMAS'!$GS3="comprimento",INDEX('DADOS_FORMAS'!$GP$2:$GP$6,MIN(5,'DADOS_FORMAS'!$GW3+1)),'DADOS_FORMAS'!$GT3)))&amp;'DADOS_FORMAS'!$GV3))</f>
        <v/>
      </c>
      <c r="HH32">
        <f>IF(OR('DADOS_FORMAS'!$AH12="",'DADOS_FORMAS'!$GR3="",'DADOS_FORMAS'!$GT3=""),"",IF('DADOS_FORMAS'!$GT3="—","—",'DADOS_FORMAS'!$GU3&amp;IF('DADOS_FORMAS'!$GS3="alcance",INDEX('DADOS_FORMAS'!$GL$2:$GL$7,MIN(6,'DADOS_FORMAS'!$GW3+2)),IF('DADOS_FORMAS'!$GS3="raio",INDEX('DADOS_FORMAS'!$GN$2:$GN$6,MIN(5,'DADOS_FORMAS'!$GW3+2)),IF('DADOS_FORMAS'!$GS3="comprimento",INDEX('DADOS_FORMAS'!$GP$2:$GP$6,MIN(5,'DADOS_FORMAS'!$GW3+2)),'DADOS_FORMAS'!$GT3)))&amp;'DADOS_FORMAS'!$GV3))</f>
        <v/>
      </c>
      <c r="HI32">
        <f>IF(OR('DADOS_FORMAS'!$AH12="",'DADOS_FORMAS'!$GR3="",'DADOS_FORMAS'!$GT3=""),"",IF('DADOS_FORMAS'!$GT3="—","—",'DADOS_FORMAS'!$GU3&amp;IF('DADOS_FORMAS'!$GS3="alcance",INDEX('DADOS_FORMAS'!$GL$2:$GL$7,MIN(6,'DADOS_FORMAS'!$GW3+3)),IF('DADOS_FORMAS'!$GS3="raio",INDEX('DADOS_FORMAS'!$GN$2:$GN$6,MIN(5,'DADOS_FORMAS'!$GW3+3)),IF('DADOS_FORMAS'!$GS3="comprimento",INDEX('DADOS_FORMAS'!$GP$2:$GP$6,MIN(5,'DADOS_FORMAS'!$GW3+3)),'DADOS_FORMAS'!$GT3)))&amp;'DADOS_FORMAS'!$GV3))</f>
        <v/>
      </c>
      <c r="HJ32">
        <f>IF(OR('DADOS_FORMAS'!$AH12="",'DADOS_FORMAS'!$GR3="",'DADOS_FORMAS'!$GT3=""),"",IF('DADOS_FORMAS'!$GT3="—","—",'DADOS_FORMAS'!$GU3&amp;IF('DADOS_FORMAS'!$GS3="alcance",INDEX('DADOS_FORMAS'!$GL$2:$GL$7,MIN(6,'DADOS_FORMAS'!$GW3+4)),IF('DADOS_FORMAS'!$GS3="raio",INDEX('DADOS_FORMAS'!$GN$2:$GN$6,MIN(5,'DADOS_FORMAS'!$GW3+4)),IF('DADOS_FORMAS'!$GS3="comprimento",INDEX('DADOS_FORMAS'!$GP$2:$GP$6,MIN(5,'DADOS_FORMAS'!$GW3+4)),'DADOS_FORMAS'!$GT3)))&amp;'DADOS_FORMAS'!$GV3))</f>
        <v/>
      </c>
      <c r="HK32">
        <f>IF(OR('DADOS_FORMAS'!$AH12="",'DADOS_FORMAS'!$GR3="",'DADOS_FORMAS'!$GT3=""),"",IF('DADOS_FORMAS'!$GT3="—","—",'DADOS_FORMAS'!$GU3&amp;IF('DADOS_FORMAS'!$GS3="alcance",INDEX('DADOS_FORMAS'!$GL$2:$GL$7,MIN(6,'DADOS_FORMAS'!$GW3+5)),IF('DADOS_FORMAS'!$GS3="raio",INDEX('DADOS_FORMAS'!$GN$2:$GN$6,MIN(5,'DADOS_FORMAS'!$GW3+5)),IF('DADOS_FORMAS'!$GS3="comprimento",INDEX('DADOS_FORMAS'!$GP$2:$GP$6,MIN(5,'DADOS_FORMAS'!$GW3+5)),'DADOS_FORMAS'!$GT3)))&amp;'DADOS_FORMAS'!$GV3))</f>
        <v/>
      </c>
      <c r="HM32">
        <f>'DADOS_FORMAS'!$BL15</f>
        <v/>
      </c>
      <c r="HN32">
        <f>IF('DADOS_FORMAS'!$BL15="area",'DADOS_FORMAS'!$AU15,'DADOS_FORMAS'!$AT15)</f>
        <v/>
      </c>
      <c r="HO32">
        <f>IF('DADOS_FORMAS'!$BL15="area",'DADOS_FORMAS'!$BI15,'DADOS_FORMAS'!$BB15)</f>
        <v/>
      </c>
      <c r="HP32">
        <f>'DADOS_FORMAS'!$BM15</f>
        <v/>
      </c>
      <c r="HQ32">
        <f>'DADOS_FORMAS'!$BN15</f>
        <v/>
      </c>
      <c r="HR32">
        <f>LET(base,'DADOS_FORMAS'!$HO32,escada,'DADOS_FORMAS'!$HN32,medida,LEFT(base,MAX(0,LEN(base)-2)),valor,IFERROR(VALUE(SUBSTITUTE(medida,",",""))/10^IFERROR(LEN(medida)-FIND(",",medida),0),1E99),IF(OR(escada="Fixo",base="—"),base,IF(escada="alcance",IFERROR(MATCH(base,{"1,5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2" t="inlineStr">
        <is>
          <t>Apoio · classe 6</t>
        </is>
      </c>
      <c r="HU32" t="inlineStr">
        <is>
          <t>Um aliado a 18 m</t>
        </is>
      </c>
      <c r="HV32" t="inlineStr">
        <is>
          <t>Um aliado a 36 m</t>
        </is>
      </c>
      <c r="HW32" t="inlineStr">
        <is>
          <t>Um aliado a 90 m</t>
        </is>
      </c>
      <c r="HX32" t="inlineStr">
        <is>
          <t>Um aliado a visão a olho nu</t>
        </is>
      </c>
      <c r="HY32" t="inlineStr">
        <is>
          <t>Um aliado a visão a olho nu</t>
        </is>
      </c>
      <c r="HZ32" t="inlineStr">
        <is>
          <t>Um aliado a visão a olho nu</t>
        </is>
      </c>
      <c r="IA32" t="inlineStr"/>
      <c r="IB32" t="inlineStr"/>
      <c r="IC32" t="inlineStr"/>
      <c r="ID32" t="inlineStr"/>
      <c r="IE32" t="inlineStr"/>
      <c r="IF32" t="inlineStr"/>
      <c r="KA32">
        <f>IFERROR(INDEX(INDEX('DADOS_RESTRICOES'!$M$2:$Q$54,0,1),30),"")</f>
        <v/>
      </c>
    </row>
    <row r="33">
      <c r="GR33">
        <f>'DADOS_FORMAS'!$BP17</f>
        <v/>
      </c>
      <c r="GS33">
        <f>IF('DADOS_FORMAS'!$BP17="area",'DADOS_FORMAS'!$AU17,'DADOS_FORMAS'!$AT17)</f>
        <v/>
      </c>
      <c r="GT33">
        <f>IF('DADOS_FORMAS'!$BP17="area",'DADOS_FORMAS'!$BC17,'DADOS_FORMAS'!$AV17)</f>
        <v/>
      </c>
      <c r="GU33">
        <f>'DADOS_FORMAS'!$BQ17</f>
        <v/>
      </c>
      <c r="GV33">
        <f>'DADOS_FORMAS'!$BR17</f>
        <v/>
      </c>
      <c r="GW33">
        <f>LET(base,'DADOS_FORMAS'!$GT33,escada,'DADOS_FORMAS'!$GS33,medida,LEFT(base,MAX(0,LEN(base)-2)),valor,IFERROR(VALUE(SUBSTITUTE(medida,",",""))/10^IFERROR(LEN(medida)-FIND(",",medida),0),1E99),IF(OR(escada="Fixo",base="—"),base,IF(escada="alcance",IFERROR(MATCH(base,{"1,5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3">
        <f>'DADOS_FORMAS'!$AH12&amp;" · classes 1 a 5"</f>
        <v/>
      </c>
      <c r="GZ33">
        <f>LET(trecho,IF(OR('DADOS_FORMAS'!$AH12="",'DADOS_FORMAS'!$GR4="",'DADOS_FORMAS'!$GT4=""),"",IF('DADOS_FORMAS'!$GT4="—","—",'DADOS_FORMAS'!$GU4&amp;'DADOS_FORMAS'!$GT4&amp;'DADOS_FORMAS'!$GV4)),UPPER(LEFT(trecho,1))&amp;MID(trecho,2,LEN(trecho)))</f>
        <v/>
      </c>
      <c r="HA33">
        <f>LET(trecho,IF(OR('DADOS_FORMAS'!$AH12="",'DADOS_FORMAS'!$GR4="",'DADOS_FORMAS'!$GT4=""),"",IF('DADOS_FORMAS'!$GT4="—","—",'DADOS_FORMAS'!$GU4&amp;IF('DADOS_FORMAS'!$GS4="alcance",INDEX('DADOS_FORMAS'!$GL$2:$GL$7,MIN(6,'DADOS_FORMAS'!$GW4+1)),IF('DADOS_FORMAS'!$GS4="raio",INDEX('DADOS_FORMAS'!$GN$2:$GN$6,MIN(5,'DADOS_FORMAS'!$GW4+1)),IF('DADOS_FORMAS'!$GS4="comprimento",INDEX('DADOS_FORMAS'!$GP$2:$GP$6,MIN(5,'DADOS_FORMAS'!$GW4+1)),'DADOS_FORMAS'!$GT4)))&amp;'DADOS_FORMAS'!$GV4)),UPPER(LEFT(trecho,1))&amp;MID(trecho,2,LEN(trecho)))</f>
        <v/>
      </c>
      <c r="HB33">
        <f>LET(trecho,IF(OR('DADOS_FORMAS'!$AH12="",'DADOS_FORMAS'!$GR4="",'DADOS_FORMAS'!$GT4=""),"",IF('DADOS_FORMAS'!$GT4="—","—",'DADOS_FORMAS'!$GU4&amp;IF('DADOS_FORMAS'!$GS4="alcance",INDEX('DADOS_FORMAS'!$GL$2:$GL$7,MIN(6,'DADOS_FORMAS'!$GW4+2)),IF('DADOS_FORMAS'!$GS4="raio",INDEX('DADOS_FORMAS'!$GN$2:$GN$6,MIN(5,'DADOS_FORMAS'!$GW4+2)),IF('DADOS_FORMAS'!$GS4="comprimento",INDEX('DADOS_FORMAS'!$GP$2:$GP$6,MIN(5,'DADOS_FORMAS'!$GW4+2)),'DADOS_FORMAS'!$GT4)))&amp;'DADOS_FORMAS'!$GV4)),UPPER(LEFT(trecho,1))&amp;MID(trecho,2,LEN(trecho)))</f>
        <v/>
      </c>
      <c r="HC33">
        <f>LET(trecho,IF(OR('DADOS_FORMAS'!$AH12="",'DADOS_FORMAS'!$GR4="",'DADOS_FORMAS'!$GT4=""),"",IF('DADOS_FORMAS'!$GT4="—","—",'DADOS_FORMAS'!$GU4&amp;IF('DADOS_FORMAS'!$GS4="alcance",INDEX('DADOS_FORMAS'!$GL$2:$GL$7,MIN(6,'DADOS_FORMAS'!$GW4+3)),IF('DADOS_FORMAS'!$GS4="raio",INDEX('DADOS_FORMAS'!$GN$2:$GN$6,MIN(5,'DADOS_FORMAS'!$GW4+3)),IF('DADOS_FORMAS'!$GS4="comprimento",INDEX('DADOS_FORMAS'!$GP$2:$GP$6,MIN(5,'DADOS_FORMAS'!$GW4+3)),'DADOS_FORMAS'!$GT4)))&amp;'DADOS_FORMAS'!$GV4)),UPPER(LEFT(trecho,1))&amp;MID(trecho,2,LEN(trecho)))</f>
        <v/>
      </c>
      <c r="HD33">
        <f>LET(trecho,IF(OR('DADOS_FORMAS'!$AH12="",'DADOS_FORMAS'!$GR4="",'DADOS_FORMAS'!$GT4=""),"",IF('DADOS_FORMAS'!$GT4="—","—",'DADOS_FORMAS'!$GU4&amp;IF('DADOS_FORMAS'!$GS4="alcance",INDEX('DADOS_FORMAS'!$GL$2:$GL$7,MIN(6,'DADOS_FORMAS'!$GW4+4)),IF('DADOS_FORMAS'!$GS4="raio",INDEX('DADOS_FORMAS'!$GN$2:$GN$6,MIN(5,'DADOS_FORMAS'!$GW4+4)),IF('DADOS_FORMAS'!$GS4="comprimento",INDEX('DADOS_FORMAS'!$GP$2:$GP$6,MIN(5,'DADOS_FORMAS'!$GW4+4)),'DADOS_FORMAS'!$GT4)))&amp;'DADOS_FORMAS'!$GV4)),UPPER(LEFT(trecho,1))&amp;MID(trecho,2,LEN(trecho)))</f>
        <v/>
      </c>
      <c r="HE33">
        <f>LET(trecho,IF(OR('DADOS_FORMAS'!$AH12="",'DADOS_FORMAS'!$GR4="",'DADOS_FORMAS'!$GT4=""),"",IF('DADOS_FORMAS'!$GT4="—","—",'DADOS_FORMAS'!$GU4&amp;IF('DADOS_FORMAS'!$GS4="alcance",INDEX('DADOS_FORMAS'!$GL$2:$GL$7,MIN(6,'DADOS_FORMAS'!$GW4+5)),IF('DADOS_FORMAS'!$GS4="raio",INDEX('DADOS_FORMAS'!$GN$2:$GN$6,MIN(5,'DADOS_FORMAS'!$GW4+5)),IF('DADOS_FORMAS'!$GS4="comprimento",INDEX('DADOS_FORMAS'!$GP$2:$GP$6,MIN(5,'DADOS_FORMAS'!$GW4+5)),'DADOS_FORMAS'!$GT4)))&amp;'DADOS_FORMAS'!$GV4)),UPPER(LEFT(trecho,1))&amp;MID(trecho,2,LEN(trecho)))</f>
        <v/>
      </c>
      <c r="HF33">
        <f>IF(OR('DADOS_FORMAS'!$AH12="",'DADOS_FORMAS'!$GR5="",'DADOS_FORMAS'!$GT5=""),"",IF('DADOS_FORMAS'!$GT5="—","—",'DADOS_FORMAS'!$GU5&amp;'DADOS_FORMAS'!$GT5&amp;'DADOS_FORMAS'!$GV5))</f>
        <v/>
      </c>
      <c r="HG33">
        <f>IF(OR('DADOS_FORMAS'!$AH12="",'DADOS_FORMAS'!$GR5="",'DADOS_FORMAS'!$GT5=""),"",IF('DADOS_FORMAS'!$GT5="—","—",'DADOS_FORMAS'!$GU5&amp;IF('DADOS_FORMAS'!$GS5="alcance",INDEX('DADOS_FORMAS'!$GL$2:$GL$7,MIN(6,'DADOS_FORMAS'!$GW5+1)),IF('DADOS_FORMAS'!$GS5="raio",INDEX('DADOS_FORMAS'!$GN$2:$GN$6,MIN(5,'DADOS_FORMAS'!$GW5+1)),IF('DADOS_FORMAS'!$GS5="comprimento",INDEX('DADOS_FORMAS'!$GP$2:$GP$6,MIN(5,'DADOS_FORMAS'!$GW5+1)),'DADOS_FORMAS'!$GT5)))&amp;'DADOS_FORMAS'!$GV5))</f>
        <v/>
      </c>
      <c r="HH33">
        <f>IF(OR('DADOS_FORMAS'!$AH12="",'DADOS_FORMAS'!$GR5="",'DADOS_FORMAS'!$GT5=""),"",IF('DADOS_FORMAS'!$GT5="—","—",'DADOS_FORMAS'!$GU5&amp;IF('DADOS_FORMAS'!$GS5="alcance",INDEX('DADOS_FORMAS'!$GL$2:$GL$7,MIN(6,'DADOS_FORMAS'!$GW5+2)),IF('DADOS_FORMAS'!$GS5="raio",INDEX('DADOS_FORMAS'!$GN$2:$GN$6,MIN(5,'DADOS_FORMAS'!$GW5+2)),IF('DADOS_FORMAS'!$GS5="comprimento",INDEX('DADOS_FORMAS'!$GP$2:$GP$6,MIN(5,'DADOS_FORMAS'!$GW5+2)),'DADOS_FORMAS'!$GT5)))&amp;'DADOS_FORMAS'!$GV5))</f>
        <v/>
      </c>
      <c r="HI33">
        <f>IF(OR('DADOS_FORMAS'!$AH12="",'DADOS_FORMAS'!$GR5="",'DADOS_FORMAS'!$GT5=""),"",IF('DADOS_FORMAS'!$GT5="—","—",'DADOS_FORMAS'!$GU5&amp;IF('DADOS_FORMAS'!$GS5="alcance",INDEX('DADOS_FORMAS'!$GL$2:$GL$7,MIN(6,'DADOS_FORMAS'!$GW5+3)),IF('DADOS_FORMAS'!$GS5="raio",INDEX('DADOS_FORMAS'!$GN$2:$GN$6,MIN(5,'DADOS_FORMAS'!$GW5+3)),IF('DADOS_FORMAS'!$GS5="comprimento",INDEX('DADOS_FORMAS'!$GP$2:$GP$6,MIN(5,'DADOS_FORMAS'!$GW5+3)),'DADOS_FORMAS'!$GT5)))&amp;'DADOS_FORMAS'!$GV5))</f>
        <v/>
      </c>
      <c r="HJ33">
        <f>IF(OR('DADOS_FORMAS'!$AH12="",'DADOS_FORMAS'!$GR5="",'DADOS_FORMAS'!$GT5=""),"",IF('DADOS_FORMAS'!$GT5="—","—",'DADOS_FORMAS'!$GU5&amp;IF('DADOS_FORMAS'!$GS5="alcance",INDEX('DADOS_FORMAS'!$GL$2:$GL$7,MIN(6,'DADOS_FORMAS'!$GW5+4)),IF('DADOS_FORMAS'!$GS5="raio",INDEX('DADOS_FORMAS'!$GN$2:$GN$6,MIN(5,'DADOS_FORMAS'!$GW5+4)),IF('DADOS_FORMAS'!$GS5="comprimento",INDEX('DADOS_FORMAS'!$GP$2:$GP$6,MIN(5,'DADOS_FORMAS'!$GW5+4)),'DADOS_FORMAS'!$GT5)))&amp;'DADOS_FORMAS'!$GV5))</f>
        <v/>
      </c>
      <c r="HK33">
        <f>IF(OR('DADOS_FORMAS'!$AH12="",'DADOS_FORMAS'!$GR5="",'DADOS_FORMAS'!$GT5=""),"",IF('DADOS_FORMAS'!$GT5="—","—",'DADOS_FORMAS'!$GU5&amp;IF('DADOS_FORMAS'!$GS5="alcance",INDEX('DADOS_FORMAS'!$GL$2:$GL$7,MIN(6,'DADOS_FORMAS'!$GW5+5)),IF('DADOS_FORMAS'!$GS5="raio",INDEX('DADOS_FORMAS'!$GN$2:$GN$6,MIN(5,'DADOS_FORMAS'!$GW5+5)),IF('DADOS_FORMAS'!$GS5="comprimento",INDEX('DADOS_FORMAS'!$GP$2:$GP$6,MIN(5,'DADOS_FORMAS'!$GW5+5)),'DADOS_FORMAS'!$GT5)))&amp;'DADOS_FORMAS'!$GV5))</f>
        <v/>
      </c>
      <c r="HM33">
        <f>'DADOS_FORMAS'!$BP15</f>
        <v/>
      </c>
      <c r="HN33">
        <f>IF('DADOS_FORMAS'!$BP15="area",'DADOS_FORMAS'!$AU15,'DADOS_FORMAS'!$AT15)</f>
        <v/>
      </c>
      <c r="HO33">
        <f>IF('DADOS_FORMAS'!$BP15="area",'DADOS_FORMAS'!$BI15,'DADOS_FORMAS'!$BB15)</f>
        <v/>
      </c>
      <c r="HP33">
        <f>'DADOS_FORMAS'!$BQ15</f>
        <v/>
      </c>
      <c r="HQ33">
        <f>'DADOS_FORMAS'!$BR15</f>
        <v/>
      </c>
      <c r="HR33">
        <f>LET(base,'DADOS_FORMAS'!$HO33,escada,'DADOS_FORMAS'!$HN33,medida,LEFT(base,MAX(0,LEN(base)-2)),valor,IFERROR(VALUE(SUBSTITUTE(medida,",",""))/10^IFERROR(LEN(medida)-FIND(",",medida),0),1E99),IF(OR(escada="Fixo",base="—"),base,IF(escada="alcance",IFERROR(MATCH(base,{"1,5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3" t="inlineStr">
        <is>
          <t>Apoio · classe 7</t>
        </is>
      </c>
      <c r="HU33" t="inlineStr">
        <is>
          <t>Um aliado a 18 m</t>
        </is>
      </c>
      <c r="HV33" t="inlineStr">
        <is>
          <t>Um aliado a 36 m</t>
        </is>
      </c>
      <c r="HW33" t="inlineStr">
        <is>
          <t>Um aliado a 90 m</t>
        </is>
      </c>
      <c r="HX33" t="inlineStr">
        <is>
          <t>Um aliado a visão a olho nu</t>
        </is>
      </c>
      <c r="HY33" t="inlineStr">
        <is>
          <t>Um aliado a visão a olho nu</t>
        </is>
      </c>
      <c r="HZ33" t="inlineStr">
        <is>
          <t>Um aliado a visão a olho nu</t>
        </is>
      </c>
      <c r="IA33" t="inlineStr"/>
      <c r="IB33" t="inlineStr"/>
      <c r="IC33" t="inlineStr"/>
      <c r="ID33" t="inlineStr"/>
      <c r="IE33" t="inlineStr"/>
      <c r="IF33" t="inlineStr"/>
      <c r="KA33">
        <f>IFERROR(INDEX(INDEX('DADOS_RESTRICOES'!$M$2:$Q$54,0,1),31),"")</f>
        <v/>
      </c>
    </row>
    <row r="34">
      <c r="GR34">
        <f>'DADOS_FORMAS'!$BL17</f>
        <v/>
      </c>
      <c r="GS34">
        <f>IF('DADOS_FORMAS'!$BL17="area",'DADOS_FORMAS'!$AU17,'DADOS_FORMAS'!$AT17)</f>
        <v/>
      </c>
      <c r="GT34">
        <f>IF('DADOS_FORMAS'!$BL17="area",'DADOS_FORMAS'!$BD17,'DADOS_FORMAS'!$AW17)</f>
        <v/>
      </c>
      <c r="GU34">
        <f>'DADOS_FORMAS'!$BM17</f>
        <v/>
      </c>
      <c r="GV34">
        <f>'DADOS_FORMAS'!$BN17</f>
        <v/>
      </c>
      <c r="GW34">
        <f>LET(base,'DADOS_FORMAS'!$GT34,escada,'DADOS_FORMAS'!$GS34,medida,LEFT(base,MAX(0,LEN(base)-2)),valor,IFERROR(VALUE(SUBSTITUTE(medida,",",""))/10^IFERROR(LEN(medida)-FIND(",",medida),0),1E99),IF(OR(escada="Fixo",base="—"),base,IF(escada="alcance",IFERROR(MATCH(base,{"1,5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4">
        <f>'DADOS_FORMAS'!$AH12&amp;" · classes 6 e 7"</f>
        <v/>
      </c>
      <c r="GZ34">
        <f>LET(trecho,IF(OR('DADOS_FORMAS'!$AH12="",'DADOS_FORMAS'!$GR6="",'DADOS_FORMAS'!$GT6=""),"",IF('DADOS_FORMAS'!$GT6="—","—",'DADOS_FORMAS'!$GU6&amp;'DADOS_FORMAS'!$GT6&amp;'DADOS_FORMAS'!$GV6)),UPPER(LEFT(trecho,1))&amp;MID(trecho,2,LEN(trecho)))</f>
        <v/>
      </c>
      <c r="HA34">
        <f>LET(trecho,IF(OR('DADOS_FORMAS'!$AH12="",'DADOS_FORMAS'!$GR6="",'DADOS_FORMAS'!$GT6=""),"",IF('DADOS_FORMAS'!$GT6="—","—",'DADOS_FORMAS'!$GU6&amp;IF('DADOS_FORMAS'!$GS6="alcance",INDEX('DADOS_FORMAS'!$GL$2:$GL$7,MIN(6,'DADOS_FORMAS'!$GW6+1)),IF('DADOS_FORMAS'!$GS6="raio",INDEX('DADOS_FORMAS'!$GN$2:$GN$6,MIN(5,'DADOS_FORMAS'!$GW6+1)),IF('DADOS_FORMAS'!$GS6="comprimento",INDEX('DADOS_FORMAS'!$GP$2:$GP$6,MIN(5,'DADOS_FORMAS'!$GW6+1)),'DADOS_FORMAS'!$GT6)))&amp;'DADOS_FORMAS'!$GV6)),UPPER(LEFT(trecho,1))&amp;MID(trecho,2,LEN(trecho)))</f>
        <v/>
      </c>
      <c r="HB34">
        <f>LET(trecho,IF(OR('DADOS_FORMAS'!$AH12="",'DADOS_FORMAS'!$GR6="",'DADOS_FORMAS'!$GT6=""),"",IF('DADOS_FORMAS'!$GT6="—","—",'DADOS_FORMAS'!$GU6&amp;IF('DADOS_FORMAS'!$GS6="alcance",INDEX('DADOS_FORMAS'!$GL$2:$GL$7,MIN(6,'DADOS_FORMAS'!$GW6+2)),IF('DADOS_FORMAS'!$GS6="raio",INDEX('DADOS_FORMAS'!$GN$2:$GN$6,MIN(5,'DADOS_FORMAS'!$GW6+2)),IF('DADOS_FORMAS'!$GS6="comprimento",INDEX('DADOS_FORMAS'!$GP$2:$GP$6,MIN(5,'DADOS_FORMAS'!$GW6+2)),'DADOS_FORMAS'!$GT6)))&amp;'DADOS_FORMAS'!$GV6)),UPPER(LEFT(trecho,1))&amp;MID(trecho,2,LEN(trecho)))</f>
        <v/>
      </c>
      <c r="HC34">
        <f>LET(trecho,IF(OR('DADOS_FORMAS'!$AH12="",'DADOS_FORMAS'!$GR6="",'DADOS_FORMAS'!$GT6=""),"",IF('DADOS_FORMAS'!$GT6="—","—",'DADOS_FORMAS'!$GU6&amp;IF('DADOS_FORMAS'!$GS6="alcance",INDEX('DADOS_FORMAS'!$GL$2:$GL$7,MIN(6,'DADOS_FORMAS'!$GW6+3)),IF('DADOS_FORMAS'!$GS6="raio",INDEX('DADOS_FORMAS'!$GN$2:$GN$6,MIN(5,'DADOS_FORMAS'!$GW6+3)),IF('DADOS_FORMAS'!$GS6="comprimento",INDEX('DADOS_FORMAS'!$GP$2:$GP$6,MIN(5,'DADOS_FORMAS'!$GW6+3)),'DADOS_FORMAS'!$GT6)))&amp;'DADOS_FORMAS'!$GV6)),UPPER(LEFT(trecho,1))&amp;MID(trecho,2,LEN(trecho)))</f>
        <v/>
      </c>
      <c r="HD34">
        <f>LET(trecho,IF(OR('DADOS_FORMAS'!$AH12="",'DADOS_FORMAS'!$GR6="",'DADOS_FORMAS'!$GT6=""),"",IF('DADOS_FORMAS'!$GT6="—","—",'DADOS_FORMAS'!$GU6&amp;IF('DADOS_FORMAS'!$GS6="alcance",INDEX('DADOS_FORMAS'!$GL$2:$GL$7,MIN(6,'DADOS_FORMAS'!$GW6+4)),IF('DADOS_FORMAS'!$GS6="raio",INDEX('DADOS_FORMAS'!$GN$2:$GN$6,MIN(5,'DADOS_FORMAS'!$GW6+4)),IF('DADOS_FORMAS'!$GS6="comprimento",INDEX('DADOS_FORMAS'!$GP$2:$GP$6,MIN(5,'DADOS_FORMAS'!$GW6+4)),'DADOS_FORMAS'!$GT6)))&amp;'DADOS_FORMAS'!$GV6)),UPPER(LEFT(trecho,1))&amp;MID(trecho,2,LEN(trecho)))</f>
        <v/>
      </c>
      <c r="HE34">
        <f>LET(trecho,IF(OR('DADOS_FORMAS'!$AH12="",'DADOS_FORMAS'!$GR6="",'DADOS_FORMAS'!$GT6=""),"",IF('DADOS_FORMAS'!$GT6="—","—",'DADOS_FORMAS'!$GU6&amp;IF('DADOS_FORMAS'!$GS6="alcance",INDEX('DADOS_FORMAS'!$GL$2:$GL$7,MIN(6,'DADOS_FORMAS'!$GW6+5)),IF('DADOS_FORMAS'!$GS6="raio",INDEX('DADOS_FORMAS'!$GN$2:$GN$6,MIN(5,'DADOS_FORMAS'!$GW6+5)),IF('DADOS_FORMAS'!$GS6="comprimento",INDEX('DADOS_FORMAS'!$GP$2:$GP$6,MIN(5,'DADOS_FORMAS'!$GW6+5)),'DADOS_FORMAS'!$GT6)))&amp;'DADOS_FORMAS'!$GV6)),UPPER(LEFT(trecho,1))&amp;MID(trecho,2,LEN(trecho)))</f>
        <v/>
      </c>
      <c r="HF34">
        <f>IF(OR('DADOS_FORMAS'!$AH12="",'DADOS_FORMAS'!$GR7="",'DADOS_FORMAS'!$GT7=""),"",IF('DADOS_FORMAS'!$GT7="—","—",'DADOS_FORMAS'!$GU7&amp;'DADOS_FORMAS'!$GT7&amp;'DADOS_FORMAS'!$GV7))</f>
        <v/>
      </c>
      <c r="HG34">
        <f>IF(OR('DADOS_FORMAS'!$AH12="",'DADOS_FORMAS'!$GR7="",'DADOS_FORMAS'!$GT7=""),"",IF('DADOS_FORMAS'!$GT7="—","—",'DADOS_FORMAS'!$GU7&amp;IF('DADOS_FORMAS'!$GS7="alcance",INDEX('DADOS_FORMAS'!$GL$2:$GL$7,MIN(6,'DADOS_FORMAS'!$GW7+1)),IF('DADOS_FORMAS'!$GS7="raio",INDEX('DADOS_FORMAS'!$GN$2:$GN$6,MIN(5,'DADOS_FORMAS'!$GW7+1)),IF('DADOS_FORMAS'!$GS7="comprimento",INDEX('DADOS_FORMAS'!$GP$2:$GP$6,MIN(5,'DADOS_FORMAS'!$GW7+1)),'DADOS_FORMAS'!$GT7)))&amp;'DADOS_FORMAS'!$GV7))</f>
        <v/>
      </c>
      <c r="HH34">
        <f>IF(OR('DADOS_FORMAS'!$AH12="",'DADOS_FORMAS'!$GR7="",'DADOS_FORMAS'!$GT7=""),"",IF('DADOS_FORMAS'!$GT7="—","—",'DADOS_FORMAS'!$GU7&amp;IF('DADOS_FORMAS'!$GS7="alcance",INDEX('DADOS_FORMAS'!$GL$2:$GL$7,MIN(6,'DADOS_FORMAS'!$GW7+2)),IF('DADOS_FORMAS'!$GS7="raio",INDEX('DADOS_FORMAS'!$GN$2:$GN$6,MIN(5,'DADOS_FORMAS'!$GW7+2)),IF('DADOS_FORMAS'!$GS7="comprimento",INDEX('DADOS_FORMAS'!$GP$2:$GP$6,MIN(5,'DADOS_FORMAS'!$GW7+2)),'DADOS_FORMAS'!$GT7)))&amp;'DADOS_FORMAS'!$GV7))</f>
        <v/>
      </c>
      <c r="HI34">
        <f>IF(OR('DADOS_FORMAS'!$AH12="",'DADOS_FORMAS'!$GR7="",'DADOS_FORMAS'!$GT7=""),"",IF('DADOS_FORMAS'!$GT7="—","—",'DADOS_FORMAS'!$GU7&amp;IF('DADOS_FORMAS'!$GS7="alcance",INDEX('DADOS_FORMAS'!$GL$2:$GL$7,MIN(6,'DADOS_FORMAS'!$GW7+3)),IF('DADOS_FORMAS'!$GS7="raio",INDEX('DADOS_FORMAS'!$GN$2:$GN$6,MIN(5,'DADOS_FORMAS'!$GW7+3)),IF('DADOS_FORMAS'!$GS7="comprimento",INDEX('DADOS_FORMAS'!$GP$2:$GP$6,MIN(5,'DADOS_FORMAS'!$GW7+3)),'DADOS_FORMAS'!$GT7)))&amp;'DADOS_FORMAS'!$GV7))</f>
        <v/>
      </c>
      <c r="HJ34">
        <f>IF(OR('DADOS_FORMAS'!$AH12="",'DADOS_FORMAS'!$GR7="",'DADOS_FORMAS'!$GT7=""),"",IF('DADOS_FORMAS'!$GT7="—","—",'DADOS_FORMAS'!$GU7&amp;IF('DADOS_FORMAS'!$GS7="alcance",INDEX('DADOS_FORMAS'!$GL$2:$GL$7,MIN(6,'DADOS_FORMAS'!$GW7+4)),IF('DADOS_FORMAS'!$GS7="raio",INDEX('DADOS_FORMAS'!$GN$2:$GN$6,MIN(5,'DADOS_FORMAS'!$GW7+4)),IF('DADOS_FORMAS'!$GS7="comprimento",INDEX('DADOS_FORMAS'!$GP$2:$GP$6,MIN(5,'DADOS_FORMAS'!$GW7+4)),'DADOS_FORMAS'!$GT7)))&amp;'DADOS_FORMAS'!$GV7))</f>
        <v/>
      </c>
      <c r="HK34">
        <f>IF(OR('DADOS_FORMAS'!$AH12="",'DADOS_FORMAS'!$GR7="",'DADOS_FORMAS'!$GT7=""),"",IF('DADOS_FORMAS'!$GT7="—","—",'DADOS_FORMAS'!$GU7&amp;IF('DADOS_FORMAS'!$GS7="alcance",INDEX('DADOS_FORMAS'!$GL$2:$GL$7,MIN(6,'DADOS_FORMAS'!$GW7+5)),IF('DADOS_FORMAS'!$GS7="raio",INDEX('DADOS_FORMAS'!$GN$2:$GN$6,MIN(5,'DADOS_FORMAS'!$GW7+5)),IF('DADOS_FORMAS'!$GS7="comprimento",INDEX('DADOS_FORMAS'!$GP$2:$GP$6,MIN(5,'DADOS_FORMAS'!$GW7+5)),'DADOS_FORMAS'!$GT7)))&amp;'DADOS_FORMAS'!$GV7))</f>
        <v/>
      </c>
      <c r="HM34">
        <f>'DADOS_FORMAS'!$BL16</f>
        <v/>
      </c>
      <c r="HN34">
        <f>IF('DADOS_FORMAS'!$BL16="area",'DADOS_FORMAS'!$AU16,'DADOS_FORMAS'!$AT16)</f>
        <v/>
      </c>
      <c r="HO34">
        <f>IF('DADOS_FORMAS'!$BL16="area",'DADOS_FORMAS'!$BF16,'DADOS_FORMAS'!$AY16)</f>
        <v/>
      </c>
      <c r="HP34">
        <f>'DADOS_FORMAS'!$BM16</f>
        <v/>
      </c>
      <c r="HQ34">
        <f>'DADOS_FORMAS'!$BN16</f>
        <v/>
      </c>
      <c r="HR34">
        <f>LET(base,'DADOS_FORMAS'!$HO34,escada,'DADOS_FORMAS'!$HN34,medida,LEFT(base,MAX(0,LEN(base)-2)),valor,IFERROR(VALUE(SUBSTITUTE(medida,",",""))/10^IFERROR(LEN(medida)-FIND(",",medida),0),1E99),IF(OR(escada="Fixo",base="—"),base,IF(escada="alcance",IFERROR(MATCH(base,{"1,5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4" t="inlineStr">
        <is>
          <t>Onda · classe 0</t>
        </is>
      </c>
      <c r="HU34" t="inlineStr">
        <is>
          <t>—</t>
        </is>
      </c>
      <c r="HV34" t="inlineStr">
        <is>
          <t>—</t>
        </is>
      </c>
      <c r="HW34" t="inlineStr">
        <is>
          <t>—</t>
        </is>
      </c>
      <c r="HX34" t="inlineStr">
        <is>
          <t>—</t>
        </is>
      </c>
      <c r="HY34" t="inlineStr">
        <is>
          <t>—</t>
        </is>
      </c>
      <c r="HZ34" t="inlineStr">
        <is>
          <t>—</t>
        </is>
      </c>
      <c r="IA34" t="inlineStr"/>
      <c r="IB34" t="inlineStr"/>
      <c r="IC34" t="inlineStr"/>
      <c r="ID34" t="inlineStr"/>
      <c r="IE34" t="inlineStr"/>
      <c r="IF34" t="inlineStr"/>
      <c r="KA34">
        <f>IFERROR(INDEX(INDEX('DADOS_RESTRICOES'!$M$2:$Q$54,0,1),32),"")</f>
        <v/>
      </c>
    </row>
    <row r="35">
      <c r="GR35">
        <f>'DADOS_FORMAS'!$BP17</f>
        <v/>
      </c>
      <c r="GS35">
        <f>IF('DADOS_FORMAS'!$BP17="area",'DADOS_FORMAS'!$AU17,'DADOS_FORMAS'!$AT17)</f>
        <v/>
      </c>
      <c r="GT35">
        <f>IF('DADOS_FORMAS'!$BP17="area",'DADOS_FORMAS'!$BD17,'DADOS_FORMAS'!$AW17)</f>
        <v/>
      </c>
      <c r="GU35">
        <f>'DADOS_FORMAS'!$BQ17</f>
        <v/>
      </c>
      <c r="GV35">
        <f>'DADOS_FORMAS'!$BR17</f>
        <v/>
      </c>
      <c r="GW35">
        <f>LET(base,'DADOS_FORMAS'!$GT35,escada,'DADOS_FORMAS'!$GS35,medida,LEFT(base,MAX(0,LEN(base)-2)),valor,IFERROR(VALUE(SUBSTITUTE(medida,",",""))/10^IFERROR(LEN(medida)-FIND(",",medida),0),1E99),IF(OR(escada="Fixo",base="—"),base,IF(escada="alcance",IFERROR(MATCH(base,{"1,5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5">
        <f>'DADOS_FORMAS'!$AH13&amp;" · classe 0"</f>
        <v/>
      </c>
      <c r="GZ35">
        <f>LET(trecho,IF(OR('DADOS_FORMAS'!$AH13="",'DADOS_FORMAS'!$GR8="",'DADOS_FORMAS'!$GT8=""),"",IF('DADOS_FORMAS'!$GT8="—","—",'DADOS_FORMAS'!$GU8&amp;'DADOS_FORMAS'!$GT8&amp;'DADOS_FORMAS'!$GV8)),UPPER(LEFT(trecho,1))&amp;MID(trecho,2,LEN(trecho)))</f>
        <v/>
      </c>
      <c r="HA35">
        <f>LET(trecho,IF(OR('DADOS_FORMAS'!$AH13="",'DADOS_FORMAS'!$GR8="",'DADOS_FORMAS'!$GT8=""),"",IF('DADOS_FORMAS'!$GT8="—","—",'DADOS_FORMAS'!$GU8&amp;IF('DADOS_FORMAS'!$GS8="alcance",INDEX('DADOS_FORMAS'!$GL$2:$GL$7,MIN(6,'DADOS_FORMAS'!$GW8+1)),IF('DADOS_FORMAS'!$GS8="raio",INDEX('DADOS_FORMAS'!$GN$2:$GN$6,MIN(5,'DADOS_FORMAS'!$GW8+1)),IF('DADOS_FORMAS'!$GS8="comprimento",INDEX('DADOS_FORMAS'!$GP$2:$GP$6,MIN(5,'DADOS_FORMAS'!$GW8+1)),'DADOS_FORMAS'!$GT8)))&amp;'DADOS_FORMAS'!$GV8)),UPPER(LEFT(trecho,1))&amp;MID(trecho,2,LEN(trecho)))</f>
        <v/>
      </c>
      <c r="HB35">
        <f>LET(trecho,IF(OR('DADOS_FORMAS'!$AH13="",'DADOS_FORMAS'!$GR8="",'DADOS_FORMAS'!$GT8=""),"",IF('DADOS_FORMAS'!$GT8="—","—",'DADOS_FORMAS'!$GU8&amp;IF('DADOS_FORMAS'!$GS8="alcance",INDEX('DADOS_FORMAS'!$GL$2:$GL$7,MIN(6,'DADOS_FORMAS'!$GW8+2)),IF('DADOS_FORMAS'!$GS8="raio",INDEX('DADOS_FORMAS'!$GN$2:$GN$6,MIN(5,'DADOS_FORMAS'!$GW8+2)),IF('DADOS_FORMAS'!$GS8="comprimento",INDEX('DADOS_FORMAS'!$GP$2:$GP$6,MIN(5,'DADOS_FORMAS'!$GW8+2)),'DADOS_FORMAS'!$GT8)))&amp;'DADOS_FORMAS'!$GV8)),UPPER(LEFT(trecho,1))&amp;MID(trecho,2,LEN(trecho)))</f>
        <v/>
      </c>
      <c r="HC35">
        <f>LET(trecho,IF(OR('DADOS_FORMAS'!$AH13="",'DADOS_FORMAS'!$GR8="",'DADOS_FORMAS'!$GT8=""),"",IF('DADOS_FORMAS'!$GT8="—","—",'DADOS_FORMAS'!$GU8&amp;IF('DADOS_FORMAS'!$GS8="alcance",INDEX('DADOS_FORMAS'!$GL$2:$GL$7,MIN(6,'DADOS_FORMAS'!$GW8+3)),IF('DADOS_FORMAS'!$GS8="raio",INDEX('DADOS_FORMAS'!$GN$2:$GN$6,MIN(5,'DADOS_FORMAS'!$GW8+3)),IF('DADOS_FORMAS'!$GS8="comprimento",INDEX('DADOS_FORMAS'!$GP$2:$GP$6,MIN(5,'DADOS_FORMAS'!$GW8+3)),'DADOS_FORMAS'!$GT8)))&amp;'DADOS_FORMAS'!$GV8)),UPPER(LEFT(trecho,1))&amp;MID(trecho,2,LEN(trecho)))</f>
        <v/>
      </c>
      <c r="HD35">
        <f>LET(trecho,IF(OR('DADOS_FORMAS'!$AH13="",'DADOS_FORMAS'!$GR8="",'DADOS_FORMAS'!$GT8=""),"",IF('DADOS_FORMAS'!$GT8="—","—",'DADOS_FORMAS'!$GU8&amp;IF('DADOS_FORMAS'!$GS8="alcance",INDEX('DADOS_FORMAS'!$GL$2:$GL$7,MIN(6,'DADOS_FORMAS'!$GW8+4)),IF('DADOS_FORMAS'!$GS8="raio",INDEX('DADOS_FORMAS'!$GN$2:$GN$6,MIN(5,'DADOS_FORMAS'!$GW8+4)),IF('DADOS_FORMAS'!$GS8="comprimento",INDEX('DADOS_FORMAS'!$GP$2:$GP$6,MIN(5,'DADOS_FORMAS'!$GW8+4)),'DADOS_FORMAS'!$GT8)))&amp;'DADOS_FORMAS'!$GV8)),UPPER(LEFT(trecho,1))&amp;MID(trecho,2,LEN(trecho)))</f>
        <v/>
      </c>
      <c r="HE35">
        <f>LET(trecho,IF(OR('DADOS_FORMAS'!$AH13="",'DADOS_FORMAS'!$GR8="",'DADOS_FORMAS'!$GT8=""),"",IF('DADOS_FORMAS'!$GT8="—","—",'DADOS_FORMAS'!$GU8&amp;IF('DADOS_FORMAS'!$GS8="alcance",INDEX('DADOS_FORMAS'!$GL$2:$GL$7,MIN(6,'DADOS_FORMAS'!$GW8+5)),IF('DADOS_FORMAS'!$GS8="raio",INDEX('DADOS_FORMAS'!$GN$2:$GN$6,MIN(5,'DADOS_FORMAS'!$GW8+5)),IF('DADOS_FORMAS'!$GS8="comprimento",INDEX('DADOS_FORMAS'!$GP$2:$GP$6,MIN(5,'DADOS_FORMAS'!$GW8+5)),'DADOS_FORMAS'!$GT8)))&amp;'DADOS_FORMAS'!$GV8)),UPPER(LEFT(trecho,1))&amp;MID(trecho,2,LEN(trecho)))</f>
        <v/>
      </c>
      <c r="HF35">
        <f>IF(OR('DADOS_FORMAS'!$AH13="",'DADOS_FORMAS'!$GR9="",'DADOS_FORMAS'!$GT9=""),"",IF('DADOS_FORMAS'!$GT9="—","—",'DADOS_FORMAS'!$GU9&amp;'DADOS_FORMAS'!$GT9&amp;'DADOS_FORMAS'!$GV9))</f>
        <v/>
      </c>
      <c r="HG35">
        <f>IF(OR('DADOS_FORMAS'!$AH13="",'DADOS_FORMAS'!$GR9="",'DADOS_FORMAS'!$GT9=""),"",IF('DADOS_FORMAS'!$GT9="—","—",'DADOS_FORMAS'!$GU9&amp;IF('DADOS_FORMAS'!$GS9="alcance",INDEX('DADOS_FORMAS'!$GL$2:$GL$7,MIN(6,'DADOS_FORMAS'!$GW9+1)),IF('DADOS_FORMAS'!$GS9="raio",INDEX('DADOS_FORMAS'!$GN$2:$GN$6,MIN(5,'DADOS_FORMAS'!$GW9+1)),IF('DADOS_FORMAS'!$GS9="comprimento",INDEX('DADOS_FORMAS'!$GP$2:$GP$6,MIN(5,'DADOS_FORMAS'!$GW9+1)),'DADOS_FORMAS'!$GT9)))&amp;'DADOS_FORMAS'!$GV9))</f>
        <v/>
      </c>
      <c r="HH35">
        <f>IF(OR('DADOS_FORMAS'!$AH13="",'DADOS_FORMAS'!$GR9="",'DADOS_FORMAS'!$GT9=""),"",IF('DADOS_FORMAS'!$GT9="—","—",'DADOS_FORMAS'!$GU9&amp;IF('DADOS_FORMAS'!$GS9="alcance",INDEX('DADOS_FORMAS'!$GL$2:$GL$7,MIN(6,'DADOS_FORMAS'!$GW9+2)),IF('DADOS_FORMAS'!$GS9="raio",INDEX('DADOS_FORMAS'!$GN$2:$GN$6,MIN(5,'DADOS_FORMAS'!$GW9+2)),IF('DADOS_FORMAS'!$GS9="comprimento",INDEX('DADOS_FORMAS'!$GP$2:$GP$6,MIN(5,'DADOS_FORMAS'!$GW9+2)),'DADOS_FORMAS'!$GT9)))&amp;'DADOS_FORMAS'!$GV9))</f>
        <v/>
      </c>
      <c r="HI35">
        <f>IF(OR('DADOS_FORMAS'!$AH13="",'DADOS_FORMAS'!$GR9="",'DADOS_FORMAS'!$GT9=""),"",IF('DADOS_FORMAS'!$GT9="—","—",'DADOS_FORMAS'!$GU9&amp;IF('DADOS_FORMAS'!$GS9="alcance",INDEX('DADOS_FORMAS'!$GL$2:$GL$7,MIN(6,'DADOS_FORMAS'!$GW9+3)),IF('DADOS_FORMAS'!$GS9="raio",INDEX('DADOS_FORMAS'!$GN$2:$GN$6,MIN(5,'DADOS_FORMAS'!$GW9+3)),IF('DADOS_FORMAS'!$GS9="comprimento",INDEX('DADOS_FORMAS'!$GP$2:$GP$6,MIN(5,'DADOS_FORMAS'!$GW9+3)),'DADOS_FORMAS'!$GT9)))&amp;'DADOS_FORMAS'!$GV9))</f>
        <v/>
      </c>
      <c r="HJ35">
        <f>IF(OR('DADOS_FORMAS'!$AH13="",'DADOS_FORMAS'!$GR9="",'DADOS_FORMAS'!$GT9=""),"",IF('DADOS_FORMAS'!$GT9="—","—",'DADOS_FORMAS'!$GU9&amp;IF('DADOS_FORMAS'!$GS9="alcance",INDEX('DADOS_FORMAS'!$GL$2:$GL$7,MIN(6,'DADOS_FORMAS'!$GW9+4)),IF('DADOS_FORMAS'!$GS9="raio",INDEX('DADOS_FORMAS'!$GN$2:$GN$6,MIN(5,'DADOS_FORMAS'!$GW9+4)),IF('DADOS_FORMAS'!$GS9="comprimento",INDEX('DADOS_FORMAS'!$GP$2:$GP$6,MIN(5,'DADOS_FORMAS'!$GW9+4)),'DADOS_FORMAS'!$GT9)))&amp;'DADOS_FORMAS'!$GV9))</f>
        <v/>
      </c>
      <c r="HK35">
        <f>IF(OR('DADOS_FORMAS'!$AH13="",'DADOS_FORMAS'!$GR9="",'DADOS_FORMAS'!$GT9=""),"",IF('DADOS_FORMAS'!$GT9="—","—",'DADOS_FORMAS'!$GU9&amp;IF('DADOS_FORMAS'!$GS9="alcance",INDEX('DADOS_FORMAS'!$GL$2:$GL$7,MIN(6,'DADOS_FORMAS'!$GW9+5)),IF('DADOS_FORMAS'!$GS9="raio",INDEX('DADOS_FORMAS'!$GN$2:$GN$6,MIN(5,'DADOS_FORMAS'!$GW9+5)),IF('DADOS_FORMAS'!$GS9="comprimento",INDEX('DADOS_FORMAS'!$GP$2:$GP$6,MIN(5,'DADOS_FORMAS'!$GW9+5)),'DADOS_FORMAS'!$GT9)))&amp;'DADOS_FORMAS'!$GV9))</f>
        <v/>
      </c>
      <c r="HM35">
        <f>'DADOS_FORMAS'!$BP16</f>
        <v/>
      </c>
      <c r="HN35">
        <f>IF('DADOS_FORMAS'!$BP16="area",'DADOS_FORMAS'!$AU16,'DADOS_FORMAS'!$AT16)</f>
        <v/>
      </c>
      <c r="HO35">
        <f>IF('DADOS_FORMAS'!$BP16="area",'DADOS_FORMAS'!$BF16,'DADOS_FORMAS'!$AY16)</f>
        <v/>
      </c>
      <c r="HP35">
        <f>'DADOS_FORMAS'!$BQ16</f>
        <v/>
      </c>
      <c r="HQ35">
        <f>'DADOS_FORMAS'!$BR16</f>
        <v/>
      </c>
      <c r="HR35">
        <f>LET(base,'DADOS_FORMAS'!$HO35,escada,'DADOS_FORMAS'!$HN35,medida,LEFT(base,MAX(0,LEN(base)-2)),valor,IFERROR(VALUE(SUBSTITUTE(medida,",",""))/10^IFERROR(LEN(medida)-FIND(",",medida),0),1E99),IF(OR(escada="Fixo",base="—"),base,IF(escada="alcance",IFERROR(MATCH(base,{"1,5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5" t="inlineStr">
        <is>
          <t>Onda · classes 1 a 5</t>
        </is>
      </c>
      <c r="HU35" t="inlineStr">
        <is>
          <t>Raio 3 m, nela</t>
        </is>
      </c>
      <c r="HV35" t="inlineStr">
        <is>
          <t>Raio 4,5 m, nela</t>
        </is>
      </c>
      <c r="HW35" t="inlineStr">
        <is>
          <t>Raio 6 m, nela</t>
        </is>
      </c>
      <c r="HX35" t="inlineStr">
        <is>
          <t>Raio 9 m, nela</t>
        </is>
      </c>
      <c r="HY35" t="inlineStr">
        <is>
          <t>Raio 15 m, nela</t>
        </is>
      </c>
      <c r="HZ35" t="inlineStr">
        <is>
          <t>Raio 15 m, nela</t>
        </is>
      </c>
      <c r="IA35" t="inlineStr"/>
      <c r="IB35" t="inlineStr"/>
      <c r="IC35" t="inlineStr"/>
      <c r="ID35" t="inlineStr"/>
      <c r="IE35" t="inlineStr"/>
      <c r="IF35" t="inlineStr"/>
      <c r="KA35">
        <f>IFERROR(INDEX(INDEX('DADOS_RESTRICOES'!$M$2:$Q$54,0,1),33),"")</f>
        <v/>
      </c>
    </row>
    <row r="36">
      <c r="GR36">
        <f>'DADOS_FORMAS'!$BL17</f>
        <v/>
      </c>
      <c r="GS36">
        <f>IF('DADOS_FORMAS'!$BL17="area",'DADOS_FORMAS'!$AU17,'DADOS_FORMAS'!$AT17)</f>
        <v/>
      </c>
      <c r="GT36">
        <f>IF('DADOS_FORMAS'!$BL17="area",'DADOS_FORMAS'!$BE17,'DADOS_FORMAS'!$AX17)</f>
        <v/>
      </c>
      <c r="GU36">
        <f>'DADOS_FORMAS'!$BM17</f>
        <v/>
      </c>
      <c r="GV36">
        <f>'DADOS_FORMAS'!$BN17</f>
        <v/>
      </c>
      <c r="GW36">
        <f>LET(base,'DADOS_FORMAS'!$GT36,escada,'DADOS_FORMAS'!$GS36,medida,LEFT(base,MAX(0,LEN(base)-2)),valor,IFERROR(VALUE(SUBSTITUTE(medida,",",""))/10^IFERROR(LEN(medida)-FIND(",",medida),0),1E99),IF(OR(escada="Fixo",base="—"),base,IF(escada="alcance",IFERROR(MATCH(base,{"1,5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6">
        <f>'DADOS_FORMAS'!$AH13&amp;" · classes 1 a 5"</f>
        <v/>
      </c>
      <c r="GZ36">
        <f>LET(trecho,IF(OR('DADOS_FORMAS'!$AH13="",'DADOS_FORMAS'!$GR10="",'DADOS_FORMAS'!$GT10=""),"",IF('DADOS_FORMAS'!$GT10="—","—",'DADOS_FORMAS'!$GU10&amp;'DADOS_FORMAS'!$GT10&amp;'DADOS_FORMAS'!$GV10)),UPPER(LEFT(trecho,1))&amp;MID(trecho,2,LEN(trecho)))</f>
        <v/>
      </c>
      <c r="HA36">
        <f>LET(trecho,IF(OR('DADOS_FORMAS'!$AH13="",'DADOS_FORMAS'!$GR10="",'DADOS_FORMAS'!$GT10=""),"",IF('DADOS_FORMAS'!$GT10="—","—",'DADOS_FORMAS'!$GU10&amp;IF('DADOS_FORMAS'!$GS10="alcance",INDEX('DADOS_FORMAS'!$GL$2:$GL$7,MIN(6,'DADOS_FORMAS'!$GW10+1)),IF('DADOS_FORMAS'!$GS10="raio",INDEX('DADOS_FORMAS'!$GN$2:$GN$6,MIN(5,'DADOS_FORMAS'!$GW10+1)),IF('DADOS_FORMAS'!$GS10="comprimento",INDEX('DADOS_FORMAS'!$GP$2:$GP$6,MIN(5,'DADOS_FORMAS'!$GW10+1)),'DADOS_FORMAS'!$GT10)))&amp;'DADOS_FORMAS'!$GV10)),UPPER(LEFT(trecho,1))&amp;MID(trecho,2,LEN(trecho)))</f>
        <v/>
      </c>
      <c r="HB36">
        <f>LET(trecho,IF(OR('DADOS_FORMAS'!$AH13="",'DADOS_FORMAS'!$GR10="",'DADOS_FORMAS'!$GT10=""),"",IF('DADOS_FORMAS'!$GT10="—","—",'DADOS_FORMAS'!$GU10&amp;IF('DADOS_FORMAS'!$GS10="alcance",INDEX('DADOS_FORMAS'!$GL$2:$GL$7,MIN(6,'DADOS_FORMAS'!$GW10+2)),IF('DADOS_FORMAS'!$GS10="raio",INDEX('DADOS_FORMAS'!$GN$2:$GN$6,MIN(5,'DADOS_FORMAS'!$GW10+2)),IF('DADOS_FORMAS'!$GS10="comprimento",INDEX('DADOS_FORMAS'!$GP$2:$GP$6,MIN(5,'DADOS_FORMAS'!$GW10+2)),'DADOS_FORMAS'!$GT10)))&amp;'DADOS_FORMAS'!$GV10)),UPPER(LEFT(trecho,1))&amp;MID(trecho,2,LEN(trecho)))</f>
        <v/>
      </c>
      <c r="HC36">
        <f>LET(trecho,IF(OR('DADOS_FORMAS'!$AH13="",'DADOS_FORMAS'!$GR10="",'DADOS_FORMAS'!$GT10=""),"",IF('DADOS_FORMAS'!$GT10="—","—",'DADOS_FORMAS'!$GU10&amp;IF('DADOS_FORMAS'!$GS10="alcance",INDEX('DADOS_FORMAS'!$GL$2:$GL$7,MIN(6,'DADOS_FORMAS'!$GW10+3)),IF('DADOS_FORMAS'!$GS10="raio",INDEX('DADOS_FORMAS'!$GN$2:$GN$6,MIN(5,'DADOS_FORMAS'!$GW10+3)),IF('DADOS_FORMAS'!$GS10="comprimento",INDEX('DADOS_FORMAS'!$GP$2:$GP$6,MIN(5,'DADOS_FORMAS'!$GW10+3)),'DADOS_FORMAS'!$GT10)))&amp;'DADOS_FORMAS'!$GV10)),UPPER(LEFT(trecho,1))&amp;MID(trecho,2,LEN(trecho)))</f>
        <v/>
      </c>
      <c r="HD36">
        <f>LET(trecho,IF(OR('DADOS_FORMAS'!$AH13="",'DADOS_FORMAS'!$GR10="",'DADOS_FORMAS'!$GT10=""),"",IF('DADOS_FORMAS'!$GT10="—","—",'DADOS_FORMAS'!$GU10&amp;IF('DADOS_FORMAS'!$GS10="alcance",INDEX('DADOS_FORMAS'!$GL$2:$GL$7,MIN(6,'DADOS_FORMAS'!$GW10+4)),IF('DADOS_FORMAS'!$GS10="raio",INDEX('DADOS_FORMAS'!$GN$2:$GN$6,MIN(5,'DADOS_FORMAS'!$GW10+4)),IF('DADOS_FORMAS'!$GS10="comprimento",INDEX('DADOS_FORMAS'!$GP$2:$GP$6,MIN(5,'DADOS_FORMAS'!$GW10+4)),'DADOS_FORMAS'!$GT10)))&amp;'DADOS_FORMAS'!$GV10)),UPPER(LEFT(trecho,1))&amp;MID(trecho,2,LEN(trecho)))</f>
        <v/>
      </c>
      <c r="HE36">
        <f>LET(trecho,IF(OR('DADOS_FORMAS'!$AH13="",'DADOS_FORMAS'!$GR10="",'DADOS_FORMAS'!$GT10=""),"",IF('DADOS_FORMAS'!$GT10="—","—",'DADOS_FORMAS'!$GU10&amp;IF('DADOS_FORMAS'!$GS10="alcance",INDEX('DADOS_FORMAS'!$GL$2:$GL$7,MIN(6,'DADOS_FORMAS'!$GW10+5)),IF('DADOS_FORMAS'!$GS10="raio",INDEX('DADOS_FORMAS'!$GN$2:$GN$6,MIN(5,'DADOS_FORMAS'!$GW10+5)),IF('DADOS_FORMAS'!$GS10="comprimento",INDEX('DADOS_FORMAS'!$GP$2:$GP$6,MIN(5,'DADOS_FORMAS'!$GW10+5)),'DADOS_FORMAS'!$GT10)))&amp;'DADOS_FORMAS'!$GV10)),UPPER(LEFT(trecho,1))&amp;MID(trecho,2,LEN(trecho)))</f>
        <v/>
      </c>
      <c r="HF36">
        <f>IF(OR('DADOS_FORMAS'!$AH13="",'DADOS_FORMAS'!$GR11="",'DADOS_FORMAS'!$GT11=""),"",IF('DADOS_FORMAS'!$GT11="—","—",'DADOS_FORMAS'!$GU11&amp;'DADOS_FORMAS'!$GT11&amp;'DADOS_FORMAS'!$GV11))</f>
        <v/>
      </c>
      <c r="HG36">
        <f>IF(OR('DADOS_FORMAS'!$AH13="",'DADOS_FORMAS'!$GR11="",'DADOS_FORMAS'!$GT11=""),"",IF('DADOS_FORMAS'!$GT11="—","—",'DADOS_FORMAS'!$GU11&amp;IF('DADOS_FORMAS'!$GS11="alcance",INDEX('DADOS_FORMAS'!$GL$2:$GL$7,MIN(6,'DADOS_FORMAS'!$GW11+1)),IF('DADOS_FORMAS'!$GS11="raio",INDEX('DADOS_FORMAS'!$GN$2:$GN$6,MIN(5,'DADOS_FORMAS'!$GW11+1)),IF('DADOS_FORMAS'!$GS11="comprimento",INDEX('DADOS_FORMAS'!$GP$2:$GP$6,MIN(5,'DADOS_FORMAS'!$GW11+1)),'DADOS_FORMAS'!$GT11)))&amp;'DADOS_FORMAS'!$GV11))</f>
        <v/>
      </c>
      <c r="HH36">
        <f>IF(OR('DADOS_FORMAS'!$AH13="",'DADOS_FORMAS'!$GR11="",'DADOS_FORMAS'!$GT11=""),"",IF('DADOS_FORMAS'!$GT11="—","—",'DADOS_FORMAS'!$GU11&amp;IF('DADOS_FORMAS'!$GS11="alcance",INDEX('DADOS_FORMAS'!$GL$2:$GL$7,MIN(6,'DADOS_FORMAS'!$GW11+2)),IF('DADOS_FORMAS'!$GS11="raio",INDEX('DADOS_FORMAS'!$GN$2:$GN$6,MIN(5,'DADOS_FORMAS'!$GW11+2)),IF('DADOS_FORMAS'!$GS11="comprimento",INDEX('DADOS_FORMAS'!$GP$2:$GP$6,MIN(5,'DADOS_FORMAS'!$GW11+2)),'DADOS_FORMAS'!$GT11)))&amp;'DADOS_FORMAS'!$GV11))</f>
        <v/>
      </c>
      <c r="HI36">
        <f>IF(OR('DADOS_FORMAS'!$AH13="",'DADOS_FORMAS'!$GR11="",'DADOS_FORMAS'!$GT11=""),"",IF('DADOS_FORMAS'!$GT11="—","—",'DADOS_FORMAS'!$GU11&amp;IF('DADOS_FORMAS'!$GS11="alcance",INDEX('DADOS_FORMAS'!$GL$2:$GL$7,MIN(6,'DADOS_FORMAS'!$GW11+3)),IF('DADOS_FORMAS'!$GS11="raio",INDEX('DADOS_FORMAS'!$GN$2:$GN$6,MIN(5,'DADOS_FORMAS'!$GW11+3)),IF('DADOS_FORMAS'!$GS11="comprimento",INDEX('DADOS_FORMAS'!$GP$2:$GP$6,MIN(5,'DADOS_FORMAS'!$GW11+3)),'DADOS_FORMAS'!$GT11)))&amp;'DADOS_FORMAS'!$GV11))</f>
        <v/>
      </c>
      <c r="HJ36">
        <f>IF(OR('DADOS_FORMAS'!$AH13="",'DADOS_FORMAS'!$GR11="",'DADOS_FORMAS'!$GT11=""),"",IF('DADOS_FORMAS'!$GT11="—","—",'DADOS_FORMAS'!$GU11&amp;IF('DADOS_FORMAS'!$GS11="alcance",INDEX('DADOS_FORMAS'!$GL$2:$GL$7,MIN(6,'DADOS_FORMAS'!$GW11+4)),IF('DADOS_FORMAS'!$GS11="raio",INDEX('DADOS_FORMAS'!$GN$2:$GN$6,MIN(5,'DADOS_FORMAS'!$GW11+4)),IF('DADOS_FORMAS'!$GS11="comprimento",INDEX('DADOS_FORMAS'!$GP$2:$GP$6,MIN(5,'DADOS_FORMAS'!$GW11+4)),'DADOS_FORMAS'!$GT11)))&amp;'DADOS_FORMAS'!$GV11))</f>
        <v/>
      </c>
      <c r="HK36">
        <f>IF(OR('DADOS_FORMAS'!$AH13="",'DADOS_FORMAS'!$GR11="",'DADOS_FORMAS'!$GT11=""),"",IF('DADOS_FORMAS'!$GT11="—","—",'DADOS_FORMAS'!$GU11&amp;IF('DADOS_FORMAS'!$GS11="alcance",INDEX('DADOS_FORMAS'!$GL$2:$GL$7,MIN(6,'DADOS_FORMAS'!$GW11+5)),IF('DADOS_FORMAS'!$GS11="raio",INDEX('DADOS_FORMAS'!$GN$2:$GN$6,MIN(5,'DADOS_FORMAS'!$GW11+5)),IF('DADOS_FORMAS'!$GS11="comprimento",INDEX('DADOS_FORMAS'!$GP$2:$GP$6,MIN(5,'DADOS_FORMAS'!$GW11+5)),'DADOS_FORMAS'!$GT11)))&amp;'DADOS_FORMAS'!$GV11))</f>
        <v/>
      </c>
      <c r="HM36">
        <f>'DADOS_FORMAS'!$BL16</f>
        <v/>
      </c>
      <c r="HN36">
        <f>IF('DADOS_FORMAS'!$BL16="area",'DADOS_FORMAS'!$AU16,'DADOS_FORMAS'!$AT16)</f>
        <v/>
      </c>
      <c r="HO36">
        <f>IF('DADOS_FORMAS'!$BL16="area",'DADOS_FORMAS'!$BG16,'DADOS_FORMAS'!$AZ16)</f>
        <v/>
      </c>
      <c r="HP36">
        <f>'DADOS_FORMAS'!$BM16</f>
        <v/>
      </c>
      <c r="HQ36">
        <f>'DADOS_FORMAS'!$BN16</f>
        <v/>
      </c>
      <c r="HR36">
        <f>LET(base,'DADOS_FORMAS'!$HO36,escada,'DADOS_FORMAS'!$HN36,medida,LEFT(base,MAX(0,LEN(base)-2)),valor,IFERROR(VALUE(SUBSTITUTE(medida,",",""))/10^IFERROR(LEN(medida)-FIND(",",medida),0),1E99),IF(OR(escada="Fixo",base="—"),base,IF(escada="alcance",IFERROR(MATCH(base,{"1,5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6" t="inlineStr">
        <is>
          <t>Onda · classe 6</t>
        </is>
      </c>
      <c r="HU36" t="inlineStr">
        <is>
          <t>Raio 3 m, nela</t>
        </is>
      </c>
      <c r="HV36" t="inlineStr">
        <is>
          <t>Raio 4,5 m, nela</t>
        </is>
      </c>
      <c r="HW36" t="inlineStr">
        <is>
          <t>Raio 6 m, nela</t>
        </is>
      </c>
      <c r="HX36" t="inlineStr">
        <is>
          <t>Raio 9 m, nela</t>
        </is>
      </c>
      <c r="HY36" t="inlineStr">
        <is>
          <t>Raio 15 m, nela</t>
        </is>
      </c>
      <c r="HZ36" t="inlineStr">
        <is>
          <t>Raio 15 m, nela</t>
        </is>
      </c>
      <c r="IA36" t="inlineStr"/>
      <c r="IB36" t="inlineStr"/>
      <c r="IC36" t="inlineStr"/>
      <c r="ID36" t="inlineStr"/>
      <c r="IE36" t="inlineStr"/>
      <c r="IF36" t="inlineStr"/>
      <c r="KA36">
        <f>IFERROR(INDEX(INDEX('DADOS_RESTRICOES'!$M$2:$Q$54,0,1),34),"")</f>
        <v/>
      </c>
    </row>
    <row r="37">
      <c r="GR37">
        <f>'DADOS_FORMAS'!$BP17</f>
        <v/>
      </c>
      <c r="GS37">
        <f>IF('DADOS_FORMAS'!$BP17="area",'DADOS_FORMAS'!$AU17,'DADOS_FORMAS'!$AT17)</f>
        <v/>
      </c>
      <c r="GT37">
        <f>IF('DADOS_FORMAS'!$BP17="area",'DADOS_FORMAS'!$BE17,'DADOS_FORMAS'!$AX17)</f>
        <v/>
      </c>
      <c r="GU37">
        <f>'DADOS_FORMAS'!$BQ17</f>
        <v/>
      </c>
      <c r="GV37">
        <f>'DADOS_FORMAS'!$BR17</f>
        <v/>
      </c>
      <c r="GW37">
        <f>LET(base,'DADOS_FORMAS'!$GT37,escada,'DADOS_FORMAS'!$GS37,medida,LEFT(base,MAX(0,LEN(base)-2)),valor,IFERROR(VALUE(SUBSTITUTE(medida,",",""))/10^IFERROR(LEN(medida)-FIND(",",medida),0),1E99),IF(OR(escada="Fixo",base="—"),base,IF(escada="alcance",IFERROR(MATCH(base,{"1,5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7">
        <f>'DADOS_FORMAS'!$AH13&amp;" · classes 6 e 7"</f>
        <v/>
      </c>
      <c r="GZ37">
        <f>LET(trecho,IF(OR('DADOS_FORMAS'!$AH13="",'DADOS_FORMAS'!$GR12="",'DADOS_FORMAS'!$GT12=""),"",IF('DADOS_FORMAS'!$GT12="—","—",'DADOS_FORMAS'!$GU12&amp;'DADOS_FORMAS'!$GT12&amp;'DADOS_FORMAS'!$GV12)),UPPER(LEFT(trecho,1))&amp;MID(trecho,2,LEN(trecho)))</f>
        <v/>
      </c>
      <c r="HA37">
        <f>LET(trecho,IF(OR('DADOS_FORMAS'!$AH13="",'DADOS_FORMAS'!$GR12="",'DADOS_FORMAS'!$GT12=""),"",IF('DADOS_FORMAS'!$GT12="—","—",'DADOS_FORMAS'!$GU12&amp;IF('DADOS_FORMAS'!$GS12="alcance",INDEX('DADOS_FORMAS'!$GL$2:$GL$7,MIN(6,'DADOS_FORMAS'!$GW12+1)),IF('DADOS_FORMAS'!$GS12="raio",INDEX('DADOS_FORMAS'!$GN$2:$GN$6,MIN(5,'DADOS_FORMAS'!$GW12+1)),IF('DADOS_FORMAS'!$GS12="comprimento",INDEX('DADOS_FORMAS'!$GP$2:$GP$6,MIN(5,'DADOS_FORMAS'!$GW12+1)),'DADOS_FORMAS'!$GT12)))&amp;'DADOS_FORMAS'!$GV12)),UPPER(LEFT(trecho,1))&amp;MID(trecho,2,LEN(trecho)))</f>
        <v/>
      </c>
      <c r="HB37">
        <f>LET(trecho,IF(OR('DADOS_FORMAS'!$AH13="",'DADOS_FORMAS'!$GR12="",'DADOS_FORMAS'!$GT12=""),"",IF('DADOS_FORMAS'!$GT12="—","—",'DADOS_FORMAS'!$GU12&amp;IF('DADOS_FORMAS'!$GS12="alcance",INDEX('DADOS_FORMAS'!$GL$2:$GL$7,MIN(6,'DADOS_FORMAS'!$GW12+2)),IF('DADOS_FORMAS'!$GS12="raio",INDEX('DADOS_FORMAS'!$GN$2:$GN$6,MIN(5,'DADOS_FORMAS'!$GW12+2)),IF('DADOS_FORMAS'!$GS12="comprimento",INDEX('DADOS_FORMAS'!$GP$2:$GP$6,MIN(5,'DADOS_FORMAS'!$GW12+2)),'DADOS_FORMAS'!$GT12)))&amp;'DADOS_FORMAS'!$GV12)),UPPER(LEFT(trecho,1))&amp;MID(trecho,2,LEN(trecho)))</f>
        <v/>
      </c>
      <c r="HC37">
        <f>LET(trecho,IF(OR('DADOS_FORMAS'!$AH13="",'DADOS_FORMAS'!$GR12="",'DADOS_FORMAS'!$GT12=""),"",IF('DADOS_FORMAS'!$GT12="—","—",'DADOS_FORMAS'!$GU12&amp;IF('DADOS_FORMAS'!$GS12="alcance",INDEX('DADOS_FORMAS'!$GL$2:$GL$7,MIN(6,'DADOS_FORMAS'!$GW12+3)),IF('DADOS_FORMAS'!$GS12="raio",INDEX('DADOS_FORMAS'!$GN$2:$GN$6,MIN(5,'DADOS_FORMAS'!$GW12+3)),IF('DADOS_FORMAS'!$GS12="comprimento",INDEX('DADOS_FORMAS'!$GP$2:$GP$6,MIN(5,'DADOS_FORMAS'!$GW12+3)),'DADOS_FORMAS'!$GT12)))&amp;'DADOS_FORMAS'!$GV12)),UPPER(LEFT(trecho,1))&amp;MID(trecho,2,LEN(trecho)))</f>
        <v/>
      </c>
      <c r="HD37">
        <f>LET(trecho,IF(OR('DADOS_FORMAS'!$AH13="",'DADOS_FORMAS'!$GR12="",'DADOS_FORMAS'!$GT12=""),"",IF('DADOS_FORMAS'!$GT12="—","—",'DADOS_FORMAS'!$GU12&amp;IF('DADOS_FORMAS'!$GS12="alcance",INDEX('DADOS_FORMAS'!$GL$2:$GL$7,MIN(6,'DADOS_FORMAS'!$GW12+4)),IF('DADOS_FORMAS'!$GS12="raio",INDEX('DADOS_FORMAS'!$GN$2:$GN$6,MIN(5,'DADOS_FORMAS'!$GW12+4)),IF('DADOS_FORMAS'!$GS12="comprimento",INDEX('DADOS_FORMAS'!$GP$2:$GP$6,MIN(5,'DADOS_FORMAS'!$GW12+4)),'DADOS_FORMAS'!$GT12)))&amp;'DADOS_FORMAS'!$GV12)),UPPER(LEFT(trecho,1))&amp;MID(trecho,2,LEN(trecho)))</f>
        <v/>
      </c>
      <c r="HE37">
        <f>LET(trecho,IF(OR('DADOS_FORMAS'!$AH13="",'DADOS_FORMAS'!$GR12="",'DADOS_FORMAS'!$GT12=""),"",IF('DADOS_FORMAS'!$GT12="—","—",'DADOS_FORMAS'!$GU12&amp;IF('DADOS_FORMAS'!$GS12="alcance",INDEX('DADOS_FORMAS'!$GL$2:$GL$7,MIN(6,'DADOS_FORMAS'!$GW12+5)),IF('DADOS_FORMAS'!$GS12="raio",INDEX('DADOS_FORMAS'!$GN$2:$GN$6,MIN(5,'DADOS_FORMAS'!$GW12+5)),IF('DADOS_FORMAS'!$GS12="comprimento",INDEX('DADOS_FORMAS'!$GP$2:$GP$6,MIN(5,'DADOS_FORMAS'!$GW12+5)),'DADOS_FORMAS'!$GT12)))&amp;'DADOS_FORMAS'!$GV12)),UPPER(LEFT(trecho,1))&amp;MID(trecho,2,LEN(trecho)))</f>
        <v/>
      </c>
      <c r="HF37">
        <f>IF(OR('DADOS_FORMAS'!$AH13="",'DADOS_FORMAS'!$GR13="",'DADOS_FORMAS'!$GT13=""),"",IF('DADOS_FORMAS'!$GT13="—","—",'DADOS_FORMAS'!$GU13&amp;'DADOS_FORMAS'!$GT13&amp;'DADOS_FORMAS'!$GV13))</f>
        <v/>
      </c>
      <c r="HG37">
        <f>IF(OR('DADOS_FORMAS'!$AH13="",'DADOS_FORMAS'!$GR13="",'DADOS_FORMAS'!$GT13=""),"",IF('DADOS_FORMAS'!$GT13="—","—",'DADOS_FORMAS'!$GU13&amp;IF('DADOS_FORMAS'!$GS13="alcance",INDEX('DADOS_FORMAS'!$GL$2:$GL$7,MIN(6,'DADOS_FORMAS'!$GW13+1)),IF('DADOS_FORMAS'!$GS13="raio",INDEX('DADOS_FORMAS'!$GN$2:$GN$6,MIN(5,'DADOS_FORMAS'!$GW13+1)),IF('DADOS_FORMAS'!$GS13="comprimento",INDEX('DADOS_FORMAS'!$GP$2:$GP$6,MIN(5,'DADOS_FORMAS'!$GW13+1)),'DADOS_FORMAS'!$GT13)))&amp;'DADOS_FORMAS'!$GV13))</f>
        <v/>
      </c>
      <c r="HH37">
        <f>IF(OR('DADOS_FORMAS'!$AH13="",'DADOS_FORMAS'!$GR13="",'DADOS_FORMAS'!$GT13=""),"",IF('DADOS_FORMAS'!$GT13="—","—",'DADOS_FORMAS'!$GU13&amp;IF('DADOS_FORMAS'!$GS13="alcance",INDEX('DADOS_FORMAS'!$GL$2:$GL$7,MIN(6,'DADOS_FORMAS'!$GW13+2)),IF('DADOS_FORMAS'!$GS13="raio",INDEX('DADOS_FORMAS'!$GN$2:$GN$6,MIN(5,'DADOS_FORMAS'!$GW13+2)),IF('DADOS_FORMAS'!$GS13="comprimento",INDEX('DADOS_FORMAS'!$GP$2:$GP$6,MIN(5,'DADOS_FORMAS'!$GW13+2)),'DADOS_FORMAS'!$GT13)))&amp;'DADOS_FORMAS'!$GV13))</f>
        <v/>
      </c>
      <c r="HI37">
        <f>IF(OR('DADOS_FORMAS'!$AH13="",'DADOS_FORMAS'!$GR13="",'DADOS_FORMAS'!$GT13=""),"",IF('DADOS_FORMAS'!$GT13="—","—",'DADOS_FORMAS'!$GU13&amp;IF('DADOS_FORMAS'!$GS13="alcance",INDEX('DADOS_FORMAS'!$GL$2:$GL$7,MIN(6,'DADOS_FORMAS'!$GW13+3)),IF('DADOS_FORMAS'!$GS13="raio",INDEX('DADOS_FORMAS'!$GN$2:$GN$6,MIN(5,'DADOS_FORMAS'!$GW13+3)),IF('DADOS_FORMAS'!$GS13="comprimento",INDEX('DADOS_FORMAS'!$GP$2:$GP$6,MIN(5,'DADOS_FORMAS'!$GW13+3)),'DADOS_FORMAS'!$GT13)))&amp;'DADOS_FORMAS'!$GV13))</f>
        <v/>
      </c>
      <c r="HJ37">
        <f>IF(OR('DADOS_FORMAS'!$AH13="",'DADOS_FORMAS'!$GR13="",'DADOS_FORMAS'!$GT13=""),"",IF('DADOS_FORMAS'!$GT13="—","—",'DADOS_FORMAS'!$GU13&amp;IF('DADOS_FORMAS'!$GS13="alcance",INDEX('DADOS_FORMAS'!$GL$2:$GL$7,MIN(6,'DADOS_FORMAS'!$GW13+4)),IF('DADOS_FORMAS'!$GS13="raio",INDEX('DADOS_FORMAS'!$GN$2:$GN$6,MIN(5,'DADOS_FORMAS'!$GW13+4)),IF('DADOS_FORMAS'!$GS13="comprimento",INDEX('DADOS_FORMAS'!$GP$2:$GP$6,MIN(5,'DADOS_FORMAS'!$GW13+4)),'DADOS_FORMAS'!$GT13)))&amp;'DADOS_FORMAS'!$GV13))</f>
        <v/>
      </c>
      <c r="HK37">
        <f>IF(OR('DADOS_FORMAS'!$AH13="",'DADOS_FORMAS'!$GR13="",'DADOS_FORMAS'!$GT13=""),"",IF('DADOS_FORMAS'!$GT13="—","—",'DADOS_FORMAS'!$GU13&amp;IF('DADOS_FORMAS'!$GS13="alcance",INDEX('DADOS_FORMAS'!$GL$2:$GL$7,MIN(6,'DADOS_FORMAS'!$GW13+5)),IF('DADOS_FORMAS'!$GS13="raio",INDEX('DADOS_FORMAS'!$GN$2:$GN$6,MIN(5,'DADOS_FORMAS'!$GW13+5)),IF('DADOS_FORMAS'!$GS13="comprimento",INDEX('DADOS_FORMAS'!$GP$2:$GP$6,MIN(5,'DADOS_FORMAS'!$GW13+5)),'DADOS_FORMAS'!$GT13)))&amp;'DADOS_FORMAS'!$GV13))</f>
        <v/>
      </c>
      <c r="HM37">
        <f>'DADOS_FORMAS'!$BP16</f>
        <v/>
      </c>
      <c r="HN37">
        <f>IF('DADOS_FORMAS'!$BP16="area",'DADOS_FORMAS'!$AU16,'DADOS_FORMAS'!$AT16)</f>
        <v/>
      </c>
      <c r="HO37">
        <f>IF('DADOS_FORMAS'!$BP16="area",'DADOS_FORMAS'!$BG16,'DADOS_FORMAS'!$AZ16)</f>
        <v/>
      </c>
      <c r="HP37">
        <f>'DADOS_FORMAS'!$BQ16</f>
        <v/>
      </c>
      <c r="HQ37">
        <f>'DADOS_FORMAS'!$BR16</f>
        <v/>
      </c>
      <c r="HR37">
        <f>LET(base,'DADOS_FORMAS'!$HO37,escada,'DADOS_FORMAS'!$HN37,medida,LEFT(base,MAX(0,LEN(base)-2)),valor,IFERROR(VALUE(SUBSTITUTE(medida,",",""))/10^IFERROR(LEN(medida)-FIND(",",medida),0),1E99),IF(OR(escada="Fixo",base="—"),base,IF(escada="alcance",IFERROR(MATCH(base,{"1,5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7" t="inlineStr">
        <is>
          <t>Onda · classe 7</t>
        </is>
      </c>
      <c r="HU37" t="inlineStr">
        <is>
          <t>Raio 4,5 m, nela</t>
        </is>
      </c>
      <c r="HV37" t="inlineStr">
        <is>
          <t>Raio 6 m, nela</t>
        </is>
      </c>
      <c r="HW37" t="inlineStr">
        <is>
          <t>Raio 9 m, nela</t>
        </is>
      </c>
      <c r="HX37" t="inlineStr">
        <is>
          <t>Raio 15 m, nela</t>
        </is>
      </c>
      <c r="HY37" t="inlineStr">
        <is>
          <t>Raio 15 m, nela</t>
        </is>
      </c>
      <c r="HZ37" t="inlineStr">
        <is>
          <t>Raio 15 m, nela</t>
        </is>
      </c>
      <c r="IA37" t="inlineStr"/>
      <c r="IB37" t="inlineStr"/>
      <c r="IC37" t="inlineStr"/>
      <c r="ID37" t="inlineStr"/>
      <c r="IE37" t="inlineStr"/>
      <c r="IF37" t="inlineStr"/>
      <c r="KA37">
        <f>IFERROR(INDEX(INDEX('DADOS_RESTRICOES'!$M$2:$Q$54,0,1),35),"")</f>
        <v/>
      </c>
    </row>
    <row r="38">
      <c r="GR38">
        <f>'DADOS_FORMAS'!$BL18</f>
        <v/>
      </c>
      <c r="GS38">
        <f>IF('DADOS_FORMAS'!$BL18="area",'DADOS_FORMAS'!$AU18,'DADOS_FORMAS'!$AT18)</f>
        <v/>
      </c>
      <c r="GT38">
        <f>IF('DADOS_FORMAS'!$BL18="area",'DADOS_FORMAS'!$BC18,'DADOS_FORMAS'!$AV18)</f>
        <v/>
      </c>
      <c r="GU38">
        <f>'DADOS_FORMAS'!$BM18</f>
        <v/>
      </c>
      <c r="GV38">
        <f>'DADOS_FORMAS'!$BN18</f>
        <v/>
      </c>
      <c r="GW38">
        <f>LET(base,'DADOS_FORMAS'!$GT38,escada,'DADOS_FORMAS'!$GS38,medida,LEFT(base,MAX(0,LEN(base)-2)),valor,IFERROR(VALUE(SUBSTITUTE(medida,",",""))/10^IFERROR(LEN(medida)-FIND(",",medida),0),1E99),IF(OR(escada="Fixo",base="—"),base,IF(escada="alcance",IFERROR(MATCH(base,{"1,5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8">
        <f>'DADOS_FORMAS'!$AH14&amp;" · classe 0"</f>
        <v/>
      </c>
      <c r="GZ38">
        <f>LET(trecho,IF(OR('DADOS_FORMAS'!$AH14="",'DADOS_FORMAS'!$GR14="",'DADOS_FORMAS'!$GT14=""),"",IF('DADOS_FORMAS'!$GT14="—","—",'DADOS_FORMAS'!$GU14&amp;'DADOS_FORMAS'!$GT14&amp;'DADOS_FORMAS'!$GV14)),UPPER(LEFT(trecho,1))&amp;MID(trecho,2,LEN(trecho)))</f>
        <v/>
      </c>
      <c r="HA38">
        <f>LET(trecho,IF(OR('DADOS_FORMAS'!$AH14="",'DADOS_FORMAS'!$GR14="",'DADOS_FORMAS'!$GT14=""),"",IF('DADOS_FORMAS'!$GT14="—","—",'DADOS_FORMAS'!$GU14&amp;IF('DADOS_FORMAS'!$GS14="alcance",INDEX('DADOS_FORMAS'!$GL$2:$GL$7,MIN(6,'DADOS_FORMAS'!$GW14+1)),IF('DADOS_FORMAS'!$GS14="raio",INDEX('DADOS_FORMAS'!$GN$2:$GN$6,MIN(5,'DADOS_FORMAS'!$GW14+1)),IF('DADOS_FORMAS'!$GS14="comprimento",INDEX('DADOS_FORMAS'!$GP$2:$GP$6,MIN(5,'DADOS_FORMAS'!$GW14+1)),'DADOS_FORMAS'!$GT14)))&amp;'DADOS_FORMAS'!$GV14)),UPPER(LEFT(trecho,1))&amp;MID(trecho,2,LEN(trecho)))</f>
        <v/>
      </c>
      <c r="HB38">
        <f>LET(trecho,IF(OR('DADOS_FORMAS'!$AH14="",'DADOS_FORMAS'!$GR14="",'DADOS_FORMAS'!$GT14=""),"",IF('DADOS_FORMAS'!$GT14="—","—",'DADOS_FORMAS'!$GU14&amp;IF('DADOS_FORMAS'!$GS14="alcance",INDEX('DADOS_FORMAS'!$GL$2:$GL$7,MIN(6,'DADOS_FORMAS'!$GW14+2)),IF('DADOS_FORMAS'!$GS14="raio",INDEX('DADOS_FORMAS'!$GN$2:$GN$6,MIN(5,'DADOS_FORMAS'!$GW14+2)),IF('DADOS_FORMAS'!$GS14="comprimento",INDEX('DADOS_FORMAS'!$GP$2:$GP$6,MIN(5,'DADOS_FORMAS'!$GW14+2)),'DADOS_FORMAS'!$GT14)))&amp;'DADOS_FORMAS'!$GV14)),UPPER(LEFT(trecho,1))&amp;MID(trecho,2,LEN(trecho)))</f>
        <v/>
      </c>
      <c r="HC38">
        <f>LET(trecho,IF(OR('DADOS_FORMAS'!$AH14="",'DADOS_FORMAS'!$GR14="",'DADOS_FORMAS'!$GT14=""),"",IF('DADOS_FORMAS'!$GT14="—","—",'DADOS_FORMAS'!$GU14&amp;IF('DADOS_FORMAS'!$GS14="alcance",INDEX('DADOS_FORMAS'!$GL$2:$GL$7,MIN(6,'DADOS_FORMAS'!$GW14+3)),IF('DADOS_FORMAS'!$GS14="raio",INDEX('DADOS_FORMAS'!$GN$2:$GN$6,MIN(5,'DADOS_FORMAS'!$GW14+3)),IF('DADOS_FORMAS'!$GS14="comprimento",INDEX('DADOS_FORMAS'!$GP$2:$GP$6,MIN(5,'DADOS_FORMAS'!$GW14+3)),'DADOS_FORMAS'!$GT14)))&amp;'DADOS_FORMAS'!$GV14)),UPPER(LEFT(trecho,1))&amp;MID(trecho,2,LEN(trecho)))</f>
        <v/>
      </c>
      <c r="HD38">
        <f>LET(trecho,IF(OR('DADOS_FORMAS'!$AH14="",'DADOS_FORMAS'!$GR14="",'DADOS_FORMAS'!$GT14=""),"",IF('DADOS_FORMAS'!$GT14="—","—",'DADOS_FORMAS'!$GU14&amp;IF('DADOS_FORMAS'!$GS14="alcance",INDEX('DADOS_FORMAS'!$GL$2:$GL$7,MIN(6,'DADOS_FORMAS'!$GW14+4)),IF('DADOS_FORMAS'!$GS14="raio",INDEX('DADOS_FORMAS'!$GN$2:$GN$6,MIN(5,'DADOS_FORMAS'!$GW14+4)),IF('DADOS_FORMAS'!$GS14="comprimento",INDEX('DADOS_FORMAS'!$GP$2:$GP$6,MIN(5,'DADOS_FORMAS'!$GW14+4)),'DADOS_FORMAS'!$GT14)))&amp;'DADOS_FORMAS'!$GV14)),UPPER(LEFT(trecho,1))&amp;MID(trecho,2,LEN(trecho)))</f>
        <v/>
      </c>
      <c r="HE38">
        <f>LET(trecho,IF(OR('DADOS_FORMAS'!$AH14="",'DADOS_FORMAS'!$GR14="",'DADOS_FORMAS'!$GT14=""),"",IF('DADOS_FORMAS'!$GT14="—","—",'DADOS_FORMAS'!$GU14&amp;IF('DADOS_FORMAS'!$GS14="alcance",INDEX('DADOS_FORMAS'!$GL$2:$GL$7,MIN(6,'DADOS_FORMAS'!$GW14+5)),IF('DADOS_FORMAS'!$GS14="raio",INDEX('DADOS_FORMAS'!$GN$2:$GN$6,MIN(5,'DADOS_FORMAS'!$GW14+5)),IF('DADOS_FORMAS'!$GS14="comprimento",INDEX('DADOS_FORMAS'!$GP$2:$GP$6,MIN(5,'DADOS_FORMAS'!$GW14+5)),'DADOS_FORMAS'!$GT14)))&amp;'DADOS_FORMAS'!$GV14)),UPPER(LEFT(trecho,1))&amp;MID(trecho,2,LEN(trecho)))</f>
        <v/>
      </c>
      <c r="HF38">
        <f>IF(OR('DADOS_FORMAS'!$AH14="",'DADOS_FORMAS'!$GR15="",'DADOS_FORMAS'!$GT15=""),"",IF('DADOS_FORMAS'!$GT15="—","—",'DADOS_FORMAS'!$GU15&amp;'DADOS_FORMAS'!$GT15&amp;'DADOS_FORMAS'!$GV15))</f>
        <v/>
      </c>
      <c r="HG38">
        <f>IF(OR('DADOS_FORMAS'!$AH14="",'DADOS_FORMAS'!$GR15="",'DADOS_FORMAS'!$GT15=""),"",IF('DADOS_FORMAS'!$GT15="—","—",'DADOS_FORMAS'!$GU15&amp;IF('DADOS_FORMAS'!$GS15="alcance",INDEX('DADOS_FORMAS'!$GL$2:$GL$7,MIN(6,'DADOS_FORMAS'!$GW15+1)),IF('DADOS_FORMAS'!$GS15="raio",INDEX('DADOS_FORMAS'!$GN$2:$GN$6,MIN(5,'DADOS_FORMAS'!$GW15+1)),IF('DADOS_FORMAS'!$GS15="comprimento",INDEX('DADOS_FORMAS'!$GP$2:$GP$6,MIN(5,'DADOS_FORMAS'!$GW15+1)),'DADOS_FORMAS'!$GT15)))&amp;'DADOS_FORMAS'!$GV15))</f>
        <v/>
      </c>
      <c r="HH38">
        <f>IF(OR('DADOS_FORMAS'!$AH14="",'DADOS_FORMAS'!$GR15="",'DADOS_FORMAS'!$GT15=""),"",IF('DADOS_FORMAS'!$GT15="—","—",'DADOS_FORMAS'!$GU15&amp;IF('DADOS_FORMAS'!$GS15="alcance",INDEX('DADOS_FORMAS'!$GL$2:$GL$7,MIN(6,'DADOS_FORMAS'!$GW15+2)),IF('DADOS_FORMAS'!$GS15="raio",INDEX('DADOS_FORMAS'!$GN$2:$GN$6,MIN(5,'DADOS_FORMAS'!$GW15+2)),IF('DADOS_FORMAS'!$GS15="comprimento",INDEX('DADOS_FORMAS'!$GP$2:$GP$6,MIN(5,'DADOS_FORMAS'!$GW15+2)),'DADOS_FORMAS'!$GT15)))&amp;'DADOS_FORMAS'!$GV15))</f>
        <v/>
      </c>
      <c r="HI38">
        <f>IF(OR('DADOS_FORMAS'!$AH14="",'DADOS_FORMAS'!$GR15="",'DADOS_FORMAS'!$GT15=""),"",IF('DADOS_FORMAS'!$GT15="—","—",'DADOS_FORMAS'!$GU15&amp;IF('DADOS_FORMAS'!$GS15="alcance",INDEX('DADOS_FORMAS'!$GL$2:$GL$7,MIN(6,'DADOS_FORMAS'!$GW15+3)),IF('DADOS_FORMAS'!$GS15="raio",INDEX('DADOS_FORMAS'!$GN$2:$GN$6,MIN(5,'DADOS_FORMAS'!$GW15+3)),IF('DADOS_FORMAS'!$GS15="comprimento",INDEX('DADOS_FORMAS'!$GP$2:$GP$6,MIN(5,'DADOS_FORMAS'!$GW15+3)),'DADOS_FORMAS'!$GT15)))&amp;'DADOS_FORMAS'!$GV15))</f>
        <v/>
      </c>
      <c r="HJ38">
        <f>IF(OR('DADOS_FORMAS'!$AH14="",'DADOS_FORMAS'!$GR15="",'DADOS_FORMAS'!$GT15=""),"",IF('DADOS_FORMAS'!$GT15="—","—",'DADOS_FORMAS'!$GU15&amp;IF('DADOS_FORMAS'!$GS15="alcance",INDEX('DADOS_FORMAS'!$GL$2:$GL$7,MIN(6,'DADOS_FORMAS'!$GW15+4)),IF('DADOS_FORMAS'!$GS15="raio",INDEX('DADOS_FORMAS'!$GN$2:$GN$6,MIN(5,'DADOS_FORMAS'!$GW15+4)),IF('DADOS_FORMAS'!$GS15="comprimento",INDEX('DADOS_FORMAS'!$GP$2:$GP$6,MIN(5,'DADOS_FORMAS'!$GW15+4)),'DADOS_FORMAS'!$GT15)))&amp;'DADOS_FORMAS'!$GV15))</f>
        <v/>
      </c>
      <c r="HK38">
        <f>IF(OR('DADOS_FORMAS'!$AH14="",'DADOS_FORMAS'!$GR15="",'DADOS_FORMAS'!$GT15=""),"",IF('DADOS_FORMAS'!$GT15="—","—",'DADOS_FORMAS'!$GU15&amp;IF('DADOS_FORMAS'!$GS15="alcance",INDEX('DADOS_FORMAS'!$GL$2:$GL$7,MIN(6,'DADOS_FORMAS'!$GW15+5)),IF('DADOS_FORMAS'!$GS15="raio",INDEX('DADOS_FORMAS'!$GN$2:$GN$6,MIN(5,'DADOS_FORMAS'!$GW15+5)),IF('DADOS_FORMAS'!$GS15="comprimento",INDEX('DADOS_FORMAS'!$GP$2:$GP$6,MIN(5,'DADOS_FORMAS'!$GW15+5)),'DADOS_FORMAS'!$GT15)))&amp;'DADOS_FORMAS'!$GV15))</f>
        <v/>
      </c>
      <c r="HM38">
        <f>'DADOS_FORMAS'!$BL16</f>
        <v/>
      </c>
      <c r="HN38">
        <f>IF('DADOS_FORMAS'!$BL16="area",'DADOS_FORMAS'!$AU16,'DADOS_FORMAS'!$AT16)</f>
        <v/>
      </c>
      <c r="HO38">
        <f>IF('DADOS_FORMAS'!$BL16="area",'DADOS_FORMAS'!$BH16,'DADOS_FORMAS'!$BA16)</f>
        <v/>
      </c>
      <c r="HP38">
        <f>'DADOS_FORMAS'!$BM16</f>
        <v/>
      </c>
      <c r="HQ38">
        <f>'DADOS_FORMAS'!$BN16</f>
        <v/>
      </c>
      <c r="HR38">
        <f>LET(base,'DADOS_FORMAS'!$HO38,escada,'DADOS_FORMAS'!$HN38,medida,LEFT(base,MAX(0,LEN(base)-2)),valor,IFERROR(VALUE(SUBSTITUTE(medida,",",""))/10^IFERROR(LEN(medida)-FIND(",",medida),0),1E99),IF(OR(escada="Fixo",base="—"),base,IF(escada="alcance",IFERROR(MATCH(base,{"1,5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8" t="inlineStr">
        <is>
          <t>Efeito · classe 0</t>
        </is>
      </c>
      <c r="HU38" t="inlineStr">
        <is>
          <t>Fora de combate</t>
        </is>
      </c>
      <c r="HV38" t="inlineStr">
        <is>
          <t>Fora de combate</t>
        </is>
      </c>
      <c r="HW38" t="inlineStr">
        <is>
          <t>Fora de combate</t>
        </is>
      </c>
      <c r="HX38" t="inlineStr">
        <is>
          <t>Fora de combate</t>
        </is>
      </c>
      <c r="HY38" t="inlineStr">
        <is>
          <t>Fora de combate</t>
        </is>
      </c>
      <c r="HZ38" t="inlineStr">
        <is>
          <t>Fora de combate</t>
        </is>
      </c>
      <c r="IA38" t="inlineStr"/>
      <c r="IB38" t="inlineStr"/>
      <c r="IC38" t="inlineStr"/>
      <c r="ID38" t="inlineStr"/>
      <c r="IE38" t="inlineStr"/>
      <c r="IF38" t="inlineStr"/>
      <c r="KA38">
        <f>IFERROR(INDEX(INDEX('DADOS_RESTRICOES'!$M$2:$Q$54,0,1),36),"")</f>
        <v/>
      </c>
    </row>
    <row r="39">
      <c r="GR39">
        <f>'DADOS_FORMAS'!$BP18</f>
        <v/>
      </c>
      <c r="GS39">
        <f>IF('DADOS_FORMAS'!$BP18="area",'DADOS_FORMAS'!$AU18,'DADOS_FORMAS'!$AT18)</f>
        <v/>
      </c>
      <c r="GT39">
        <f>IF('DADOS_FORMAS'!$BP18="area",'DADOS_FORMAS'!$BC18,'DADOS_FORMAS'!$AV18)</f>
        <v/>
      </c>
      <c r="GU39">
        <f>'DADOS_FORMAS'!$BQ18</f>
        <v/>
      </c>
      <c r="GV39">
        <f>'DADOS_FORMAS'!$BR18</f>
        <v/>
      </c>
      <c r="GW39">
        <f>LET(base,'DADOS_FORMAS'!$GT39,escada,'DADOS_FORMAS'!$GS39,medida,LEFT(base,MAX(0,LEN(base)-2)),valor,IFERROR(VALUE(SUBSTITUTE(medida,",",""))/10^IFERROR(LEN(medida)-FIND(",",medida),0),1E99),IF(OR(escada="Fixo",base="—"),base,IF(escada="alcance",IFERROR(MATCH(base,{"1,5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9">
        <f>'DADOS_FORMAS'!$AH14&amp;" · classes 1 a 5"</f>
        <v/>
      </c>
      <c r="GZ39">
        <f>LET(trecho,IF(OR('DADOS_FORMAS'!$AH14="",'DADOS_FORMAS'!$GR16="",'DADOS_FORMAS'!$GT16=""),"",IF('DADOS_FORMAS'!$GT16="—","—",'DADOS_FORMAS'!$GU16&amp;'DADOS_FORMAS'!$GT16&amp;'DADOS_FORMAS'!$GV16)),UPPER(LEFT(trecho,1))&amp;MID(trecho,2,LEN(trecho)))</f>
        <v/>
      </c>
      <c r="HA39">
        <f>LET(trecho,IF(OR('DADOS_FORMAS'!$AH14="",'DADOS_FORMAS'!$GR16="",'DADOS_FORMAS'!$GT16=""),"",IF('DADOS_FORMAS'!$GT16="—","—",'DADOS_FORMAS'!$GU16&amp;IF('DADOS_FORMAS'!$GS16="alcance",INDEX('DADOS_FORMAS'!$GL$2:$GL$7,MIN(6,'DADOS_FORMAS'!$GW16+1)),IF('DADOS_FORMAS'!$GS16="raio",INDEX('DADOS_FORMAS'!$GN$2:$GN$6,MIN(5,'DADOS_FORMAS'!$GW16+1)),IF('DADOS_FORMAS'!$GS16="comprimento",INDEX('DADOS_FORMAS'!$GP$2:$GP$6,MIN(5,'DADOS_FORMAS'!$GW16+1)),'DADOS_FORMAS'!$GT16)))&amp;'DADOS_FORMAS'!$GV16)),UPPER(LEFT(trecho,1))&amp;MID(trecho,2,LEN(trecho)))</f>
        <v/>
      </c>
      <c r="HB39">
        <f>LET(trecho,IF(OR('DADOS_FORMAS'!$AH14="",'DADOS_FORMAS'!$GR16="",'DADOS_FORMAS'!$GT16=""),"",IF('DADOS_FORMAS'!$GT16="—","—",'DADOS_FORMAS'!$GU16&amp;IF('DADOS_FORMAS'!$GS16="alcance",INDEX('DADOS_FORMAS'!$GL$2:$GL$7,MIN(6,'DADOS_FORMAS'!$GW16+2)),IF('DADOS_FORMAS'!$GS16="raio",INDEX('DADOS_FORMAS'!$GN$2:$GN$6,MIN(5,'DADOS_FORMAS'!$GW16+2)),IF('DADOS_FORMAS'!$GS16="comprimento",INDEX('DADOS_FORMAS'!$GP$2:$GP$6,MIN(5,'DADOS_FORMAS'!$GW16+2)),'DADOS_FORMAS'!$GT16)))&amp;'DADOS_FORMAS'!$GV16)),UPPER(LEFT(trecho,1))&amp;MID(trecho,2,LEN(trecho)))</f>
        <v/>
      </c>
      <c r="HC39">
        <f>LET(trecho,IF(OR('DADOS_FORMAS'!$AH14="",'DADOS_FORMAS'!$GR16="",'DADOS_FORMAS'!$GT16=""),"",IF('DADOS_FORMAS'!$GT16="—","—",'DADOS_FORMAS'!$GU16&amp;IF('DADOS_FORMAS'!$GS16="alcance",INDEX('DADOS_FORMAS'!$GL$2:$GL$7,MIN(6,'DADOS_FORMAS'!$GW16+3)),IF('DADOS_FORMAS'!$GS16="raio",INDEX('DADOS_FORMAS'!$GN$2:$GN$6,MIN(5,'DADOS_FORMAS'!$GW16+3)),IF('DADOS_FORMAS'!$GS16="comprimento",INDEX('DADOS_FORMAS'!$GP$2:$GP$6,MIN(5,'DADOS_FORMAS'!$GW16+3)),'DADOS_FORMAS'!$GT16)))&amp;'DADOS_FORMAS'!$GV16)),UPPER(LEFT(trecho,1))&amp;MID(trecho,2,LEN(trecho)))</f>
        <v/>
      </c>
      <c r="HD39">
        <f>LET(trecho,IF(OR('DADOS_FORMAS'!$AH14="",'DADOS_FORMAS'!$GR16="",'DADOS_FORMAS'!$GT16=""),"",IF('DADOS_FORMAS'!$GT16="—","—",'DADOS_FORMAS'!$GU16&amp;IF('DADOS_FORMAS'!$GS16="alcance",INDEX('DADOS_FORMAS'!$GL$2:$GL$7,MIN(6,'DADOS_FORMAS'!$GW16+4)),IF('DADOS_FORMAS'!$GS16="raio",INDEX('DADOS_FORMAS'!$GN$2:$GN$6,MIN(5,'DADOS_FORMAS'!$GW16+4)),IF('DADOS_FORMAS'!$GS16="comprimento",INDEX('DADOS_FORMAS'!$GP$2:$GP$6,MIN(5,'DADOS_FORMAS'!$GW16+4)),'DADOS_FORMAS'!$GT16)))&amp;'DADOS_FORMAS'!$GV16)),UPPER(LEFT(trecho,1))&amp;MID(trecho,2,LEN(trecho)))</f>
        <v/>
      </c>
      <c r="HE39">
        <f>LET(trecho,IF(OR('DADOS_FORMAS'!$AH14="",'DADOS_FORMAS'!$GR16="",'DADOS_FORMAS'!$GT16=""),"",IF('DADOS_FORMAS'!$GT16="—","—",'DADOS_FORMAS'!$GU16&amp;IF('DADOS_FORMAS'!$GS16="alcance",INDEX('DADOS_FORMAS'!$GL$2:$GL$7,MIN(6,'DADOS_FORMAS'!$GW16+5)),IF('DADOS_FORMAS'!$GS16="raio",INDEX('DADOS_FORMAS'!$GN$2:$GN$6,MIN(5,'DADOS_FORMAS'!$GW16+5)),IF('DADOS_FORMAS'!$GS16="comprimento",INDEX('DADOS_FORMAS'!$GP$2:$GP$6,MIN(5,'DADOS_FORMAS'!$GW16+5)),'DADOS_FORMAS'!$GT16)))&amp;'DADOS_FORMAS'!$GV16)),UPPER(LEFT(trecho,1))&amp;MID(trecho,2,LEN(trecho)))</f>
        <v/>
      </c>
      <c r="HF39">
        <f>IF(OR('DADOS_FORMAS'!$AH14="",'DADOS_FORMAS'!$GR17="",'DADOS_FORMAS'!$GT17=""),"",IF('DADOS_FORMAS'!$GT17="—","—",'DADOS_FORMAS'!$GU17&amp;'DADOS_FORMAS'!$GT17&amp;'DADOS_FORMAS'!$GV17))</f>
        <v/>
      </c>
      <c r="HG39">
        <f>IF(OR('DADOS_FORMAS'!$AH14="",'DADOS_FORMAS'!$GR17="",'DADOS_FORMAS'!$GT17=""),"",IF('DADOS_FORMAS'!$GT17="—","—",'DADOS_FORMAS'!$GU17&amp;IF('DADOS_FORMAS'!$GS17="alcance",INDEX('DADOS_FORMAS'!$GL$2:$GL$7,MIN(6,'DADOS_FORMAS'!$GW17+1)),IF('DADOS_FORMAS'!$GS17="raio",INDEX('DADOS_FORMAS'!$GN$2:$GN$6,MIN(5,'DADOS_FORMAS'!$GW17+1)),IF('DADOS_FORMAS'!$GS17="comprimento",INDEX('DADOS_FORMAS'!$GP$2:$GP$6,MIN(5,'DADOS_FORMAS'!$GW17+1)),'DADOS_FORMAS'!$GT17)))&amp;'DADOS_FORMAS'!$GV17))</f>
        <v/>
      </c>
      <c r="HH39">
        <f>IF(OR('DADOS_FORMAS'!$AH14="",'DADOS_FORMAS'!$GR17="",'DADOS_FORMAS'!$GT17=""),"",IF('DADOS_FORMAS'!$GT17="—","—",'DADOS_FORMAS'!$GU17&amp;IF('DADOS_FORMAS'!$GS17="alcance",INDEX('DADOS_FORMAS'!$GL$2:$GL$7,MIN(6,'DADOS_FORMAS'!$GW17+2)),IF('DADOS_FORMAS'!$GS17="raio",INDEX('DADOS_FORMAS'!$GN$2:$GN$6,MIN(5,'DADOS_FORMAS'!$GW17+2)),IF('DADOS_FORMAS'!$GS17="comprimento",INDEX('DADOS_FORMAS'!$GP$2:$GP$6,MIN(5,'DADOS_FORMAS'!$GW17+2)),'DADOS_FORMAS'!$GT17)))&amp;'DADOS_FORMAS'!$GV17))</f>
        <v/>
      </c>
      <c r="HI39">
        <f>IF(OR('DADOS_FORMAS'!$AH14="",'DADOS_FORMAS'!$GR17="",'DADOS_FORMAS'!$GT17=""),"",IF('DADOS_FORMAS'!$GT17="—","—",'DADOS_FORMAS'!$GU17&amp;IF('DADOS_FORMAS'!$GS17="alcance",INDEX('DADOS_FORMAS'!$GL$2:$GL$7,MIN(6,'DADOS_FORMAS'!$GW17+3)),IF('DADOS_FORMAS'!$GS17="raio",INDEX('DADOS_FORMAS'!$GN$2:$GN$6,MIN(5,'DADOS_FORMAS'!$GW17+3)),IF('DADOS_FORMAS'!$GS17="comprimento",INDEX('DADOS_FORMAS'!$GP$2:$GP$6,MIN(5,'DADOS_FORMAS'!$GW17+3)),'DADOS_FORMAS'!$GT17)))&amp;'DADOS_FORMAS'!$GV17))</f>
        <v/>
      </c>
      <c r="HJ39">
        <f>IF(OR('DADOS_FORMAS'!$AH14="",'DADOS_FORMAS'!$GR17="",'DADOS_FORMAS'!$GT17=""),"",IF('DADOS_FORMAS'!$GT17="—","—",'DADOS_FORMAS'!$GU17&amp;IF('DADOS_FORMAS'!$GS17="alcance",INDEX('DADOS_FORMAS'!$GL$2:$GL$7,MIN(6,'DADOS_FORMAS'!$GW17+4)),IF('DADOS_FORMAS'!$GS17="raio",INDEX('DADOS_FORMAS'!$GN$2:$GN$6,MIN(5,'DADOS_FORMAS'!$GW17+4)),IF('DADOS_FORMAS'!$GS17="comprimento",INDEX('DADOS_FORMAS'!$GP$2:$GP$6,MIN(5,'DADOS_FORMAS'!$GW17+4)),'DADOS_FORMAS'!$GT17)))&amp;'DADOS_FORMAS'!$GV17))</f>
        <v/>
      </c>
      <c r="HK39">
        <f>IF(OR('DADOS_FORMAS'!$AH14="",'DADOS_FORMAS'!$GR17="",'DADOS_FORMAS'!$GT17=""),"",IF('DADOS_FORMAS'!$GT17="—","—",'DADOS_FORMAS'!$GU17&amp;IF('DADOS_FORMAS'!$GS17="alcance",INDEX('DADOS_FORMAS'!$GL$2:$GL$7,MIN(6,'DADOS_FORMAS'!$GW17+5)),IF('DADOS_FORMAS'!$GS17="raio",INDEX('DADOS_FORMAS'!$GN$2:$GN$6,MIN(5,'DADOS_FORMAS'!$GW17+5)),IF('DADOS_FORMAS'!$GS17="comprimento",INDEX('DADOS_FORMAS'!$GP$2:$GP$6,MIN(5,'DADOS_FORMAS'!$GW17+5)),'DADOS_FORMAS'!$GT17)))&amp;'DADOS_FORMAS'!$GV17))</f>
        <v/>
      </c>
      <c r="HM39">
        <f>'DADOS_FORMAS'!$BP16</f>
        <v/>
      </c>
      <c r="HN39">
        <f>IF('DADOS_FORMAS'!$BP16="area",'DADOS_FORMAS'!$AU16,'DADOS_FORMAS'!$AT16)</f>
        <v/>
      </c>
      <c r="HO39">
        <f>IF('DADOS_FORMAS'!$BP16="area",'DADOS_FORMAS'!$BH16,'DADOS_FORMAS'!$BA16)</f>
        <v/>
      </c>
      <c r="HP39">
        <f>'DADOS_FORMAS'!$BQ16</f>
        <v/>
      </c>
      <c r="HQ39">
        <f>'DADOS_FORMAS'!$BR16</f>
        <v/>
      </c>
      <c r="HR39">
        <f>LET(base,'DADOS_FORMAS'!$HO39,escada,'DADOS_FORMAS'!$HN39,medida,LEFT(base,MAX(0,LEN(base)-2)),valor,IFERROR(VALUE(SUBSTITUTE(medida,",",""))/10^IFERROR(LEN(medida)-FIND(",",medida),0),1E99),IF(OR(escada="Fixo",base="—"),base,IF(escada="alcance",IFERROR(MATCH(base,{"1,5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9" t="inlineStr">
        <is>
          <t>Efeito · classes 1 a 5</t>
        </is>
      </c>
      <c r="HU39" t="inlineStr">
        <is>
          <t>Fora de combate</t>
        </is>
      </c>
      <c r="HV39" t="inlineStr">
        <is>
          <t>Fora de combate</t>
        </is>
      </c>
      <c r="HW39" t="inlineStr">
        <is>
          <t>Fora de combate</t>
        </is>
      </c>
      <c r="HX39" t="inlineStr">
        <is>
          <t>Fora de combate</t>
        </is>
      </c>
      <c r="HY39" t="inlineStr">
        <is>
          <t>Fora de combate</t>
        </is>
      </c>
      <c r="HZ39" t="inlineStr">
        <is>
          <t>Fora de combate</t>
        </is>
      </c>
      <c r="IA39" t="inlineStr"/>
      <c r="IB39" t="inlineStr"/>
      <c r="IC39" t="inlineStr"/>
      <c r="ID39" t="inlineStr"/>
      <c r="IE39" t="inlineStr"/>
      <c r="IF39" t="inlineStr"/>
      <c r="KA39">
        <f>IFERROR(INDEX(INDEX('DADOS_RESTRICOES'!$M$2:$Q$54,0,1),37),"")</f>
        <v/>
      </c>
    </row>
    <row r="40">
      <c r="GR40">
        <f>'DADOS_FORMAS'!$BL18</f>
        <v/>
      </c>
      <c r="GS40">
        <f>IF('DADOS_FORMAS'!$BL18="area",'DADOS_FORMAS'!$AU18,'DADOS_FORMAS'!$AT18)</f>
        <v/>
      </c>
      <c r="GT40">
        <f>IF('DADOS_FORMAS'!$BL18="area",'DADOS_FORMAS'!$BD18,'DADOS_FORMAS'!$AW18)</f>
        <v/>
      </c>
      <c r="GU40">
        <f>'DADOS_FORMAS'!$BM18</f>
        <v/>
      </c>
      <c r="GV40">
        <f>'DADOS_FORMAS'!$BN18</f>
        <v/>
      </c>
      <c r="GW40">
        <f>LET(base,'DADOS_FORMAS'!$GT40,escada,'DADOS_FORMAS'!$GS40,medida,LEFT(base,MAX(0,LEN(base)-2)),valor,IFERROR(VALUE(SUBSTITUTE(medida,",",""))/10^IFERROR(LEN(medida)-FIND(",",medida),0),1E99),IF(OR(escada="Fixo",base="—"),base,IF(escada="alcance",IFERROR(MATCH(base,{"1,5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0">
        <f>'DADOS_FORMAS'!$AH14&amp;" · classes 6 e 7"</f>
        <v/>
      </c>
      <c r="GZ40">
        <f>LET(trecho,IF(OR('DADOS_FORMAS'!$AH14="",'DADOS_FORMAS'!$GR18="",'DADOS_FORMAS'!$GT18=""),"",IF('DADOS_FORMAS'!$GT18="—","—",'DADOS_FORMAS'!$GU18&amp;'DADOS_FORMAS'!$GT18&amp;'DADOS_FORMAS'!$GV18)),UPPER(LEFT(trecho,1))&amp;MID(trecho,2,LEN(trecho)))</f>
        <v/>
      </c>
      <c r="HA40">
        <f>LET(trecho,IF(OR('DADOS_FORMAS'!$AH14="",'DADOS_FORMAS'!$GR18="",'DADOS_FORMAS'!$GT18=""),"",IF('DADOS_FORMAS'!$GT18="—","—",'DADOS_FORMAS'!$GU18&amp;IF('DADOS_FORMAS'!$GS18="alcance",INDEX('DADOS_FORMAS'!$GL$2:$GL$7,MIN(6,'DADOS_FORMAS'!$GW18+1)),IF('DADOS_FORMAS'!$GS18="raio",INDEX('DADOS_FORMAS'!$GN$2:$GN$6,MIN(5,'DADOS_FORMAS'!$GW18+1)),IF('DADOS_FORMAS'!$GS18="comprimento",INDEX('DADOS_FORMAS'!$GP$2:$GP$6,MIN(5,'DADOS_FORMAS'!$GW18+1)),'DADOS_FORMAS'!$GT18)))&amp;'DADOS_FORMAS'!$GV18)),UPPER(LEFT(trecho,1))&amp;MID(trecho,2,LEN(trecho)))</f>
        <v/>
      </c>
      <c r="HB40">
        <f>LET(trecho,IF(OR('DADOS_FORMAS'!$AH14="",'DADOS_FORMAS'!$GR18="",'DADOS_FORMAS'!$GT18=""),"",IF('DADOS_FORMAS'!$GT18="—","—",'DADOS_FORMAS'!$GU18&amp;IF('DADOS_FORMAS'!$GS18="alcance",INDEX('DADOS_FORMAS'!$GL$2:$GL$7,MIN(6,'DADOS_FORMAS'!$GW18+2)),IF('DADOS_FORMAS'!$GS18="raio",INDEX('DADOS_FORMAS'!$GN$2:$GN$6,MIN(5,'DADOS_FORMAS'!$GW18+2)),IF('DADOS_FORMAS'!$GS18="comprimento",INDEX('DADOS_FORMAS'!$GP$2:$GP$6,MIN(5,'DADOS_FORMAS'!$GW18+2)),'DADOS_FORMAS'!$GT18)))&amp;'DADOS_FORMAS'!$GV18)),UPPER(LEFT(trecho,1))&amp;MID(trecho,2,LEN(trecho)))</f>
        <v/>
      </c>
      <c r="HC40">
        <f>LET(trecho,IF(OR('DADOS_FORMAS'!$AH14="",'DADOS_FORMAS'!$GR18="",'DADOS_FORMAS'!$GT18=""),"",IF('DADOS_FORMAS'!$GT18="—","—",'DADOS_FORMAS'!$GU18&amp;IF('DADOS_FORMAS'!$GS18="alcance",INDEX('DADOS_FORMAS'!$GL$2:$GL$7,MIN(6,'DADOS_FORMAS'!$GW18+3)),IF('DADOS_FORMAS'!$GS18="raio",INDEX('DADOS_FORMAS'!$GN$2:$GN$6,MIN(5,'DADOS_FORMAS'!$GW18+3)),IF('DADOS_FORMAS'!$GS18="comprimento",INDEX('DADOS_FORMAS'!$GP$2:$GP$6,MIN(5,'DADOS_FORMAS'!$GW18+3)),'DADOS_FORMAS'!$GT18)))&amp;'DADOS_FORMAS'!$GV18)),UPPER(LEFT(trecho,1))&amp;MID(trecho,2,LEN(trecho)))</f>
        <v/>
      </c>
      <c r="HD40">
        <f>LET(trecho,IF(OR('DADOS_FORMAS'!$AH14="",'DADOS_FORMAS'!$GR18="",'DADOS_FORMAS'!$GT18=""),"",IF('DADOS_FORMAS'!$GT18="—","—",'DADOS_FORMAS'!$GU18&amp;IF('DADOS_FORMAS'!$GS18="alcance",INDEX('DADOS_FORMAS'!$GL$2:$GL$7,MIN(6,'DADOS_FORMAS'!$GW18+4)),IF('DADOS_FORMAS'!$GS18="raio",INDEX('DADOS_FORMAS'!$GN$2:$GN$6,MIN(5,'DADOS_FORMAS'!$GW18+4)),IF('DADOS_FORMAS'!$GS18="comprimento",INDEX('DADOS_FORMAS'!$GP$2:$GP$6,MIN(5,'DADOS_FORMAS'!$GW18+4)),'DADOS_FORMAS'!$GT18)))&amp;'DADOS_FORMAS'!$GV18)),UPPER(LEFT(trecho,1))&amp;MID(trecho,2,LEN(trecho)))</f>
        <v/>
      </c>
      <c r="HE40">
        <f>LET(trecho,IF(OR('DADOS_FORMAS'!$AH14="",'DADOS_FORMAS'!$GR18="",'DADOS_FORMAS'!$GT18=""),"",IF('DADOS_FORMAS'!$GT18="—","—",'DADOS_FORMAS'!$GU18&amp;IF('DADOS_FORMAS'!$GS18="alcance",INDEX('DADOS_FORMAS'!$GL$2:$GL$7,MIN(6,'DADOS_FORMAS'!$GW18+5)),IF('DADOS_FORMAS'!$GS18="raio",INDEX('DADOS_FORMAS'!$GN$2:$GN$6,MIN(5,'DADOS_FORMAS'!$GW18+5)),IF('DADOS_FORMAS'!$GS18="comprimento",INDEX('DADOS_FORMAS'!$GP$2:$GP$6,MIN(5,'DADOS_FORMAS'!$GW18+5)),'DADOS_FORMAS'!$GT18)))&amp;'DADOS_FORMAS'!$GV18)),UPPER(LEFT(trecho,1))&amp;MID(trecho,2,LEN(trecho)))</f>
        <v/>
      </c>
      <c r="HF40">
        <f>IF(OR('DADOS_FORMAS'!$AH14="",'DADOS_FORMAS'!$GR19="",'DADOS_FORMAS'!$GT19=""),"",IF('DADOS_FORMAS'!$GT19="—","—",'DADOS_FORMAS'!$GU19&amp;'DADOS_FORMAS'!$GT19&amp;'DADOS_FORMAS'!$GV19))</f>
        <v/>
      </c>
      <c r="HG40">
        <f>IF(OR('DADOS_FORMAS'!$AH14="",'DADOS_FORMAS'!$GR19="",'DADOS_FORMAS'!$GT19=""),"",IF('DADOS_FORMAS'!$GT19="—","—",'DADOS_FORMAS'!$GU19&amp;IF('DADOS_FORMAS'!$GS19="alcance",INDEX('DADOS_FORMAS'!$GL$2:$GL$7,MIN(6,'DADOS_FORMAS'!$GW19+1)),IF('DADOS_FORMAS'!$GS19="raio",INDEX('DADOS_FORMAS'!$GN$2:$GN$6,MIN(5,'DADOS_FORMAS'!$GW19+1)),IF('DADOS_FORMAS'!$GS19="comprimento",INDEX('DADOS_FORMAS'!$GP$2:$GP$6,MIN(5,'DADOS_FORMAS'!$GW19+1)),'DADOS_FORMAS'!$GT19)))&amp;'DADOS_FORMAS'!$GV19))</f>
        <v/>
      </c>
      <c r="HH40">
        <f>IF(OR('DADOS_FORMAS'!$AH14="",'DADOS_FORMAS'!$GR19="",'DADOS_FORMAS'!$GT19=""),"",IF('DADOS_FORMAS'!$GT19="—","—",'DADOS_FORMAS'!$GU19&amp;IF('DADOS_FORMAS'!$GS19="alcance",INDEX('DADOS_FORMAS'!$GL$2:$GL$7,MIN(6,'DADOS_FORMAS'!$GW19+2)),IF('DADOS_FORMAS'!$GS19="raio",INDEX('DADOS_FORMAS'!$GN$2:$GN$6,MIN(5,'DADOS_FORMAS'!$GW19+2)),IF('DADOS_FORMAS'!$GS19="comprimento",INDEX('DADOS_FORMAS'!$GP$2:$GP$6,MIN(5,'DADOS_FORMAS'!$GW19+2)),'DADOS_FORMAS'!$GT19)))&amp;'DADOS_FORMAS'!$GV19))</f>
        <v/>
      </c>
      <c r="HI40">
        <f>IF(OR('DADOS_FORMAS'!$AH14="",'DADOS_FORMAS'!$GR19="",'DADOS_FORMAS'!$GT19=""),"",IF('DADOS_FORMAS'!$GT19="—","—",'DADOS_FORMAS'!$GU19&amp;IF('DADOS_FORMAS'!$GS19="alcance",INDEX('DADOS_FORMAS'!$GL$2:$GL$7,MIN(6,'DADOS_FORMAS'!$GW19+3)),IF('DADOS_FORMAS'!$GS19="raio",INDEX('DADOS_FORMAS'!$GN$2:$GN$6,MIN(5,'DADOS_FORMAS'!$GW19+3)),IF('DADOS_FORMAS'!$GS19="comprimento",INDEX('DADOS_FORMAS'!$GP$2:$GP$6,MIN(5,'DADOS_FORMAS'!$GW19+3)),'DADOS_FORMAS'!$GT19)))&amp;'DADOS_FORMAS'!$GV19))</f>
        <v/>
      </c>
      <c r="HJ40">
        <f>IF(OR('DADOS_FORMAS'!$AH14="",'DADOS_FORMAS'!$GR19="",'DADOS_FORMAS'!$GT19=""),"",IF('DADOS_FORMAS'!$GT19="—","—",'DADOS_FORMAS'!$GU19&amp;IF('DADOS_FORMAS'!$GS19="alcance",INDEX('DADOS_FORMAS'!$GL$2:$GL$7,MIN(6,'DADOS_FORMAS'!$GW19+4)),IF('DADOS_FORMAS'!$GS19="raio",INDEX('DADOS_FORMAS'!$GN$2:$GN$6,MIN(5,'DADOS_FORMAS'!$GW19+4)),IF('DADOS_FORMAS'!$GS19="comprimento",INDEX('DADOS_FORMAS'!$GP$2:$GP$6,MIN(5,'DADOS_FORMAS'!$GW19+4)),'DADOS_FORMAS'!$GT19)))&amp;'DADOS_FORMAS'!$GV19))</f>
        <v/>
      </c>
      <c r="HK40">
        <f>IF(OR('DADOS_FORMAS'!$AH14="",'DADOS_FORMAS'!$GR19="",'DADOS_FORMAS'!$GT19=""),"",IF('DADOS_FORMAS'!$GT19="—","—",'DADOS_FORMAS'!$GU19&amp;IF('DADOS_FORMAS'!$GS19="alcance",INDEX('DADOS_FORMAS'!$GL$2:$GL$7,MIN(6,'DADOS_FORMAS'!$GW19+5)),IF('DADOS_FORMAS'!$GS19="raio",INDEX('DADOS_FORMAS'!$GN$2:$GN$6,MIN(5,'DADOS_FORMAS'!$GW19+5)),IF('DADOS_FORMAS'!$GS19="comprimento",INDEX('DADOS_FORMAS'!$GP$2:$GP$6,MIN(5,'DADOS_FORMAS'!$GW19+5)),'DADOS_FORMAS'!$GT19)))&amp;'DADOS_FORMAS'!$GV19))</f>
        <v/>
      </c>
      <c r="HM40">
        <f>'DADOS_FORMAS'!$BL16</f>
        <v/>
      </c>
      <c r="HN40">
        <f>IF('DADOS_FORMAS'!$BL16="area",'DADOS_FORMAS'!$AU16,'DADOS_FORMAS'!$AT16)</f>
        <v/>
      </c>
      <c r="HO40">
        <f>IF('DADOS_FORMAS'!$BL16="area",'DADOS_FORMAS'!$BI16,'DADOS_FORMAS'!$BB16)</f>
        <v/>
      </c>
      <c r="HP40">
        <f>'DADOS_FORMAS'!$BM16</f>
        <v/>
      </c>
      <c r="HQ40">
        <f>'DADOS_FORMAS'!$BN16</f>
        <v/>
      </c>
      <c r="HR40">
        <f>LET(base,'DADOS_FORMAS'!$HO40,escada,'DADOS_FORMAS'!$HN40,medida,LEFT(base,MAX(0,LEN(base)-2)),valor,IFERROR(VALUE(SUBSTITUTE(medida,",",""))/10^IFERROR(LEN(medida)-FIND(",",medida),0),1E99),IF(OR(escada="Fixo",base="—"),base,IF(escada="alcance",IFERROR(MATCH(base,{"1,5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0" t="inlineStr">
        <is>
          <t>Efeito · classe 6</t>
        </is>
      </c>
      <c r="HU40" t="inlineStr">
        <is>
          <t>Fora de combate</t>
        </is>
      </c>
      <c r="HV40" t="inlineStr">
        <is>
          <t>Fora de combate</t>
        </is>
      </c>
      <c r="HW40" t="inlineStr">
        <is>
          <t>Fora de combate</t>
        </is>
      </c>
      <c r="HX40" t="inlineStr">
        <is>
          <t>Fora de combate</t>
        </is>
      </c>
      <c r="HY40" t="inlineStr">
        <is>
          <t>Fora de combate</t>
        </is>
      </c>
      <c r="HZ40" t="inlineStr">
        <is>
          <t>Fora de combate</t>
        </is>
      </c>
      <c r="IA40" t="inlineStr"/>
      <c r="IB40" t="inlineStr"/>
      <c r="IC40" t="inlineStr"/>
      <c r="ID40" t="inlineStr"/>
      <c r="IE40" t="inlineStr"/>
      <c r="IF40" t="inlineStr"/>
      <c r="KA40">
        <f>IFERROR(INDEX(INDEX('DADOS_RESTRICOES'!$M$2:$Q$54,0,1),38),"")</f>
        <v/>
      </c>
    </row>
    <row r="41">
      <c r="GR41">
        <f>'DADOS_FORMAS'!$BP18</f>
        <v/>
      </c>
      <c r="GS41">
        <f>IF('DADOS_FORMAS'!$BP18="area",'DADOS_FORMAS'!$AU18,'DADOS_FORMAS'!$AT18)</f>
        <v/>
      </c>
      <c r="GT41">
        <f>IF('DADOS_FORMAS'!$BP18="area",'DADOS_FORMAS'!$BD18,'DADOS_FORMAS'!$AW18)</f>
        <v/>
      </c>
      <c r="GU41">
        <f>'DADOS_FORMAS'!$BQ18</f>
        <v/>
      </c>
      <c r="GV41">
        <f>'DADOS_FORMAS'!$BR18</f>
        <v/>
      </c>
      <c r="GW41">
        <f>LET(base,'DADOS_FORMAS'!$GT41,escada,'DADOS_FORMAS'!$GS41,medida,LEFT(base,MAX(0,LEN(base)-2)),valor,IFERROR(VALUE(SUBSTITUTE(medida,",",""))/10^IFERROR(LEN(medida)-FIND(",",medida),0),1E99),IF(OR(escada="Fixo",base="—"),base,IF(escada="alcance",IFERROR(MATCH(base,{"1,5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1">
        <f>'DADOS_FORMAS'!$AH15&amp;" · classe 0"</f>
        <v/>
      </c>
      <c r="GZ41">
        <f>LET(trecho,IF(OR('DADOS_FORMAS'!$AH15="",'DADOS_FORMAS'!$GR20="",'DADOS_FORMAS'!$GT20=""),"",IF('DADOS_FORMAS'!$GT20="—","—",'DADOS_FORMAS'!$GU20&amp;'DADOS_FORMAS'!$GT20&amp;'DADOS_FORMAS'!$GV20)),UPPER(LEFT(trecho,1))&amp;MID(trecho,2,LEN(trecho)))</f>
        <v/>
      </c>
      <c r="HA41">
        <f>LET(trecho,IF(OR('DADOS_FORMAS'!$AH15="",'DADOS_FORMAS'!$GR20="",'DADOS_FORMAS'!$GT20=""),"",IF('DADOS_FORMAS'!$GT20="—","—",'DADOS_FORMAS'!$GU20&amp;IF('DADOS_FORMAS'!$GS20="alcance",INDEX('DADOS_FORMAS'!$GL$2:$GL$7,MIN(6,'DADOS_FORMAS'!$GW20+1)),IF('DADOS_FORMAS'!$GS20="raio",INDEX('DADOS_FORMAS'!$GN$2:$GN$6,MIN(5,'DADOS_FORMAS'!$GW20+1)),IF('DADOS_FORMAS'!$GS20="comprimento",INDEX('DADOS_FORMAS'!$GP$2:$GP$6,MIN(5,'DADOS_FORMAS'!$GW20+1)),'DADOS_FORMAS'!$GT20)))&amp;'DADOS_FORMAS'!$GV20)),UPPER(LEFT(trecho,1))&amp;MID(trecho,2,LEN(trecho)))</f>
        <v/>
      </c>
      <c r="HB41">
        <f>LET(trecho,IF(OR('DADOS_FORMAS'!$AH15="",'DADOS_FORMAS'!$GR20="",'DADOS_FORMAS'!$GT20=""),"",IF('DADOS_FORMAS'!$GT20="—","—",'DADOS_FORMAS'!$GU20&amp;IF('DADOS_FORMAS'!$GS20="alcance",INDEX('DADOS_FORMAS'!$GL$2:$GL$7,MIN(6,'DADOS_FORMAS'!$GW20+2)),IF('DADOS_FORMAS'!$GS20="raio",INDEX('DADOS_FORMAS'!$GN$2:$GN$6,MIN(5,'DADOS_FORMAS'!$GW20+2)),IF('DADOS_FORMAS'!$GS20="comprimento",INDEX('DADOS_FORMAS'!$GP$2:$GP$6,MIN(5,'DADOS_FORMAS'!$GW20+2)),'DADOS_FORMAS'!$GT20)))&amp;'DADOS_FORMAS'!$GV20)),UPPER(LEFT(trecho,1))&amp;MID(trecho,2,LEN(trecho)))</f>
        <v/>
      </c>
      <c r="HC41">
        <f>LET(trecho,IF(OR('DADOS_FORMAS'!$AH15="",'DADOS_FORMAS'!$GR20="",'DADOS_FORMAS'!$GT20=""),"",IF('DADOS_FORMAS'!$GT20="—","—",'DADOS_FORMAS'!$GU20&amp;IF('DADOS_FORMAS'!$GS20="alcance",INDEX('DADOS_FORMAS'!$GL$2:$GL$7,MIN(6,'DADOS_FORMAS'!$GW20+3)),IF('DADOS_FORMAS'!$GS20="raio",INDEX('DADOS_FORMAS'!$GN$2:$GN$6,MIN(5,'DADOS_FORMAS'!$GW20+3)),IF('DADOS_FORMAS'!$GS20="comprimento",INDEX('DADOS_FORMAS'!$GP$2:$GP$6,MIN(5,'DADOS_FORMAS'!$GW20+3)),'DADOS_FORMAS'!$GT20)))&amp;'DADOS_FORMAS'!$GV20)),UPPER(LEFT(trecho,1))&amp;MID(trecho,2,LEN(trecho)))</f>
        <v/>
      </c>
      <c r="HD41">
        <f>LET(trecho,IF(OR('DADOS_FORMAS'!$AH15="",'DADOS_FORMAS'!$GR20="",'DADOS_FORMAS'!$GT20=""),"",IF('DADOS_FORMAS'!$GT20="—","—",'DADOS_FORMAS'!$GU20&amp;IF('DADOS_FORMAS'!$GS20="alcance",INDEX('DADOS_FORMAS'!$GL$2:$GL$7,MIN(6,'DADOS_FORMAS'!$GW20+4)),IF('DADOS_FORMAS'!$GS20="raio",INDEX('DADOS_FORMAS'!$GN$2:$GN$6,MIN(5,'DADOS_FORMAS'!$GW20+4)),IF('DADOS_FORMAS'!$GS20="comprimento",INDEX('DADOS_FORMAS'!$GP$2:$GP$6,MIN(5,'DADOS_FORMAS'!$GW20+4)),'DADOS_FORMAS'!$GT20)))&amp;'DADOS_FORMAS'!$GV20)),UPPER(LEFT(trecho,1))&amp;MID(trecho,2,LEN(trecho)))</f>
        <v/>
      </c>
      <c r="HE41">
        <f>LET(trecho,IF(OR('DADOS_FORMAS'!$AH15="",'DADOS_FORMAS'!$GR20="",'DADOS_FORMAS'!$GT20=""),"",IF('DADOS_FORMAS'!$GT20="—","—",'DADOS_FORMAS'!$GU20&amp;IF('DADOS_FORMAS'!$GS20="alcance",INDEX('DADOS_FORMAS'!$GL$2:$GL$7,MIN(6,'DADOS_FORMAS'!$GW20+5)),IF('DADOS_FORMAS'!$GS20="raio",INDEX('DADOS_FORMAS'!$GN$2:$GN$6,MIN(5,'DADOS_FORMAS'!$GW20+5)),IF('DADOS_FORMAS'!$GS20="comprimento",INDEX('DADOS_FORMAS'!$GP$2:$GP$6,MIN(5,'DADOS_FORMAS'!$GW20+5)),'DADOS_FORMAS'!$GT20)))&amp;'DADOS_FORMAS'!$GV20)),UPPER(LEFT(trecho,1))&amp;MID(trecho,2,LEN(trecho)))</f>
        <v/>
      </c>
      <c r="HF41">
        <f>IF(OR('DADOS_FORMAS'!$AH15="",'DADOS_FORMAS'!$GR21="",'DADOS_FORMAS'!$GT21=""),"",IF('DADOS_FORMAS'!$GT21="—","—",'DADOS_FORMAS'!$GU21&amp;'DADOS_FORMAS'!$GT21&amp;'DADOS_FORMAS'!$GV21))</f>
        <v/>
      </c>
      <c r="HG41">
        <f>IF(OR('DADOS_FORMAS'!$AH15="",'DADOS_FORMAS'!$GR21="",'DADOS_FORMAS'!$GT21=""),"",IF('DADOS_FORMAS'!$GT21="—","—",'DADOS_FORMAS'!$GU21&amp;IF('DADOS_FORMAS'!$GS21="alcance",INDEX('DADOS_FORMAS'!$GL$2:$GL$7,MIN(6,'DADOS_FORMAS'!$GW21+1)),IF('DADOS_FORMAS'!$GS21="raio",INDEX('DADOS_FORMAS'!$GN$2:$GN$6,MIN(5,'DADOS_FORMAS'!$GW21+1)),IF('DADOS_FORMAS'!$GS21="comprimento",INDEX('DADOS_FORMAS'!$GP$2:$GP$6,MIN(5,'DADOS_FORMAS'!$GW21+1)),'DADOS_FORMAS'!$GT21)))&amp;'DADOS_FORMAS'!$GV21))</f>
        <v/>
      </c>
      <c r="HH41">
        <f>IF(OR('DADOS_FORMAS'!$AH15="",'DADOS_FORMAS'!$GR21="",'DADOS_FORMAS'!$GT21=""),"",IF('DADOS_FORMAS'!$GT21="—","—",'DADOS_FORMAS'!$GU21&amp;IF('DADOS_FORMAS'!$GS21="alcance",INDEX('DADOS_FORMAS'!$GL$2:$GL$7,MIN(6,'DADOS_FORMAS'!$GW21+2)),IF('DADOS_FORMAS'!$GS21="raio",INDEX('DADOS_FORMAS'!$GN$2:$GN$6,MIN(5,'DADOS_FORMAS'!$GW21+2)),IF('DADOS_FORMAS'!$GS21="comprimento",INDEX('DADOS_FORMAS'!$GP$2:$GP$6,MIN(5,'DADOS_FORMAS'!$GW21+2)),'DADOS_FORMAS'!$GT21)))&amp;'DADOS_FORMAS'!$GV21))</f>
        <v/>
      </c>
      <c r="HI41">
        <f>IF(OR('DADOS_FORMAS'!$AH15="",'DADOS_FORMAS'!$GR21="",'DADOS_FORMAS'!$GT21=""),"",IF('DADOS_FORMAS'!$GT21="—","—",'DADOS_FORMAS'!$GU21&amp;IF('DADOS_FORMAS'!$GS21="alcance",INDEX('DADOS_FORMAS'!$GL$2:$GL$7,MIN(6,'DADOS_FORMAS'!$GW21+3)),IF('DADOS_FORMAS'!$GS21="raio",INDEX('DADOS_FORMAS'!$GN$2:$GN$6,MIN(5,'DADOS_FORMAS'!$GW21+3)),IF('DADOS_FORMAS'!$GS21="comprimento",INDEX('DADOS_FORMAS'!$GP$2:$GP$6,MIN(5,'DADOS_FORMAS'!$GW21+3)),'DADOS_FORMAS'!$GT21)))&amp;'DADOS_FORMAS'!$GV21))</f>
        <v/>
      </c>
      <c r="HJ41">
        <f>IF(OR('DADOS_FORMAS'!$AH15="",'DADOS_FORMAS'!$GR21="",'DADOS_FORMAS'!$GT21=""),"",IF('DADOS_FORMAS'!$GT21="—","—",'DADOS_FORMAS'!$GU21&amp;IF('DADOS_FORMAS'!$GS21="alcance",INDEX('DADOS_FORMAS'!$GL$2:$GL$7,MIN(6,'DADOS_FORMAS'!$GW21+4)),IF('DADOS_FORMAS'!$GS21="raio",INDEX('DADOS_FORMAS'!$GN$2:$GN$6,MIN(5,'DADOS_FORMAS'!$GW21+4)),IF('DADOS_FORMAS'!$GS21="comprimento",INDEX('DADOS_FORMAS'!$GP$2:$GP$6,MIN(5,'DADOS_FORMAS'!$GW21+4)),'DADOS_FORMAS'!$GT21)))&amp;'DADOS_FORMAS'!$GV21))</f>
        <v/>
      </c>
      <c r="HK41">
        <f>IF(OR('DADOS_FORMAS'!$AH15="",'DADOS_FORMAS'!$GR21="",'DADOS_FORMAS'!$GT21=""),"",IF('DADOS_FORMAS'!$GT21="—","—",'DADOS_FORMAS'!$GU21&amp;IF('DADOS_FORMAS'!$GS21="alcance",INDEX('DADOS_FORMAS'!$GL$2:$GL$7,MIN(6,'DADOS_FORMAS'!$GW21+5)),IF('DADOS_FORMAS'!$GS21="raio",INDEX('DADOS_FORMAS'!$GN$2:$GN$6,MIN(5,'DADOS_FORMAS'!$GW21+5)),IF('DADOS_FORMAS'!$GS21="comprimento",INDEX('DADOS_FORMAS'!$GP$2:$GP$6,MIN(5,'DADOS_FORMAS'!$GW21+5)),'DADOS_FORMAS'!$GT21)))&amp;'DADOS_FORMAS'!$GV21))</f>
        <v/>
      </c>
      <c r="HM41">
        <f>'DADOS_FORMAS'!$BP16</f>
        <v/>
      </c>
      <c r="HN41">
        <f>IF('DADOS_FORMAS'!$BP16="area",'DADOS_FORMAS'!$AU16,'DADOS_FORMAS'!$AT16)</f>
        <v/>
      </c>
      <c r="HO41">
        <f>IF('DADOS_FORMAS'!$BP16="area",'DADOS_FORMAS'!$BI16,'DADOS_FORMAS'!$BB16)</f>
        <v/>
      </c>
      <c r="HP41">
        <f>'DADOS_FORMAS'!$BQ16</f>
        <v/>
      </c>
      <c r="HQ41">
        <f>'DADOS_FORMAS'!$BR16</f>
        <v/>
      </c>
      <c r="HR41">
        <f>LET(base,'DADOS_FORMAS'!$HO41,escada,'DADOS_FORMAS'!$HN41,medida,LEFT(base,MAX(0,LEN(base)-2)),valor,IFERROR(VALUE(SUBSTITUTE(medida,",",""))/10^IFERROR(LEN(medida)-FIND(",",medida),0),1E99),IF(OR(escada="Fixo",base="—"),base,IF(escada="alcance",IFERROR(MATCH(base,{"1,5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1" t="inlineStr">
        <is>
          <t>Efeito · classe 7</t>
        </is>
      </c>
      <c r="HU41" t="inlineStr">
        <is>
          <t>Fora de combate</t>
        </is>
      </c>
      <c r="HV41" t="inlineStr">
        <is>
          <t>Fora de combate</t>
        </is>
      </c>
      <c r="HW41" t="inlineStr">
        <is>
          <t>Fora de combate</t>
        </is>
      </c>
      <c r="HX41" t="inlineStr">
        <is>
          <t>Fora de combate</t>
        </is>
      </c>
      <c r="HY41" t="inlineStr">
        <is>
          <t>Fora de combate</t>
        </is>
      </c>
      <c r="HZ41" t="inlineStr">
        <is>
          <t>Fora de combate</t>
        </is>
      </c>
      <c r="IA41" t="inlineStr"/>
      <c r="IB41" t="inlineStr"/>
      <c r="IC41" t="inlineStr"/>
      <c r="ID41" t="inlineStr"/>
      <c r="IE41" t="inlineStr"/>
      <c r="IF41" t="inlineStr"/>
      <c r="KA41">
        <f>IFERROR(INDEX(INDEX('DADOS_RESTRICOES'!$M$2:$Q$54,0,1),39),"")</f>
        <v/>
      </c>
    </row>
    <row r="42">
      <c r="GR42">
        <f>'DADOS_FORMAS'!$BL18</f>
        <v/>
      </c>
      <c r="GS42">
        <f>IF('DADOS_FORMAS'!$BL18="area",'DADOS_FORMAS'!$AU18,'DADOS_FORMAS'!$AT18)</f>
        <v/>
      </c>
      <c r="GT42">
        <f>IF('DADOS_FORMAS'!$BL18="area",'DADOS_FORMAS'!$BE18,'DADOS_FORMAS'!$AX18)</f>
        <v/>
      </c>
      <c r="GU42">
        <f>'DADOS_FORMAS'!$BM18</f>
        <v/>
      </c>
      <c r="GV42">
        <f>'DADOS_FORMAS'!$BN18</f>
        <v/>
      </c>
      <c r="GW42">
        <f>LET(base,'DADOS_FORMAS'!$GT42,escada,'DADOS_FORMAS'!$GS42,medida,LEFT(base,MAX(0,LEN(base)-2)),valor,IFERROR(VALUE(SUBSTITUTE(medida,",",""))/10^IFERROR(LEN(medida)-FIND(",",medida),0),1E99),IF(OR(escada="Fixo",base="—"),base,IF(escada="alcance",IFERROR(MATCH(base,{"1,5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2">
        <f>'DADOS_FORMAS'!$AH15&amp;" · classes 1 a 5"</f>
        <v/>
      </c>
      <c r="GZ42">
        <f>LET(trecho,IF(OR('DADOS_FORMAS'!$AH15="",'DADOS_FORMAS'!$GR22="",'DADOS_FORMAS'!$GT22=""),"",IF('DADOS_FORMAS'!$GT22="—","—",'DADOS_FORMAS'!$GU22&amp;'DADOS_FORMAS'!$GT22&amp;'DADOS_FORMAS'!$GV22)),UPPER(LEFT(trecho,1))&amp;MID(trecho,2,LEN(trecho)))</f>
        <v/>
      </c>
      <c r="HA42">
        <f>LET(trecho,IF(OR('DADOS_FORMAS'!$AH15="",'DADOS_FORMAS'!$GR22="",'DADOS_FORMAS'!$GT22=""),"",IF('DADOS_FORMAS'!$GT22="—","—",'DADOS_FORMAS'!$GU22&amp;IF('DADOS_FORMAS'!$GS22="alcance",INDEX('DADOS_FORMAS'!$GL$2:$GL$7,MIN(6,'DADOS_FORMAS'!$GW22+1)),IF('DADOS_FORMAS'!$GS22="raio",INDEX('DADOS_FORMAS'!$GN$2:$GN$6,MIN(5,'DADOS_FORMAS'!$GW22+1)),IF('DADOS_FORMAS'!$GS22="comprimento",INDEX('DADOS_FORMAS'!$GP$2:$GP$6,MIN(5,'DADOS_FORMAS'!$GW22+1)),'DADOS_FORMAS'!$GT22)))&amp;'DADOS_FORMAS'!$GV22)),UPPER(LEFT(trecho,1))&amp;MID(trecho,2,LEN(trecho)))</f>
        <v/>
      </c>
      <c r="HB42">
        <f>LET(trecho,IF(OR('DADOS_FORMAS'!$AH15="",'DADOS_FORMAS'!$GR22="",'DADOS_FORMAS'!$GT22=""),"",IF('DADOS_FORMAS'!$GT22="—","—",'DADOS_FORMAS'!$GU22&amp;IF('DADOS_FORMAS'!$GS22="alcance",INDEX('DADOS_FORMAS'!$GL$2:$GL$7,MIN(6,'DADOS_FORMAS'!$GW22+2)),IF('DADOS_FORMAS'!$GS22="raio",INDEX('DADOS_FORMAS'!$GN$2:$GN$6,MIN(5,'DADOS_FORMAS'!$GW22+2)),IF('DADOS_FORMAS'!$GS22="comprimento",INDEX('DADOS_FORMAS'!$GP$2:$GP$6,MIN(5,'DADOS_FORMAS'!$GW22+2)),'DADOS_FORMAS'!$GT22)))&amp;'DADOS_FORMAS'!$GV22)),UPPER(LEFT(trecho,1))&amp;MID(trecho,2,LEN(trecho)))</f>
        <v/>
      </c>
      <c r="HC42">
        <f>LET(trecho,IF(OR('DADOS_FORMAS'!$AH15="",'DADOS_FORMAS'!$GR22="",'DADOS_FORMAS'!$GT22=""),"",IF('DADOS_FORMAS'!$GT22="—","—",'DADOS_FORMAS'!$GU22&amp;IF('DADOS_FORMAS'!$GS22="alcance",INDEX('DADOS_FORMAS'!$GL$2:$GL$7,MIN(6,'DADOS_FORMAS'!$GW22+3)),IF('DADOS_FORMAS'!$GS22="raio",INDEX('DADOS_FORMAS'!$GN$2:$GN$6,MIN(5,'DADOS_FORMAS'!$GW22+3)),IF('DADOS_FORMAS'!$GS22="comprimento",INDEX('DADOS_FORMAS'!$GP$2:$GP$6,MIN(5,'DADOS_FORMAS'!$GW22+3)),'DADOS_FORMAS'!$GT22)))&amp;'DADOS_FORMAS'!$GV22)),UPPER(LEFT(trecho,1))&amp;MID(trecho,2,LEN(trecho)))</f>
        <v/>
      </c>
      <c r="HD42">
        <f>LET(trecho,IF(OR('DADOS_FORMAS'!$AH15="",'DADOS_FORMAS'!$GR22="",'DADOS_FORMAS'!$GT22=""),"",IF('DADOS_FORMAS'!$GT22="—","—",'DADOS_FORMAS'!$GU22&amp;IF('DADOS_FORMAS'!$GS22="alcance",INDEX('DADOS_FORMAS'!$GL$2:$GL$7,MIN(6,'DADOS_FORMAS'!$GW22+4)),IF('DADOS_FORMAS'!$GS22="raio",INDEX('DADOS_FORMAS'!$GN$2:$GN$6,MIN(5,'DADOS_FORMAS'!$GW22+4)),IF('DADOS_FORMAS'!$GS22="comprimento",INDEX('DADOS_FORMAS'!$GP$2:$GP$6,MIN(5,'DADOS_FORMAS'!$GW22+4)),'DADOS_FORMAS'!$GT22)))&amp;'DADOS_FORMAS'!$GV22)),UPPER(LEFT(trecho,1))&amp;MID(trecho,2,LEN(trecho)))</f>
        <v/>
      </c>
      <c r="HE42">
        <f>LET(trecho,IF(OR('DADOS_FORMAS'!$AH15="",'DADOS_FORMAS'!$GR22="",'DADOS_FORMAS'!$GT22=""),"",IF('DADOS_FORMAS'!$GT22="—","—",'DADOS_FORMAS'!$GU22&amp;IF('DADOS_FORMAS'!$GS22="alcance",INDEX('DADOS_FORMAS'!$GL$2:$GL$7,MIN(6,'DADOS_FORMAS'!$GW22+5)),IF('DADOS_FORMAS'!$GS22="raio",INDEX('DADOS_FORMAS'!$GN$2:$GN$6,MIN(5,'DADOS_FORMAS'!$GW22+5)),IF('DADOS_FORMAS'!$GS22="comprimento",INDEX('DADOS_FORMAS'!$GP$2:$GP$6,MIN(5,'DADOS_FORMAS'!$GW22+5)),'DADOS_FORMAS'!$GT22)))&amp;'DADOS_FORMAS'!$GV22)),UPPER(LEFT(trecho,1))&amp;MID(trecho,2,LEN(trecho)))</f>
        <v/>
      </c>
      <c r="HF42">
        <f>IF(OR('DADOS_FORMAS'!$AH15="",'DADOS_FORMAS'!$GR23="",'DADOS_FORMAS'!$GT23=""),"",IF('DADOS_FORMAS'!$GT23="—","—",'DADOS_FORMAS'!$GU23&amp;'DADOS_FORMAS'!$GT23&amp;'DADOS_FORMAS'!$GV23))</f>
        <v/>
      </c>
      <c r="HG42">
        <f>IF(OR('DADOS_FORMAS'!$AH15="",'DADOS_FORMAS'!$GR23="",'DADOS_FORMAS'!$GT23=""),"",IF('DADOS_FORMAS'!$GT23="—","—",'DADOS_FORMAS'!$GU23&amp;IF('DADOS_FORMAS'!$GS23="alcance",INDEX('DADOS_FORMAS'!$GL$2:$GL$7,MIN(6,'DADOS_FORMAS'!$GW23+1)),IF('DADOS_FORMAS'!$GS23="raio",INDEX('DADOS_FORMAS'!$GN$2:$GN$6,MIN(5,'DADOS_FORMAS'!$GW23+1)),IF('DADOS_FORMAS'!$GS23="comprimento",INDEX('DADOS_FORMAS'!$GP$2:$GP$6,MIN(5,'DADOS_FORMAS'!$GW23+1)),'DADOS_FORMAS'!$GT23)))&amp;'DADOS_FORMAS'!$GV23))</f>
        <v/>
      </c>
      <c r="HH42">
        <f>IF(OR('DADOS_FORMAS'!$AH15="",'DADOS_FORMAS'!$GR23="",'DADOS_FORMAS'!$GT23=""),"",IF('DADOS_FORMAS'!$GT23="—","—",'DADOS_FORMAS'!$GU23&amp;IF('DADOS_FORMAS'!$GS23="alcance",INDEX('DADOS_FORMAS'!$GL$2:$GL$7,MIN(6,'DADOS_FORMAS'!$GW23+2)),IF('DADOS_FORMAS'!$GS23="raio",INDEX('DADOS_FORMAS'!$GN$2:$GN$6,MIN(5,'DADOS_FORMAS'!$GW23+2)),IF('DADOS_FORMAS'!$GS23="comprimento",INDEX('DADOS_FORMAS'!$GP$2:$GP$6,MIN(5,'DADOS_FORMAS'!$GW23+2)),'DADOS_FORMAS'!$GT23)))&amp;'DADOS_FORMAS'!$GV23))</f>
        <v/>
      </c>
      <c r="HI42">
        <f>IF(OR('DADOS_FORMAS'!$AH15="",'DADOS_FORMAS'!$GR23="",'DADOS_FORMAS'!$GT23=""),"",IF('DADOS_FORMAS'!$GT23="—","—",'DADOS_FORMAS'!$GU23&amp;IF('DADOS_FORMAS'!$GS23="alcance",INDEX('DADOS_FORMAS'!$GL$2:$GL$7,MIN(6,'DADOS_FORMAS'!$GW23+3)),IF('DADOS_FORMAS'!$GS23="raio",INDEX('DADOS_FORMAS'!$GN$2:$GN$6,MIN(5,'DADOS_FORMAS'!$GW23+3)),IF('DADOS_FORMAS'!$GS23="comprimento",INDEX('DADOS_FORMAS'!$GP$2:$GP$6,MIN(5,'DADOS_FORMAS'!$GW23+3)),'DADOS_FORMAS'!$GT23)))&amp;'DADOS_FORMAS'!$GV23))</f>
        <v/>
      </c>
      <c r="HJ42">
        <f>IF(OR('DADOS_FORMAS'!$AH15="",'DADOS_FORMAS'!$GR23="",'DADOS_FORMAS'!$GT23=""),"",IF('DADOS_FORMAS'!$GT23="—","—",'DADOS_FORMAS'!$GU23&amp;IF('DADOS_FORMAS'!$GS23="alcance",INDEX('DADOS_FORMAS'!$GL$2:$GL$7,MIN(6,'DADOS_FORMAS'!$GW23+4)),IF('DADOS_FORMAS'!$GS23="raio",INDEX('DADOS_FORMAS'!$GN$2:$GN$6,MIN(5,'DADOS_FORMAS'!$GW23+4)),IF('DADOS_FORMAS'!$GS23="comprimento",INDEX('DADOS_FORMAS'!$GP$2:$GP$6,MIN(5,'DADOS_FORMAS'!$GW23+4)),'DADOS_FORMAS'!$GT23)))&amp;'DADOS_FORMAS'!$GV23))</f>
        <v/>
      </c>
      <c r="HK42">
        <f>IF(OR('DADOS_FORMAS'!$AH15="",'DADOS_FORMAS'!$GR23="",'DADOS_FORMAS'!$GT23=""),"",IF('DADOS_FORMAS'!$GT23="—","—",'DADOS_FORMAS'!$GU23&amp;IF('DADOS_FORMAS'!$GS23="alcance",INDEX('DADOS_FORMAS'!$GL$2:$GL$7,MIN(6,'DADOS_FORMAS'!$GW23+5)),IF('DADOS_FORMAS'!$GS23="raio",INDEX('DADOS_FORMAS'!$GN$2:$GN$6,MIN(5,'DADOS_FORMAS'!$GW23+5)),IF('DADOS_FORMAS'!$GS23="comprimento",INDEX('DADOS_FORMAS'!$GP$2:$GP$6,MIN(5,'DADOS_FORMAS'!$GW23+5)),'DADOS_FORMAS'!$GT23)))&amp;'DADOS_FORMAS'!$GV23))</f>
        <v/>
      </c>
      <c r="HM42">
        <f>'DADOS_FORMAS'!$BL17</f>
        <v/>
      </c>
      <c r="HN42">
        <f>IF('DADOS_FORMAS'!$BL17="area",'DADOS_FORMAS'!$AU17,'DADOS_FORMAS'!$AT17)</f>
        <v/>
      </c>
      <c r="HO42">
        <f>IF('DADOS_FORMAS'!$BL17="area",'DADOS_FORMAS'!$BF17,'DADOS_FORMAS'!$AY17)</f>
        <v/>
      </c>
      <c r="HP42">
        <f>'DADOS_FORMAS'!$BM17</f>
        <v/>
      </c>
      <c r="HQ42">
        <f>'DADOS_FORMAS'!$BN17</f>
        <v/>
      </c>
      <c r="HR42">
        <f>LET(base,'DADOS_FORMAS'!$HO42,escada,'DADOS_FORMAS'!$HN42,medida,LEFT(base,MAX(0,LEN(base)-2)),valor,IFERROR(VALUE(SUBSTITUTE(medida,",",""))/10^IFERROR(LEN(medida)-FIND(",",medida),0),1E99),IF(OR(escada="Fixo",base="—"),base,IF(escada="alcance",IFERROR(MATCH(base,{"1,5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2">
        <f>'DADOS_FORMAS'!$AH12&amp;" · classe 0"</f>
        <v/>
      </c>
      <c r="HU42">
        <f>LET(trecho,IF(OR('DADOS_FORMAS'!$AH12="",'DADOS_FORMAS'!$HM2="",'DADOS_FORMAS'!$HO2=""),"",IF('DADOS_FORMAS'!$HO2="—","—",'DADOS_FORMAS'!$HP2&amp;'DADOS_FORMAS'!$HO2&amp;SUBSTITUTE('DADOS_FORMAS'!$HQ2,"em você","nela"))),UPPER(LEFT(trecho,1))&amp;MID(trecho,2,LEN(trecho)))</f>
        <v/>
      </c>
      <c r="HV42">
        <f>LET(trecho,IF(OR('DADOS_FORMAS'!$AH12="",'DADOS_FORMAS'!$HM2="",'DADOS_FORMAS'!$HO2=""),"",IF('DADOS_FORMAS'!$HO2="—","—",'DADOS_FORMAS'!$HP2&amp;IF('DADOS_FORMAS'!$HN2="alcance",INDEX('DADOS_FORMAS'!$GL$2:$GL$7,MIN(6,'DADOS_FORMAS'!$HR2+1)),IF('DADOS_FORMAS'!$HN2="raio",INDEX('DADOS_FORMAS'!$GN$2:$GN$6,MIN(5,'DADOS_FORMAS'!$HR2+1)),IF('DADOS_FORMAS'!$HN2="comprimento",INDEX('DADOS_FORMAS'!$GP$2:$GP$6,MIN(5,'DADOS_FORMAS'!$HR2+1)),'DADOS_FORMAS'!$HO2)))&amp;SUBSTITUTE('DADOS_FORMAS'!$HQ2,"em você","nela"))),UPPER(LEFT(trecho,1))&amp;MID(trecho,2,LEN(trecho)))</f>
        <v/>
      </c>
      <c r="HW42">
        <f>LET(trecho,IF(OR('DADOS_FORMAS'!$AH12="",'DADOS_FORMAS'!$HM2="",'DADOS_FORMAS'!$HO2=""),"",IF('DADOS_FORMAS'!$HO2="—","—",'DADOS_FORMAS'!$HP2&amp;IF('DADOS_FORMAS'!$HN2="alcance",INDEX('DADOS_FORMAS'!$GL$2:$GL$7,MIN(6,'DADOS_FORMAS'!$HR2+2)),IF('DADOS_FORMAS'!$HN2="raio",INDEX('DADOS_FORMAS'!$GN$2:$GN$6,MIN(5,'DADOS_FORMAS'!$HR2+2)),IF('DADOS_FORMAS'!$HN2="comprimento",INDEX('DADOS_FORMAS'!$GP$2:$GP$6,MIN(5,'DADOS_FORMAS'!$HR2+2)),'DADOS_FORMAS'!$HO2)))&amp;SUBSTITUTE('DADOS_FORMAS'!$HQ2,"em você","nela"))),UPPER(LEFT(trecho,1))&amp;MID(trecho,2,LEN(trecho)))</f>
        <v/>
      </c>
      <c r="HX42">
        <f>LET(trecho,IF(OR('DADOS_FORMAS'!$AH12="",'DADOS_FORMAS'!$HM2="",'DADOS_FORMAS'!$HO2=""),"",IF('DADOS_FORMAS'!$HO2="—","—",'DADOS_FORMAS'!$HP2&amp;IF('DADOS_FORMAS'!$HN2="alcance",INDEX('DADOS_FORMAS'!$GL$2:$GL$7,MIN(6,'DADOS_FORMAS'!$HR2+3)),IF('DADOS_FORMAS'!$HN2="raio",INDEX('DADOS_FORMAS'!$GN$2:$GN$6,MIN(5,'DADOS_FORMAS'!$HR2+3)),IF('DADOS_FORMAS'!$HN2="comprimento",INDEX('DADOS_FORMAS'!$GP$2:$GP$6,MIN(5,'DADOS_FORMAS'!$HR2+3)),'DADOS_FORMAS'!$HO2)))&amp;SUBSTITUTE('DADOS_FORMAS'!$HQ2,"em você","nela"))),UPPER(LEFT(trecho,1))&amp;MID(trecho,2,LEN(trecho)))</f>
        <v/>
      </c>
      <c r="HY42">
        <f>LET(trecho,IF(OR('DADOS_FORMAS'!$AH12="",'DADOS_FORMAS'!$HM2="",'DADOS_FORMAS'!$HO2=""),"",IF('DADOS_FORMAS'!$HO2="—","—",'DADOS_FORMAS'!$HP2&amp;IF('DADOS_FORMAS'!$HN2="alcance",INDEX('DADOS_FORMAS'!$GL$2:$GL$7,MIN(6,'DADOS_FORMAS'!$HR2+4)),IF('DADOS_FORMAS'!$HN2="raio",INDEX('DADOS_FORMAS'!$GN$2:$GN$6,MIN(5,'DADOS_FORMAS'!$HR2+4)),IF('DADOS_FORMAS'!$HN2="comprimento",INDEX('DADOS_FORMAS'!$GP$2:$GP$6,MIN(5,'DADOS_FORMAS'!$HR2+4)),'DADOS_FORMAS'!$HO2)))&amp;SUBSTITUTE('DADOS_FORMAS'!$HQ2,"em você","nela"))),UPPER(LEFT(trecho,1))&amp;MID(trecho,2,LEN(trecho)))</f>
        <v/>
      </c>
      <c r="HZ42">
        <f>LET(trecho,IF(OR('DADOS_FORMAS'!$AH12="",'DADOS_FORMAS'!$HM2="",'DADOS_FORMAS'!$HO2=""),"",IF('DADOS_FORMAS'!$HO2="—","—",'DADOS_FORMAS'!$HP2&amp;IF('DADOS_FORMAS'!$HN2="alcance",INDEX('DADOS_FORMAS'!$GL$2:$GL$7,MIN(6,'DADOS_FORMAS'!$HR2+5)),IF('DADOS_FORMAS'!$HN2="raio",INDEX('DADOS_FORMAS'!$GN$2:$GN$6,MIN(5,'DADOS_FORMAS'!$HR2+5)),IF('DADOS_FORMAS'!$HN2="comprimento",INDEX('DADOS_FORMAS'!$GP$2:$GP$6,MIN(5,'DADOS_FORMAS'!$HR2+5)),'DADOS_FORMAS'!$HO2)))&amp;SUBSTITUTE('DADOS_FORMAS'!$HQ2,"em você","nela"))),UPPER(LEFT(trecho,1))&amp;MID(trecho,2,LEN(trecho)))</f>
        <v/>
      </c>
      <c r="IA42">
        <f>IF(OR('DADOS_FORMAS'!$AH12="",'DADOS_FORMAS'!$HM3="",'DADOS_FORMAS'!$HO3=""),"",IF('DADOS_FORMAS'!$HO3="—","—",'DADOS_FORMAS'!$HP3&amp;'DADOS_FORMAS'!$HO3&amp;SUBSTITUTE('DADOS_FORMAS'!$HQ3,"em você","nela")))</f>
        <v/>
      </c>
      <c r="IB42">
        <f>IF(OR('DADOS_FORMAS'!$AH12="",'DADOS_FORMAS'!$HM3="",'DADOS_FORMAS'!$HO3=""),"",IF('DADOS_FORMAS'!$HO3="—","—",'DADOS_FORMAS'!$HP3&amp;IF('DADOS_FORMAS'!$HN3="alcance",INDEX('DADOS_FORMAS'!$GL$2:$GL$7,MIN(6,'DADOS_FORMAS'!$HR3+1)),IF('DADOS_FORMAS'!$HN3="raio",INDEX('DADOS_FORMAS'!$GN$2:$GN$6,MIN(5,'DADOS_FORMAS'!$HR3+1)),IF('DADOS_FORMAS'!$HN3="comprimento",INDEX('DADOS_FORMAS'!$GP$2:$GP$6,MIN(5,'DADOS_FORMAS'!$HR3+1)),'DADOS_FORMAS'!$HO3)))&amp;SUBSTITUTE('DADOS_FORMAS'!$HQ3,"em você","nela")))</f>
        <v/>
      </c>
      <c r="IC42">
        <f>IF(OR('DADOS_FORMAS'!$AH12="",'DADOS_FORMAS'!$HM3="",'DADOS_FORMAS'!$HO3=""),"",IF('DADOS_FORMAS'!$HO3="—","—",'DADOS_FORMAS'!$HP3&amp;IF('DADOS_FORMAS'!$HN3="alcance",INDEX('DADOS_FORMAS'!$GL$2:$GL$7,MIN(6,'DADOS_FORMAS'!$HR3+2)),IF('DADOS_FORMAS'!$HN3="raio",INDEX('DADOS_FORMAS'!$GN$2:$GN$6,MIN(5,'DADOS_FORMAS'!$HR3+2)),IF('DADOS_FORMAS'!$HN3="comprimento",INDEX('DADOS_FORMAS'!$GP$2:$GP$6,MIN(5,'DADOS_FORMAS'!$HR3+2)),'DADOS_FORMAS'!$HO3)))&amp;SUBSTITUTE('DADOS_FORMAS'!$HQ3,"em você","nela")))</f>
        <v/>
      </c>
      <c r="ID42">
        <f>IF(OR('DADOS_FORMAS'!$AH12="",'DADOS_FORMAS'!$HM3="",'DADOS_FORMAS'!$HO3=""),"",IF('DADOS_FORMAS'!$HO3="—","—",'DADOS_FORMAS'!$HP3&amp;IF('DADOS_FORMAS'!$HN3="alcance",INDEX('DADOS_FORMAS'!$GL$2:$GL$7,MIN(6,'DADOS_FORMAS'!$HR3+3)),IF('DADOS_FORMAS'!$HN3="raio",INDEX('DADOS_FORMAS'!$GN$2:$GN$6,MIN(5,'DADOS_FORMAS'!$HR3+3)),IF('DADOS_FORMAS'!$HN3="comprimento",INDEX('DADOS_FORMAS'!$GP$2:$GP$6,MIN(5,'DADOS_FORMAS'!$HR3+3)),'DADOS_FORMAS'!$HO3)))&amp;SUBSTITUTE('DADOS_FORMAS'!$HQ3,"em você","nela")))</f>
        <v/>
      </c>
      <c r="IE42">
        <f>IF(OR('DADOS_FORMAS'!$AH12="",'DADOS_FORMAS'!$HM3="",'DADOS_FORMAS'!$HO3=""),"",IF('DADOS_FORMAS'!$HO3="—","—",'DADOS_FORMAS'!$HP3&amp;IF('DADOS_FORMAS'!$HN3="alcance",INDEX('DADOS_FORMAS'!$GL$2:$GL$7,MIN(6,'DADOS_FORMAS'!$HR3+4)),IF('DADOS_FORMAS'!$HN3="raio",INDEX('DADOS_FORMAS'!$GN$2:$GN$6,MIN(5,'DADOS_FORMAS'!$HR3+4)),IF('DADOS_FORMAS'!$HN3="comprimento",INDEX('DADOS_FORMAS'!$GP$2:$GP$6,MIN(5,'DADOS_FORMAS'!$HR3+4)),'DADOS_FORMAS'!$HO3)))&amp;SUBSTITUTE('DADOS_FORMAS'!$HQ3,"em você","nela")))</f>
        <v/>
      </c>
      <c r="IF42">
        <f>IF(OR('DADOS_FORMAS'!$AH12="",'DADOS_FORMAS'!$HM3="",'DADOS_FORMAS'!$HO3=""),"",IF('DADOS_FORMAS'!$HO3="—","—",'DADOS_FORMAS'!$HP3&amp;IF('DADOS_FORMAS'!$HN3="alcance",INDEX('DADOS_FORMAS'!$GL$2:$GL$7,MIN(6,'DADOS_FORMAS'!$HR3+5)),IF('DADOS_FORMAS'!$HN3="raio",INDEX('DADOS_FORMAS'!$GN$2:$GN$6,MIN(5,'DADOS_FORMAS'!$HR3+5)),IF('DADOS_FORMAS'!$HN3="comprimento",INDEX('DADOS_FORMAS'!$GP$2:$GP$6,MIN(5,'DADOS_FORMAS'!$HR3+5)),'DADOS_FORMAS'!$HO3)))&amp;SUBSTITUTE('DADOS_FORMAS'!$HQ3,"em você","nela")))</f>
        <v/>
      </c>
      <c r="KA42">
        <f>IFERROR(INDEX(INDEX('DADOS_RESTRICOES'!$M$2:$Q$54,0,1),40),"")</f>
        <v/>
      </c>
    </row>
    <row r="43">
      <c r="GR43">
        <f>'DADOS_FORMAS'!$BP18</f>
        <v/>
      </c>
      <c r="GS43">
        <f>IF('DADOS_FORMAS'!$BP18="area",'DADOS_FORMAS'!$AU18,'DADOS_FORMAS'!$AT18)</f>
        <v/>
      </c>
      <c r="GT43">
        <f>IF('DADOS_FORMAS'!$BP18="area",'DADOS_FORMAS'!$BE18,'DADOS_FORMAS'!$AX18)</f>
        <v/>
      </c>
      <c r="GU43">
        <f>'DADOS_FORMAS'!$BQ18</f>
        <v/>
      </c>
      <c r="GV43">
        <f>'DADOS_FORMAS'!$BR18</f>
        <v/>
      </c>
      <c r="GW43">
        <f>LET(base,'DADOS_FORMAS'!$GT43,escada,'DADOS_FORMAS'!$GS43,medida,LEFT(base,MAX(0,LEN(base)-2)),valor,IFERROR(VALUE(SUBSTITUTE(medida,",",""))/10^IFERROR(LEN(medida)-FIND(",",medida),0),1E99),IF(OR(escada="Fixo",base="—"),base,IF(escada="alcance",IFERROR(MATCH(base,{"1,5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3">
        <f>'DADOS_FORMAS'!$AH15&amp;" · classes 6 e 7"</f>
        <v/>
      </c>
      <c r="GZ43">
        <f>LET(trecho,IF(OR('DADOS_FORMAS'!$AH15="",'DADOS_FORMAS'!$GR24="",'DADOS_FORMAS'!$GT24=""),"",IF('DADOS_FORMAS'!$GT24="—","—",'DADOS_FORMAS'!$GU24&amp;'DADOS_FORMAS'!$GT24&amp;'DADOS_FORMAS'!$GV24)),UPPER(LEFT(trecho,1))&amp;MID(trecho,2,LEN(trecho)))</f>
        <v/>
      </c>
      <c r="HA43">
        <f>LET(trecho,IF(OR('DADOS_FORMAS'!$AH15="",'DADOS_FORMAS'!$GR24="",'DADOS_FORMAS'!$GT24=""),"",IF('DADOS_FORMAS'!$GT24="—","—",'DADOS_FORMAS'!$GU24&amp;IF('DADOS_FORMAS'!$GS24="alcance",INDEX('DADOS_FORMAS'!$GL$2:$GL$7,MIN(6,'DADOS_FORMAS'!$GW24+1)),IF('DADOS_FORMAS'!$GS24="raio",INDEX('DADOS_FORMAS'!$GN$2:$GN$6,MIN(5,'DADOS_FORMAS'!$GW24+1)),IF('DADOS_FORMAS'!$GS24="comprimento",INDEX('DADOS_FORMAS'!$GP$2:$GP$6,MIN(5,'DADOS_FORMAS'!$GW24+1)),'DADOS_FORMAS'!$GT24)))&amp;'DADOS_FORMAS'!$GV24)),UPPER(LEFT(trecho,1))&amp;MID(trecho,2,LEN(trecho)))</f>
        <v/>
      </c>
      <c r="HB43">
        <f>LET(trecho,IF(OR('DADOS_FORMAS'!$AH15="",'DADOS_FORMAS'!$GR24="",'DADOS_FORMAS'!$GT24=""),"",IF('DADOS_FORMAS'!$GT24="—","—",'DADOS_FORMAS'!$GU24&amp;IF('DADOS_FORMAS'!$GS24="alcance",INDEX('DADOS_FORMAS'!$GL$2:$GL$7,MIN(6,'DADOS_FORMAS'!$GW24+2)),IF('DADOS_FORMAS'!$GS24="raio",INDEX('DADOS_FORMAS'!$GN$2:$GN$6,MIN(5,'DADOS_FORMAS'!$GW24+2)),IF('DADOS_FORMAS'!$GS24="comprimento",INDEX('DADOS_FORMAS'!$GP$2:$GP$6,MIN(5,'DADOS_FORMAS'!$GW24+2)),'DADOS_FORMAS'!$GT24)))&amp;'DADOS_FORMAS'!$GV24)),UPPER(LEFT(trecho,1))&amp;MID(trecho,2,LEN(trecho)))</f>
        <v/>
      </c>
      <c r="HC43">
        <f>LET(trecho,IF(OR('DADOS_FORMAS'!$AH15="",'DADOS_FORMAS'!$GR24="",'DADOS_FORMAS'!$GT24=""),"",IF('DADOS_FORMAS'!$GT24="—","—",'DADOS_FORMAS'!$GU24&amp;IF('DADOS_FORMAS'!$GS24="alcance",INDEX('DADOS_FORMAS'!$GL$2:$GL$7,MIN(6,'DADOS_FORMAS'!$GW24+3)),IF('DADOS_FORMAS'!$GS24="raio",INDEX('DADOS_FORMAS'!$GN$2:$GN$6,MIN(5,'DADOS_FORMAS'!$GW24+3)),IF('DADOS_FORMAS'!$GS24="comprimento",INDEX('DADOS_FORMAS'!$GP$2:$GP$6,MIN(5,'DADOS_FORMAS'!$GW24+3)),'DADOS_FORMAS'!$GT24)))&amp;'DADOS_FORMAS'!$GV24)),UPPER(LEFT(trecho,1))&amp;MID(trecho,2,LEN(trecho)))</f>
        <v/>
      </c>
      <c r="HD43">
        <f>LET(trecho,IF(OR('DADOS_FORMAS'!$AH15="",'DADOS_FORMAS'!$GR24="",'DADOS_FORMAS'!$GT24=""),"",IF('DADOS_FORMAS'!$GT24="—","—",'DADOS_FORMAS'!$GU24&amp;IF('DADOS_FORMAS'!$GS24="alcance",INDEX('DADOS_FORMAS'!$GL$2:$GL$7,MIN(6,'DADOS_FORMAS'!$GW24+4)),IF('DADOS_FORMAS'!$GS24="raio",INDEX('DADOS_FORMAS'!$GN$2:$GN$6,MIN(5,'DADOS_FORMAS'!$GW24+4)),IF('DADOS_FORMAS'!$GS24="comprimento",INDEX('DADOS_FORMAS'!$GP$2:$GP$6,MIN(5,'DADOS_FORMAS'!$GW24+4)),'DADOS_FORMAS'!$GT24)))&amp;'DADOS_FORMAS'!$GV24)),UPPER(LEFT(trecho,1))&amp;MID(trecho,2,LEN(trecho)))</f>
        <v/>
      </c>
      <c r="HE43">
        <f>LET(trecho,IF(OR('DADOS_FORMAS'!$AH15="",'DADOS_FORMAS'!$GR24="",'DADOS_FORMAS'!$GT24=""),"",IF('DADOS_FORMAS'!$GT24="—","—",'DADOS_FORMAS'!$GU24&amp;IF('DADOS_FORMAS'!$GS24="alcance",INDEX('DADOS_FORMAS'!$GL$2:$GL$7,MIN(6,'DADOS_FORMAS'!$GW24+5)),IF('DADOS_FORMAS'!$GS24="raio",INDEX('DADOS_FORMAS'!$GN$2:$GN$6,MIN(5,'DADOS_FORMAS'!$GW24+5)),IF('DADOS_FORMAS'!$GS24="comprimento",INDEX('DADOS_FORMAS'!$GP$2:$GP$6,MIN(5,'DADOS_FORMAS'!$GW24+5)),'DADOS_FORMAS'!$GT24)))&amp;'DADOS_FORMAS'!$GV24)),UPPER(LEFT(trecho,1))&amp;MID(trecho,2,LEN(trecho)))</f>
        <v/>
      </c>
      <c r="HF43">
        <f>IF(OR('DADOS_FORMAS'!$AH15="",'DADOS_FORMAS'!$GR25="",'DADOS_FORMAS'!$GT25=""),"",IF('DADOS_FORMAS'!$GT25="—","—",'DADOS_FORMAS'!$GU25&amp;'DADOS_FORMAS'!$GT25&amp;'DADOS_FORMAS'!$GV25))</f>
        <v/>
      </c>
      <c r="HG43">
        <f>IF(OR('DADOS_FORMAS'!$AH15="",'DADOS_FORMAS'!$GR25="",'DADOS_FORMAS'!$GT25=""),"",IF('DADOS_FORMAS'!$GT25="—","—",'DADOS_FORMAS'!$GU25&amp;IF('DADOS_FORMAS'!$GS25="alcance",INDEX('DADOS_FORMAS'!$GL$2:$GL$7,MIN(6,'DADOS_FORMAS'!$GW25+1)),IF('DADOS_FORMAS'!$GS25="raio",INDEX('DADOS_FORMAS'!$GN$2:$GN$6,MIN(5,'DADOS_FORMAS'!$GW25+1)),IF('DADOS_FORMAS'!$GS25="comprimento",INDEX('DADOS_FORMAS'!$GP$2:$GP$6,MIN(5,'DADOS_FORMAS'!$GW25+1)),'DADOS_FORMAS'!$GT25)))&amp;'DADOS_FORMAS'!$GV25))</f>
        <v/>
      </c>
      <c r="HH43">
        <f>IF(OR('DADOS_FORMAS'!$AH15="",'DADOS_FORMAS'!$GR25="",'DADOS_FORMAS'!$GT25=""),"",IF('DADOS_FORMAS'!$GT25="—","—",'DADOS_FORMAS'!$GU25&amp;IF('DADOS_FORMAS'!$GS25="alcance",INDEX('DADOS_FORMAS'!$GL$2:$GL$7,MIN(6,'DADOS_FORMAS'!$GW25+2)),IF('DADOS_FORMAS'!$GS25="raio",INDEX('DADOS_FORMAS'!$GN$2:$GN$6,MIN(5,'DADOS_FORMAS'!$GW25+2)),IF('DADOS_FORMAS'!$GS25="comprimento",INDEX('DADOS_FORMAS'!$GP$2:$GP$6,MIN(5,'DADOS_FORMAS'!$GW25+2)),'DADOS_FORMAS'!$GT25)))&amp;'DADOS_FORMAS'!$GV25))</f>
        <v/>
      </c>
      <c r="HI43">
        <f>IF(OR('DADOS_FORMAS'!$AH15="",'DADOS_FORMAS'!$GR25="",'DADOS_FORMAS'!$GT25=""),"",IF('DADOS_FORMAS'!$GT25="—","—",'DADOS_FORMAS'!$GU25&amp;IF('DADOS_FORMAS'!$GS25="alcance",INDEX('DADOS_FORMAS'!$GL$2:$GL$7,MIN(6,'DADOS_FORMAS'!$GW25+3)),IF('DADOS_FORMAS'!$GS25="raio",INDEX('DADOS_FORMAS'!$GN$2:$GN$6,MIN(5,'DADOS_FORMAS'!$GW25+3)),IF('DADOS_FORMAS'!$GS25="comprimento",INDEX('DADOS_FORMAS'!$GP$2:$GP$6,MIN(5,'DADOS_FORMAS'!$GW25+3)),'DADOS_FORMAS'!$GT25)))&amp;'DADOS_FORMAS'!$GV25))</f>
        <v/>
      </c>
      <c r="HJ43">
        <f>IF(OR('DADOS_FORMAS'!$AH15="",'DADOS_FORMAS'!$GR25="",'DADOS_FORMAS'!$GT25=""),"",IF('DADOS_FORMAS'!$GT25="—","—",'DADOS_FORMAS'!$GU25&amp;IF('DADOS_FORMAS'!$GS25="alcance",INDEX('DADOS_FORMAS'!$GL$2:$GL$7,MIN(6,'DADOS_FORMAS'!$GW25+4)),IF('DADOS_FORMAS'!$GS25="raio",INDEX('DADOS_FORMAS'!$GN$2:$GN$6,MIN(5,'DADOS_FORMAS'!$GW25+4)),IF('DADOS_FORMAS'!$GS25="comprimento",INDEX('DADOS_FORMAS'!$GP$2:$GP$6,MIN(5,'DADOS_FORMAS'!$GW25+4)),'DADOS_FORMAS'!$GT25)))&amp;'DADOS_FORMAS'!$GV25))</f>
        <v/>
      </c>
      <c r="HK43">
        <f>IF(OR('DADOS_FORMAS'!$AH15="",'DADOS_FORMAS'!$GR25="",'DADOS_FORMAS'!$GT25=""),"",IF('DADOS_FORMAS'!$GT25="—","—",'DADOS_FORMAS'!$GU25&amp;IF('DADOS_FORMAS'!$GS25="alcance",INDEX('DADOS_FORMAS'!$GL$2:$GL$7,MIN(6,'DADOS_FORMAS'!$GW25+5)),IF('DADOS_FORMAS'!$GS25="raio",INDEX('DADOS_FORMAS'!$GN$2:$GN$6,MIN(5,'DADOS_FORMAS'!$GW25+5)),IF('DADOS_FORMAS'!$GS25="comprimento",INDEX('DADOS_FORMAS'!$GP$2:$GP$6,MIN(5,'DADOS_FORMAS'!$GW25+5)),'DADOS_FORMAS'!$GT25)))&amp;'DADOS_FORMAS'!$GV25))</f>
        <v/>
      </c>
      <c r="HM43">
        <f>'DADOS_FORMAS'!$BP17</f>
        <v/>
      </c>
      <c r="HN43">
        <f>IF('DADOS_FORMAS'!$BP17="area",'DADOS_FORMAS'!$AU17,'DADOS_FORMAS'!$AT17)</f>
        <v/>
      </c>
      <c r="HO43">
        <f>IF('DADOS_FORMAS'!$BP17="area",'DADOS_FORMAS'!$BF17,'DADOS_FORMAS'!$AY17)</f>
        <v/>
      </c>
      <c r="HP43">
        <f>'DADOS_FORMAS'!$BQ17</f>
        <v/>
      </c>
      <c r="HQ43">
        <f>'DADOS_FORMAS'!$BR17</f>
        <v/>
      </c>
      <c r="HR43">
        <f>LET(base,'DADOS_FORMAS'!$HO43,escada,'DADOS_FORMAS'!$HN43,medida,LEFT(base,MAX(0,LEN(base)-2)),valor,IFERROR(VALUE(SUBSTITUTE(medida,",",""))/10^IFERROR(LEN(medida)-FIND(",",medida),0),1E99),IF(OR(escada="Fixo",base="—"),base,IF(escada="alcance",IFERROR(MATCH(base,{"1,5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3">
        <f>'DADOS_FORMAS'!$AH12&amp;" · classes 1 a 5"</f>
        <v/>
      </c>
      <c r="HU43">
        <f>LET(trecho,IF(OR('DADOS_FORMAS'!$AH12="",'DADOS_FORMAS'!$HM4="",'DADOS_FORMAS'!$HO4=""),"",IF('DADOS_FORMAS'!$HO4="—","—",'DADOS_FORMAS'!$HP4&amp;'DADOS_FORMAS'!$HO4&amp;SUBSTITUTE('DADOS_FORMAS'!$HQ4,"em você","nela"))),UPPER(LEFT(trecho,1))&amp;MID(trecho,2,LEN(trecho)))</f>
        <v/>
      </c>
      <c r="HV43">
        <f>LET(trecho,IF(OR('DADOS_FORMAS'!$AH12="",'DADOS_FORMAS'!$HM4="",'DADOS_FORMAS'!$HO4=""),"",IF('DADOS_FORMAS'!$HO4="—","—",'DADOS_FORMAS'!$HP4&amp;IF('DADOS_FORMAS'!$HN4="alcance",INDEX('DADOS_FORMAS'!$GL$2:$GL$7,MIN(6,'DADOS_FORMAS'!$HR4+1)),IF('DADOS_FORMAS'!$HN4="raio",INDEX('DADOS_FORMAS'!$GN$2:$GN$6,MIN(5,'DADOS_FORMAS'!$HR4+1)),IF('DADOS_FORMAS'!$HN4="comprimento",INDEX('DADOS_FORMAS'!$GP$2:$GP$6,MIN(5,'DADOS_FORMAS'!$HR4+1)),'DADOS_FORMAS'!$HO4)))&amp;SUBSTITUTE('DADOS_FORMAS'!$HQ4,"em você","nela"))),UPPER(LEFT(trecho,1))&amp;MID(trecho,2,LEN(trecho)))</f>
        <v/>
      </c>
      <c r="HW43">
        <f>LET(trecho,IF(OR('DADOS_FORMAS'!$AH12="",'DADOS_FORMAS'!$HM4="",'DADOS_FORMAS'!$HO4=""),"",IF('DADOS_FORMAS'!$HO4="—","—",'DADOS_FORMAS'!$HP4&amp;IF('DADOS_FORMAS'!$HN4="alcance",INDEX('DADOS_FORMAS'!$GL$2:$GL$7,MIN(6,'DADOS_FORMAS'!$HR4+2)),IF('DADOS_FORMAS'!$HN4="raio",INDEX('DADOS_FORMAS'!$GN$2:$GN$6,MIN(5,'DADOS_FORMAS'!$HR4+2)),IF('DADOS_FORMAS'!$HN4="comprimento",INDEX('DADOS_FORMAS'!$GP$2:$GP$6,MIN(5,'DADOS_FORMAS'!$HR4+2)),'DADOS_FORMAS'!$HO4)))&amp;SUBSTITUTE('DADOS_FORMAS'!$HQ4,"em você","nela"))),UPPER(LEFT(trecho,1))&amp;MID(trecho,2,LEN(trecho)))</f>
        <v/>
      </c>
      <c r="HX43">
        <f>LET(trecho,IF(OR('DADOS_FORMAS'!$AH12="",'DADOS_FORMAS'!$HM4="",'DADOS_FORMAS'!$HO4=""),"",IF('DADOS_FORMAS'!$HO4="—","—",'DADOS_FORMAS'!$HP4&amp;IF('DADOS_FORMAS'!$HN4="alcance",INDEX('DADOS_FORMAS'!$GL$2:$GL$7,MIN(6,'DADOS_FORMAS'!$HR4+3)),IF('DADOS_FORMAS'!$HN4="raio",INDEX('DADOS_FORMAS'!$GN$2:$GN$6,MIN(5,'DADOS_FORMAS'!$HR4+3)),IF('DADOS_FORMAS'!$HN4="comprimento",INDEX('DADOS_FORMAS'!$GP$2:$GP$6,MIN(5,'DADOS_FORMAS'!$HR4+3)),'DADOS_FORMAS'!$HO4)))&amp;SUBSTITUTE('DADOS_FORMAS'!$HQ4,"em você","nela"))),UPPER(LEFT(trecho,1))&amp;MID(trecho,2,LEN(trecho)))</f>
        <v/>
      </c>
      <c r="HY43">
        <f>LET(trecho,IF(OR('DADOS_FORMAS'!$AH12="",'DADOS_FORMAS'!$HM4="",'DADOS_FORMAS'!$HO4=""),"",IF('DADOS_FORMAS'!$HO4="—","—",'DADOS_FORMAS'!$HP4&amp;IF('DADOS_FORMAS'!$HN4="alcance",INDEX('DADOS_FORMAS'!$GL$2:$GL$7,MIN(6,'DADOS_FORMAS'!$HR4+4)),IF('DADOS_FORMAS'!$HN4="raio",INDEX('DADOS_FORMAS'!$GN$2:$GN$6,MIN(5,'DADOS_FORMAS'!$HR4+4)),IF('DADOS_FORMAS'!$HN4="comprimento",INDEX('DADOS_FORMAS'!$GP$2:$GP$6,MIN(5,'DADOS_FORMAS'!$HR4+4)),'DADOS_FORMAS'!$HO4)))&amp;SUBSTITUTE('DADOS_FORMAS'!$HQ4,"em você","nela"))),UPPER(LEFT(trecho,1))&amp;MID(trecho,2,LEN(trecho)))</f>
        <v/>
      </c>
      <c r="HZ43">
        <f>LET(trecho,IF(OR('DADOS_FORMAS'!$AH12="",'DADOS_FORMAS'!$HM4="",'DADOS_FORMAS'!$HO4=""),"",IF('DADOS_FORMAS'!$HO4="—","—",'DADOS_FORMAS'!$HP4&amp;IF('DADOS_FORMAS'!$HN4="alcance",INDEX('DADOS_FORMAS'!$GL$2:$GL$7,MIN(6,'DADOS_FORMAS'!$HR4+5)),IF('DADOS_FORMAS'!$HN4="raio",INDEX('DADOS_FORMAS'!$GN$2:$GN$6,MIN(5,'DADOS_FORMAS'!$HR4+5)),IF('DADOS_FORMAS'!$HN4="comprimento",INDEX('DADOS_FORMAS'!$GP$2:$GP$6,MIN(5,'DADOS_FORMAS'!$HR4+5)),'DADOS_FORMAS'!$HO4)))&amp;SUBSTITUTE('DADOS_FORMAS'!$HQ4,"em você","nela"))),UPPER(LEFT(trecho,1))&amp;MID(trecho,2,LEN(trecho)))</f>
        <v/>
      </c>
      <c r="IA43">
        <f>IF(OR('DADOS_FORMAS'!$AH12="",'DADOS_FORMAS'!$HM5="",'DADOS_FORMAS'!$HO5=""),"",IF('DADOS_FORMAS'!$HO5="—","—",'DADOS_FORMAS'!$HP5&amp;'DADOS_FORMAS'!$HO5&amp;SUBSTITUTE('DADOS_FORMAS'!$HQ5,"em você","nela")))</f>
        <v/>
      </c>
      <c r="IB43">
        <f>IF(OR('DADOS_FORMAS'!$AH12="",'DADOS_FORMAS'!$HM5="",'DADOS_FORMAS'!$HO5=""),"",IF('DADOS_FORMAS'!$HO5="—","—",'DADOS_FORMAS'!$HP5&amp;IF('DADOS_FORMAS'!$HN5="alcance",INDEX('DADOS_FORMAS'!$GL$2:$GL$7,MIN(6,'DADOS_FORMAS'!$HR5+1)),IF('DADOS_FORMAS'!$HN5="raio",INDEX('DADOS_FORMAS'!$GN$2:$GN$6,MIN(5,'DADOS_FORMAS'!$HR5+1)),IF('DADOS_FORMAS'!$HN5="comprimento",INDEX('DADOS_FORMAS'!$GP$2:$GP$6,MIN(5,'DADOS_FORMAS'!$HR5+1)),'DADOS_FORMAS'!$HO5)))&amp;SUBSTITUTE('DADOS_FORMAS'!$HQ5,"em você","nela")))</f>
        <v/>
      </c>
      <c r="IC43">
        <f>IF(OR('DADOS_FORMAS'!$AH12="",'DADOS_FORMAS'!$HM5="",'DADOS_FORMAS'!$HO5=""),"",IF('DADOS_FORMAS'!$HO5="—","—",'DADOS_FORMAS'!$HP5&amp;IF('DADOS_FORMAS'!$HN5="alcance",INDEX('DADOS_FORMAS'!$GL$2:$GL$7,MIN(6,'DADOS_FORMAS'!$HR5+2)),IF('DADOS_FORMAS'!$HN5="raio",INDEX('DADOS_FORMAS'!$GN$2:$GN$6,MIN(5,'DADOS_FORMAS'!$HR5+2)),IF('DADOS_FORMAS'!$HN5="comprimento",INDEX('DADOS_FORMAS'!$GP$2:$GP$6,MIN(5,'DADOS_FORMAS'!$HR5+2)),'DADOS_FORMAS'!$HO5)))&amp;SUBSTITUTE('DADOS_FORMAS'!$HQ5,"em você","nela")))</f>
        <v/>
      </c>
      <c r="ID43">
        <f>IF(OR('DADOS_FORMAS'!$AH12="",'DADOS_FORMAS'!$HM5="",'DADOS_FORMAS'!$HO5=""),"",IF('DADOS_FORMAS'!$HO5="—","—",'DADOS_FORMAS'!$HP5&amp;IF('DADOS_FORMAS'!$HN5="alcance",INDEX('DADOS_FORMAS'!$GL$2:$GL$7,MIN(6,'DADOS_FORMAS'!$HR5+3)),IF('DADOS_FORMAS'!$HN5="raio",INDEX('DADOS_FORMAS'!$GN$2:$GN$6,MIN(5,'DADOS_FORMAS'!$HR5+3)),IF('DADOS_FORMAS'!$HN5="comprimento",INDEX('DADOS_FORMAS'!$GP$2:$GP$6,MIN(5,'DADOS_FORMAS'!$HR5+3)),'DADOS_FORMAS'!$HO5)))&amp;SUBSTITUTE('DADOS_FORMAS'!$HQ5,"em você","nela")))</f>
        <v/>
      </c>
      <c r="IE43">
        <f>IF(OR('DADOS_FORMAS'!$AH12="",'DADOS_FORMAS'!$HM5="",'DADOS_FORMAS'!$HO5=""),"",IF('DADOS_FORMAS'!$HO5="—","—",'DADOS_FORMAS'!$HP5&amp;IF('DADOS_FORMAS'!$HN5="alcance",INDEX('DADOS_FORMAS'!$GL$2:$GL$7,MIN(6,'DADOS_FORMAS'!$HR5+4)),IF('DADOS_FORMAS'!$HN5="raio",INDEX('DADOS_FORMAS'!$GN$2:$GN$6,MIN(5,'DADOS_FORMAS'!$HR5+4)),IF('DADOS_FORMAS'!$HN5="comprimento",INDEX('DADOS_FORMAS'!$GP$2:$GP$6,MIN(5,'DADOS_FORMAS'!$HR5+4)),'DADOS_FORMAS'!$HO5)))&amp;SUBSTITUTE('DADOS_FORMAS'!$HQ5,"em você","nela")))</f>
        <v/>
      </c>
      <c r="IF43">
        <f>IF(OR('DADOS_FORMAS'!$AH12="",'DADOS_FORMAS'!$HM5="",'DADOS_FORMAS'!$HO5=""),"",IF('DADOS_FORMAS'!$HO5="—","—",'DADOS_FORMAS'!$HP5&amp;IF('DADOS_FORMAS'!$HN5="alcance",INDEX('DADOS_FORMAS'!$GL$2:$GL$7,MIN(6,'DADOS_FORMAS'!$HR5+5)),IF('DADOS_FORMAS'!$HN5="raio",INDEX('DADOS_FORMAS'!$GN$2:$GN$6,MIN(5,'DADOS_FORMAS'!$HR5+5)),IF('DADOS_FORMAS'!$HN5="comprimento",INDEX('DADOS_FORMAS'!$GP$2:$GP$6,MIN(5,'DADOS_FORMAS'!$HR5+5)),'DADOS_FORMAS'!$HO5)))&amp;SUBSTITUTE('DADOS_FORMAS'!$HQ5,"em você","nela")))</f>
        <v/>
      </c>
      <c r="KA43">
        <f>IFERROR(INDEX(INDEX('DADOS_RESTRICOES'!$M$2:$Q$54,0,1),41),"")</f>
        <v/>
      </c>
    </row>
    <row r="44">
      <c r="GR44">
        <f>'DADOS_FORMAS'!$BL19</f>
        <v/>
      </c>
      <c r="GS44">
        <f>IF('DADOS_FORMAS'!$BL19="area",'DADOS_FORMAS'!$AU19,'DADOS_FORMAS'!$AT19)</f>
        <v/>
      </c>
      <c r="GT44">
        <f>IF('DADOS_FORMAS'!$BL19="area",'DADOS_FORMAS'!$BC19,'DADOS_FORMAS'!$AV19)</f>
        <v/>
      </c>
      <c r="GU44">
        <f>'DADOS_FORMAS'!$BM19</f>
        <v/>
      </c>
      <c r="GV44">
        <f>'DADOS_FORMAS'!$BN19</f>
        <v/>
      </c>
      <c r="GW44">
        <f>LET(base,'DADOS_FORMAS'!$GT44,escada,'DADOS_FORMAS'!$GS44,medida,LEFT(base,MAX(0,LEN(base)-2)),valor,IFERROR(VALUE(SUBSTITUTE(medida,",",""))/10^IFERROR(LEN(medida)-FIND(",",medida),0),1E99),IF(OR(escada="Fixo",base="—"),base,IF(escada="alcance",IFERROR(MATCH(base,{"1,5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4">
        <f>'DADOS_FORMAS'!$AH16&amp;" · classe 0"</f>
        <v/>
      </c>
      <c r="GZ44">
        <f>LET(trecho,IF(OR('DADOS_FORMAS'!$AH16="",'DADOS_FORMAS'!$GR26="",'DADOS_FORMAS'!$GT26=""),"",IF('DADOS_FORMAS'!$GT26="—","—",'DADOS_FORMAS'!$GU26&amp;'DADOS_FORMAS'!$GT26&amp;'DADOS_FORMAS'!$GV26)),UPPER(LEFT(trecho,1))&amp;MID(trecho,2,LEN(trecho)))</f>
        <v/>
      </c>
      <c r="HA44">
        <f>LET(trecho,IF(OR('DADOS_FORMAS'!$AH16="",'DADOS_FORMAS'!$GR26="",'DADOS_FORMAS'!$GT26=""),"",IF('DADOS_FORMAS'!$GT26="—","—",'DADOS_FORMAS'!$GU26&amp;IF('DADOS_FORMAS'!$GS26="alcance",INDEX('DADOS_FORMAS'!$GL$2:$GL$7,MIN(6,'DADOS_FORMAS'!$GW26+1)),IF('DADOS_FORMAS'!$GS26="raio",INDEX('DADOS_FORMAS'!$GN$2:$GN$6,MIN(5,'DADOS_FORMAS'!$GW26+1)),IF('DADOS_FORMAS'!$GS26="comprimento",INDEX('DADOS_FORMAS'!$GP$2:$GP$6,MIN(5,'DADOS_FORMAS'!$GW26+1)),'DADOS_FORMAS'!$GT26)))&amp;'DADOS_FORMAS'!$GV26)),UPPER(LEFT(trecho,1))&amp;MID(trecho,2,LEN(trecho)))</f>
        <v/>
      </c>
      <c r="HB44">
        <f>LET(trecho,IF(OR('DADOS_FORMAS'!$AH16="",'DADOS_FORMAS'!$GR26="",'DADOS_FORMAS'!$GT26=""),"",IF('DADOS_FORMAS'!$GT26="—","—",'DADOS_FORMAS'!$GU26&amp;IF('DADOS_FORMAS'!$GS26="alcance",INDEX('DADOS_FORMAS'!$GL$2:$GL$7,MIN(6,'DADOS_FORMAS'!$GW26+2)),IF('DADOS_FORMAS'!$GS26="raio",INDEX('DADOS_FORMAS'!$GN$2:$GN$6,MIN(5,'DADOS_FORMAS'!$GW26+2)),IF('DADOS_FORMAS'!$GS26="comprimento",INDEX('DADOS_FORMAS'!$GP$2:$GP$6,MIN(5,'DADOS_FORMAS'!$GW26+2)),'DADOS_FORMAS'!$GT26)))&amp;'DADOS_FORMAS'!$GV26)),UPPER(LEFT(trecho,1))&amp;MID(trecho,2,LEN(trecho)))</f>
        <v/>
      </c>
      <c r="HC44">
        <f>LET(trecho,IF(OR('DADOS_FORMAS'!$AH16="",'DADOS_FORMAS'!$GR26="",'DADOS_FORMAS'!$GT26=""),"",IF('DADOS_FORMAS'!$GT26="—","—",'DADOS_FORMAS'!$GU26&amp;IF('DADOS_FORMAS'!$GS26="alcance",INDEX('DADOS_FORMAS'!$GL$2:$GL$7,MIN(6,'DADOS_FORMAS'!$GW26+3)),IF('DADOS_FORMAS'!$GS26="raio",INDEX('DADOS_FORMAS'!$GN$2:$GN$6,MIN(5,'DADOS_FORMAS'!$GW26+3)),IF('DADOS_FORMAS'!$GS26="comprimento",INDEX('DADOS_FORMAS'!$GP$2:$GP$6,MIN(5,'DADOS_FORMAS'!$GW26+3)),'DADOS_FORMAS'!$GT26)))&amp;'DADOS_FORMAS'!$GV26)),UPPER(LEFT(trecho,1))&amp;MID(trecho,2,LEN(trecho)))</f>
        <v/>
      </c>
      <c r="HD44">
        <f>LET(trecho,IF(OR('DADOS_FORMAS'!$AH16="",'DADOS_FORMAS'!$GR26="",'DADOS_FORMAS'!$GT26=""),"",IF('DADOS_FORMAS'!$GT26="—","—",'DADOS_FORMAS'!$GU26&amp;IF('DADOS_FORMAS'!$GS26="alcance",INDEX('DADOS_FORMAS'!$GL$2:$GL$7,MIN(6,'DADOS_FORMAS'!$GW26+4)),IF('DADOS_FORMAS'!$GS26="raio",INDEX('DADOS_FORMAS'!$GN$2:$GN$6,MIN(5,'DADOS_FORMAS'!$GW26+4)),IF('DADOS_FORMAS'!$GS26="comprimento",INDEX('DADOS_FORMAS'!$GP$2:$GP$6,MIN(5,'DADOS_FORMAS'!$GW26+4)),'DADOS_FORMAS'!$GT26)))&amp;'DADOS_FORMAS'!$GV26)),UPPER(LEFT(trecho,1))&amp;MID(trecho,2,LEN(trecho)))</f>
        <v/>
      </c>
      <c r="HE44">
        <f>LET(trecho,IF(OR('DADOS_FORMAS'!$AH16="",'DADOS_FORMAS'!$GR26="",'DADOS_FORMAS'!$GT26=""),"",IF('DADOS_FORMAS'!$GT26="—","—",'DADOS_FORMAS'!$GU26&amp;IF('DADOS_FORMAS'!$GS26="alcance",INDEX('DADOS_FORMAS'!$GL$2:$GL$7,MIN(6,'DADOS_FORMAS'!$GW26+5)),IF('DADOS_FORMAS'!$GS26="raio",INDEX('DADOS_FORMAS'!$GN$2:$GN$6,MIN(5,'DADOS_FORMAS'!$GW26+5)),IF('DADOS_FORMAS'!$GS26="comprimento",INDEX('DADOS_FORMAS'!$GP$2:$GP$6,MIN(5,'DADOS_FORMAS'!$GW26+5)),'DADOS_FORMAS'!$GT26)))&amp;'DADOS_FORMAS'!$GV26)),UPPER(LEFT(trecho,1))&amp;MID(trecho,2,LEN(trecho)))</f>
        <v/>
      </c>
      <c r="HF44">
        <f>IF(OR('DADOS_FORMAS'!$AH16="",'DADOS_FORMAS'!$GR27="",'DADOS_FORMAS'!$GT27=""),"",IF('DADOS_FORMAS'!$GT27="—","—",'DADOS_FORMAS'!$GU27&amp;'DADOS_FORMAS'!$GT27&amp;'DADOS_FORMAS'!$GV27))</f>
        <v/>
      </c>
      <c r="HG44">
        <f>IF(OR('DADOS_FORMAS'!$AH16="",'DADOS_FORMAS'!$GR27="",'DADOS_FORMAS'!$GT27=""),"",IF('DADOS_FORMAS'!$GT27="—","—",'DADOS_FORMAS'!$GU27&amp;IF('DADOS_FORMAS'!$GS27="alcance",INDEX('DADOS_FORMAS'!$GL$2:$GL$7,MIN(6,'DADOS_FORMAS'!$GW27+1)),IF('DADOS_FORMAS'!$GS27="raio",INDEX('DADOS_FORMAS'!$GN$2:$GN$6,MIN(5,'DADOS_FORMAS'!$GW27+1)),IF('DADOS_FORMAS'!$GS27="comprimento",INDEX('DADOS_FORMAS'!$GP$2:$GP$6,MIN(5,'DADOS_FORMAS'!$GW27+1)),'DADOS_FORMAS'!$GT27)))&amp;'DADOS_FORMAS'!$GV27))</f>
        <v/>
      </c>
      <c r="HH44">
        <f>IF(OR('DADOS_FORMAS'!$AH16="",'DADOS_FORMAS'!$GR27="",'DADOS_FORMAS'!$GT27=""),"",IF('DADOS_FORMAS'!$GT27="—","—",'DADOS_FORMAS'!$GU27&amp;IF('DADOS_FORMAS'!$GS27="alcance",INDEX('DADOS_FORMAS'!$GL$2:$GL$7,MIN(6,'DADOS_FORMAS'!$GW27+2)),IF('DADOS_FORMAS'!$GS27="raio",INDEX('DADOS_FORMAS'!$GN$2:$GN$6,MIN(5,'DADOS_FORMAS'!$GW27+2)),IF('DADOS_FORMAS'!$GS27="comprimento",INDEX('DADOS_FORMAS'!$GP$2:$GP$6,MIN(5,'DADOS_FORMAS'!$GW27+2)),'DADOS_FORMAS'!$GT27)))&amp;'DADOS_FORMAS'!$GV27))</f>
        <v/>
      </c>
      <c r="HI44">
        <f>IF(OR('DADOS_FORMAS'!$AH16="",'DADOS_FORMAS'!$GR27="",'DADOS_FORMAS'!$GT27=""),"",IF('DADOS_FORMAS'!$GT27="—","—",'DADOS_FORMAS'!$GU27&amp;IF('DADOS_FORMAS'!$GS27="alcance",INDEX('DADOS_FORMAS'!$GL$2:$GL$7,MIN(6,'DADOS_FORMAS'!$GW27+3)),IF('DADOS_FORMAS'!$GS27="raio",INDEX('DADOS_FORMAS'!$GN$2:$GN$6,MIN(5,'DADOS_FORMAS'!$GW27+3)),IF('DADOS_FORMAS'!$GS27="comprimento",INDEX('DADOS_FORMAS'!$GP$2:$GP$6,MIN(5,'DADOS_FORMAS'!$GW27+3)),'DADOS_FORMAS'!$GT27)))&amp;'DADOS_FORMAS'!$GV27))</f>
        <v/>
      </c>
      <c r="HJ44">
        <f>IF(OR('DADOS_FORMAS'!$AH16="",'DADOS_FORMAS'!$GR27="",'DADOS_FORMAS'!$GT27=""),"",IF('DADOS_FORMAS'!$GT27="—","—",'DADOS_FORMAS'!$GU27&amp;IF('DADOS_FORMAS'!$GS27="alcance",INDEX('DADOS_FORMAS'!$GL$2:$GL$7,MIN(6,'DADOS_FORMAS'!$GW27+4)),IF('DADOS_FORMAS'!$GS27="raio",INDEX('DADOS_FORMAS'!$GN$2:$GN$6,MIN(5,'DADOS_FORMAS'!$GW27+4)),IF('DADOS_FORMAS'!$GS27="comprimento",INDEX('DADOS_FORMAS'!$GP$2:$GP$6,MIN(5,'DADOS_FORMAS'!$GW27+4)),'DADOS_FORMAS'!$GT27)))&amp;'DADOS_FORMAS'!$GV27))</f>
        <v/>
      </c>
      <c r="HK44">
        <f>IF(OR('DADOS_FORMAS'!$AH16="",'DADOS_FORMAS'!$GR27="",'DADOS_FORMAS'!$GT27=""),"",IF('DADOS_FORMAS'!$GT27="—","—",'DADOS_FORMAS'!$GU27&amp;IF('DADOS_FORMAS'!$GS27="alcance",INDEX('DADOS_FORMAS'!$GL$2:$GL$7,MIN(6,'DADOS_FORMAS'!$GW27+5)),IF('DADOS_FORMAS'!$GS27="raio",INDEX('DADOS_FORMAS'!$GN$2:$GN$6,MIN(5,'DADOS_FORMAS'!$GW27+5)),IF('DADOS_FORMAS'!$GS27="comprimento",INDEX('DADOS_FORMAS'!$GP$2:$GP$6,MIN(5,'DADOS_FORMAS'!$GW27+5)),'DADOS_FORMAS'!$GT27)))&amp;'DADOS_FORMAS'!$GV27))</f>
        <v/>
      </c>
      <c r="HM44">
        <f>'DADOS_FORMAS'!$BL17</f>
        <v/>
      </c>
      <c r="HN44">
        <f>IF('DADOS_FORMAS'!$BL17="area",'DADOS_FORMAS'!$AU17,'DADOS_FORMAS'!$AT17)</f>
        <v/>
      </c>
      <c r="HO44">
        <f>IF('DADOS_FORMAS'!$BL17="area",'DADOS_FORMAS'!$BG17,'DADOS_FORMAS'!$AZ17)</f>
        <v/>
      </c>
      <c r="HP44">
        <f>'DADOS_FORMAS'!$BM17</f>
        <v/>
      </c>
      <c r="HQ44">
        <f>'DADOS_FORMAS'!$BN17</f>
        <v/>
      </c>
      <c r="HR44">
        <f>LET(base,'DADOS_FORMAS'!$HO44,escada,'DADOS_FORMAS'!$HN44,medida,LEFT(base,MAX(0,LEN(base)-2)),valor,IFERROR(VALUE(SUBSTITUTE(medida,",",""))/10^IFERROR(LEN(medida)-FIND(",",medida),0),1E99),IF(OR(escada="Fixo",base="—"),base,IF(escada="alcance",IFERROR(MATCH(base,{"1,5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4">
        <f>'DADOS_FORMAS'!$AH12&amp;" · classe 6"</f>
        <v/>
      </c>
      <c r="HU44">
        <f>LET(trecho,IF(OR('DADOS_FORMAS'!$AH12="",'DADOS_FORMAS'!$HM6="",'DADOS_FORMAS'!$HO6=""),"",IF('DADOS_FORMAS'!$HO6="—","—",'DADOS_FORMAS'!$HP6&amp;'DADOS_FORMAS'!$HO6&amp;SUBSTITUTE('DADOS_FORMAS'!$HQ6,"em você","nela"))),UPPER(LEFT(trecho,1))&amp;MID(trecho,2,LEN(trecho)))</f>
        <v/>
      </c>
      <c r="HV44">
        <f>LET(trecho,IF(OR('DADOS_FORMAS'!$AH12="",'DADOS_FORMAS'!$HM6="",'DADOS_FORMAS'!$HO6=""),"",IF('DADOS_FORMAS'!$HO6="—","—",'DADOS_FORMAS'!$HP6&amp;IF('DADOS_FORMAS'!$HN6="alcance",INDEX('DADOS_FORMAS'!$GL$2:$GL$7,MIN(6,'DADOS_FORMAS'!$HR6+1)),IF('DADOS_FORMAS'!$HN6="raio",INDEX('DADOS_FORMAS'!$GN$2:$GN$6,MIN(5,'DADOS_FORMAS'!$HR6+1)),IF('DADOS_FORMAS'!$HN6="comprimento",INDEX('DADOS_FORMAS'!$GP$2:$GP$6,MIN(5,'DADOS_FORMAS'!$HR6+1)),'DADOS_FORMAS'!$HO6)))&amp;SUBSTITUTE('DADOS_FORMAS'!$HQ6,"em você","nela"))),UPPER(LEFT(trecho,1))&amp;MID(trecho,2,LEN(trecho)))</f>
        <v/>
      </c>
      <c r="HW44">
        <f>LET(trecho,IF(OR('DADOS_FORMAS'!$AH12="",'DADOS_FORMAS'!$HM6="",'DADOS_FORMAS'!$HO6=""),"",IF('DADOS_FORMAS'!$HO6="—","—",'DADOS_FORMAS'!$HP6&amp;IF('DADOS_FORMAS'!$HN6="alcance",INDEX('DADOS_FORMAS'!$GL$2:$GL$7,MIN(6,'DADOS_FORMAS'!$HR6+2)),IF('DADOS_FORMAS'!$HN6="raio",INDEX('DADOS_FORMAS'!$GN$2:$GN$6,MIN(5,'DADOS_FORMAS'!$HR6+2)),IF('DADOS_FORMAS'!$HN6="comprimento",INDEX('DADOS_FORMAS'!$GP$2:$GP$6,MIN(5,'DADOS_FORMAS'!$HR6+2)),'DADOS_FORMAS'!$HO6)))&amp;SUBSTITUTE('DADOS_FORMAS'!$HQ6,"em você","nela"))),UPPER(LEFT(trecho,1))&amp;MID(trecho,2,LEN(trecho)))</f>
        <v/>
      </c>
      <c r="HX44">
        <f>LET(trecho,IF(OR('DADOS_FORMAS'!$AH12="",'DADOS_FORMAS'!$HM6="",'DADOS_FORMAS'!$HO6=""),"",IF('DADOS_FORMAS'!$HO6="—","—",'DADOS_FORMAS'!$HP6&amp;IF('DADOS_FORMAS'!$HN6="alcance",INDEX('DADOS_FORMAS'!$GL$2:$GL$7,MIN(6,'DADOS_FORMAS'!$HR6+3)),IF('DADOS_FORMAS'!$HN6="raio",INDEX('DADOS_FORMAS'!$GN$2:$GN$6,MIN(5,'DADOS_FORMAS'!$HR6+3)),IF('DADOS_FORMAS'!$HN6="comprimento",INDEX('DADOS_FORMAS'!$GP$2:$GP$6,MIN(5,'DADOS_FORMAS'!$HR6+3)),'DADOS_FORMAS'!$HO6)))&amp;SUBSTITUTE('DADOS_FORMAS'!$HQ6,"em você","nela"))),UPPER(LEFT(trecho,1))&amp;MID(trecho,2,LEN(trecho)))</f>
        <v/>
      </c>
      <c r="HY44">
        <f>LET(trecho,IF(OR('DADOS_FORMAS'!$AH12="",'DADOS_FORMAS'!$HM6="",'DADOS_FORMAS'!$HO6=""),"",IF('DADOS_FORMAS'!$HO6="—","—",'DADOS_FORMAS'!$HP6&amp;IF('DADOS_FORMAS'!$HN6="alcance",INDEX('DADOS_FORMAS'!$GL$2:$GL$7,MIN(6,'DADOS_FORMAS'!$HR6+4)),IF('DADOS_FORMAS'!$HN6="raio",INDEX('DADOS_FORMAS'!$GN$2:$GN$6,MIN(5,'DADOS_FORMAS'!$HR6+4)),IF('DADOS_FORMAS'!$HN6="comprimento",INDEX('DADOS_FORMAS'!$GP$2:$GP$6,MIN(5,'DADOS_FORMAS'!$HR6+4)),'DADOS_FORMAS'!$HO6)))&amp;SUBSTITUTE('DADOS_FORMAS'!$HQ6,"em você","nela"))),UPPER(LEFT(trecho,1))&amp;MID(trecho,2,LEN(trecho)))</f>
        <v/>
      </c>
      <c r="HZ44">
        <f>LET(trecho,IF(OR('DADOS_FORMAS'!$AH12="",'DADOS_FORMAS'!$HM6="",'DADOS_FORMAS'!$HO6=""),"",IF('DADOS_FORMAS'!$HO6="—","—",'DADOS_FORMAS'!$HP6&amp;IF('DADOS_FORMAS'!$HN6="alcance",INDEX('DADOS_FORMAS'!$GL$2:$GL$7,MIN(6,'DADOS_FORMAS'!$HR6+5)),IF('DADOS_FORMAS'!$HN6="raio",INDEX('DADOS_FORMAS'!$GN$2:$GN$6,MIN(5,'DADOS_FORMAS'!$HR6+5)),IF('DADOS_FORMAS'!$HN6="comprimento",INDEX('DADOS_FORMAS'!$GP$2:$GP$6,MIN(5,'DADOS_FORMAS'!$HR6+5)),'DADOS_FORMAS'!$HO6)))&amp;SUBSTITUTE('DADOS_FORMAS'!$HQ6,"em você","nela"))),UPPER(LEFT(trecho,1))&amp;MID(trecho,2,LEN(trecho)))</f>
        <v/>
      </c>
      <c r="IA44">
        <f>IF(OR('DADOS_FORMAS'!$AH12="",'DADOS_FORMAS'!$HM7="",'DADOS_FORMAS'!$HO7=""),"",IF('DADOS_FORMAS'!$HO7="—","—",'DADOS_FORMAS'!$HP7&amp;'DADOS_FORMAS'!$HO7&amp;SUBSTITUTE('DADOS_FORMAS'!$HQ7,"em você","nela")))</f>
        <v/>
      </c>
      <c r="IB44">
        <f>IF(OR('DADOS_FORMAS'!$AH12="",'DADOS_FORMAS'!$HM7="",'DADOS_FORMAS'!$HO7=""),"",IF('DADOS_FORMAS'!$HO7="—","—",'DADOS_FORMAS'!$HP7&amp;IF('DADOS_FORMAS'!$HN7="alcance",INDEX('DADOS_FORMAS'!$GL$2:$GL$7,MIN(6,'DADOS_FORMAS'!$HR7+1)),IF('DADOS_FORMAS'!$HN7="raio",INDEX('DADOS_FORMAS'!$GN$2:$GN$6,MIN(5,'DADOS_FORMAS'!$HR7+1)),IF('DADOS_FORMAS'!$HN7="comprimento",INDEX('DADOS_FORMAS'!$GP$2:$GP$6,MIN(5,'DADOS_FORMAS'!$HR7+1)),'DADOS_FORMAS'!$HO7)))&amp;SUBSTITUTE('DADOS_FORMAS'!$HQ7,"em você","nela")))</f>
        <v/>
      </c>
      <c r="IC44">
        <f>IF(OR('DADOS_FORMAS'!$AH12="",'DADOS_FORMAS'!$HM7="",'DADOS_FORMAS'!$HO7=""),"",IF('DADOS_FORMAS'!$HO7="—","—",'DADOS_FORMAS'!$HP7&amp;IF('DADOS_FORMAS'!$HN7="alcance",INDEX('DADOS_FORMAS'!$GL$2:$GL$7,MIN(6,'DADOS_FORMAS'!$HR7+2)),IF('DADOS_FORMAS'!$HN7="raio",INDEX('DADOS_FORMAS'!$GN$2:$GN$6,MIN(5,'DADOS_FORMAS'!$HR7+2)),IF('DADOS_FORMAS'!$HN7="comprimento",INDEX('DADOS_FORMAS'!$GP$2:$GP$6,MIN(5,'DADOS_FORMAS'!$HR7+2)),'DADOS_FORMAS'!$HO7)))&amp;SUBSTITUTE('DADOS_FORMAS'!$HQ7,"em você","nela")))</f>
        <v/>
      </c>
      <c r="ID44">
        <f>IF(OR('DADOS_FORMAS'!$AH12="",'DADOS_FORMAS'!$HM7="",'DADOS_FORMAS'!$HO7=""),"",IF('DADOS_FORMAS'!$HO7="—","—",'DADOS_FORMAS'!$HP7&amp;IF('DADOS_FORMAS'!$HN7="alcance",INDEX('DADOS_FORMAS'!$GL$2:$GL$7,MIN(6,'DADOS_FORMAS'!$HR7+3)),IF('DADOS_FORMAS'!$HN7="raio",INDEX('DADOS_FORMAS'!$GN$2:$GN$6,MIN(5,'DADOS_FORMAS'!$HR7+3)),IF('DADOS_FORMAS'!$HN7="comprimento",INDEX('DADOS_FORMAS'!$GP$2:$GP$6,MIN(5,'DADOS_FORMAS'!$HR7+3)),'DADOS_FORMAS'!$HO7)))&amp;SUBSTITUTE('DADOS_FORMAS'!$HQ7,"em você","nela")))</f>
        <v/>
      </c>
      <c r="IE44">
        <f>IF(OR('DADOS_FORMAS'!$AH12="",'DADOS_FORMAS'!$HM7="",'DADOS_FORMAS'!$HO7=""),"",IF('DADOS_FORMAS'!$HO7="—","—",'DADOS_FORMAS'!$HP7&amp;IF('DADOS_FORMAS'!$HN7="alcance",INDEX('DADOS_FORMAS'!$GL$2:$GL$7,MIN(6,'DADOS_FORMAS'!$HR7+4)),IF('DADOS_FORMAS'!$HN7="raio",INDEX('DADOS_FORMAS'!$GN$2:$GN$6,MIN(5,'DADOS_FORMAS'!$HR7+4)),IF('DADOS_FORMAS'!$HN7="comprimento",INDEX('DADOS_FORMAS'!$GP$2:$GP$6,MIN(5,'DADOS_FORMAS'!$HR7+4)),'DADOS_FORMAS'!$HO7)))&amp;SUBSTITUTE('DADOS_FORMAS'!$HQ7,"em você","nela")))</f>
        <v/>
      </c>
      <c r="IF44">
        <f>IF(OR('DADOS_FORMAS'!$AH12="",'DADOS_FORMAS'!$HM7="",'DADOS_FORMAS'!$HO7=""),"",IF('DADOS_FORMAS'!$HO7="—","—",'DADOS_FORMAS'!$HP7&amp;IF('DADOS_FORMAS'!$HN7="alcance",INDEX('DADOS_FORMAS'!$GL$2:$GL$7,MIN(6,'DADOS_FORMAS'!$HR7+5)),IF('DADOS_FORMAS'!$HN7="raio",INDEX('DADOS_FORMAS'!$GN$2:$GN$6,MIN(5,'DADOS_FORMAS'!$HR7+5)),IF('DADOS_FORMAS'!$HN7="comprimento",INDEX('DADOS_FORMAS'!$GP$2:$GP$6,MIN(5,'DADOS_FORMAS'!$HR7+5)),'DADOS_FORMAS'!$HO7)))&amp;SUBSTITUTE('DADOS_FORMAS'!$HQ7,"em você","nela")))</f>
        <v/>
      </c>
      <c r="KA44">
        <f>IFERROR(INDEX(INDEX('DADOS_RESTRICOES'!$M$2:$Q$54,0,1),42),"")</f>
        <v/>
      </c>
    </row>
    <row r="45">
      <c r="GR45">
        <f>'DADOS_FORMAS'!$BP19</f>
        <v/>
      </c>
      <c r="GS45">
        <f>IF('DADOS_FORMAS'!$BP19="area",'DADOS_FORMAS'!$AU19,'DADOS_FORMAS'!$AT19)</f>
        <v/>
      </c>
      <c r="GT45">
        <f>IF('DADOS_FORMAS'!$BP19="area",'DADOS_FORMAS'!$BC19,'DADOS_FORMAS'!$AV19)</f>
        <v/>
      </c>
      <c r="GU45">
        <f>'DADOS_FORMAS'!$BQ19</f>
        <v/>
      </c>
      <c r="GV45">
        <f>'DADOS_FORMAS'!$BR19</f>
        <v/>
      </c>
      <c r="GW45">
        <f>LET(base,'DADOS_FORMAS'!$GT45,escada,'DADOS_FORMAS'!$GS45,medida,LEFT(base,MAX(0,LEN(base)-2)),valor,IFERROR(VALUE(SUBSTITUTE(medida,",",""))/10^IFERROR(LEN(medida)-FIND(",",medida),0),1E99),IF(OR(escada="Fixo",base="—"),base,IF(escada="alcance",IFERROR(MATCH(base,{"1,5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5">
        <f>'DADOS_FORMAS'!$AH16&amp;" · classes 1 a 5"</f>
        <v/>
      </c>
      <c r="GZ45">
        <f>LET(trecho,IF(OR('DADOS_FORMAS'!$AH16="",'DADOS_FORMAS'!$GR28="",'DADOS_FORMAS'!$GT28=""),"",IF('DADOS_FORMAS'!$GT28="—","—",'DADOS_FORMAS'!$GU28&amp;'DADOS_FORMAS'!$GT28&amp;'DADOS_FORMAS'!$GV28)),UPPER(LEFT(trecho,1))&amp;MID(trecho,2,LEN(trecho)))</f>
        <v/>
      </c>
      <c r="HA45">
        <f>LET(trecho,IF(OR('DADOS_FORMAS'!$AH16="",'DADOS_FORMAS'!$GR28="",'DADOS_FORMAS'!$GT28=""),"",IF('DADOS_FORMAS'!$GT28="—","—",'DADOS_FORMAS'!$GU28&amp;IF('DADOS_FORMAS'!$GS28="alcance",INDEX('DADOS_FORMAS'!$GL$2:$GL$7,MIN(6,'DADOS_FORMAS'!$GW28+1)),IF('DADOS_FORMAS'!$GS28="raio",INDEX('DADOS_FORMAS'!$GN$2:$GN$6,MIN(5,'DADOS_FORMAS'!$GW28+1)),IF('DADOS_FORMAS'!$GS28="comprimento",INDEX('DADOS_FORMAS'!$GP$2:$GP$6,MIN(5,'DADOS_FORMAS'!$GW28+1)),'DADOS_FORMAS'!$GT28)))&amp;'DADOS_FORMAS'!$GV28)),UPPER(LEFT(trecho,1))&amp;MID(trecho,2,LEN(trecho)))</f>
        <v/>
      </c>
      <c r="HB45">
        <f>LET(trecho,IF(OR('DADOS_FORMAS'!$AH16="",'DADOS_FORMAS'!$GR28="",'DADOS_FORMAS'!$GT28=""),"",IF('DADOS_FORMAS'!$GT28="—","—",'DADOS_FORMAS'!$GU28&amp;IF('DADOS_FORMAS'!$GS28="alcance",INDEX('DADOS_FORMAS'!$GL$2:$GL$7,MIN(6,'DADOS_FORMAS'!$GW28+2)),IF('DADOS_FORMAS'!$GS28="raio",INDEX('DADOS_FORMAS'!$GN$2:$GN$6,MIN(5,'DADOS_FORMAS'!$GW28+2)),IF('DADOS_FORMAS'!$GS28="comprimento",INDEX('DADOS_FORMAS'!$GP$2:$GP$6,MIN(5,'DADOS_FORMAS'!$GW28+2)),'DADOS_FORMAS'!$GT28)))&amp;'DADOS_FORMAS'!$GV28)),UPPER(LEFT(trecho,1))&amp;MID(trecho,2,LEN(trecho)))</f>
        <v/>
      </c>
      <c r="HC45">
        <f>LET(trecho,IF(OR('DADOS_FORMAS'!$AH16="",'DADOS_FORMAS'!$GR28="",'DADOS_FORMAS'!$GT28=""),"",IF('DADOS_FORMAS'!$GT28="—","—",'DADOS_FORMAS'!$GU28&amp;IF('DADOS_FORMAS'!$GS28="alcance",INDEX('DADOS_FORMAS'!$GL$2:$GL$7,MIN(6,'DADOS_FORMAS'!$GW28+3)),IF('DADOS_FORMAS'!$GS28="raio",INDEX('DADOS_FORMAS'!$GN$2:$GN$6,MIN(5,'DADOS_FORMAS'!$GW28+3)),IF('DADOS_FORMAS'!$GS28="comprimento",INDEX('DADOS_FORMAS'!$GP$2:$GP$6,MIN(5,'DADOS_FORMAS'!$GW28+3)),'DADOS_FORMAS'!$GT28)))&amp;'DADOS_FORMAS'!$GV28)),UPPER(LEFT(trecho,1))&amp;MID(trecho,2,LEN(trecho)))</f>
        <v/>
      </c>
      <c r="HD45">
        <f>LET(trecho,IF(OR('DADOS_FORMAS'!$AH16="",'DADOS_FORMAS'!$GR28="",'DADOS_FORMAS'!$GT28=""),"",IF('DADOS_FORMAS'!$GT28="—","—",'DADOS_FORMAS'!$GU28&amp;IF('DADOS_FORMAS'!$GS28="alcance",INDEX('DADOS_FORMAS'!$GL$2:$GL$7,MIN(6,'DADOS_FORMAS'!$GW28+4)),IF('DADOS_FORMAS'!$GS28="raio",INDEX('DADOS_FORMAS'!$GN$2:$GN$6,MIN(5,'DADOS_FORMAS'!$GW28+4)),IF('DADOS_FORMAS'!$GS28="comprimento",INDEX('DADOS_FORMAS'!$GP$2:$GP$6,MIN(5,'DADOS_FORMAS'!$GW28+4)),'DADOS_FORMAS'!$GT28)))&amp;'DADOS_FORMAS'!$GV28)),UPPER(LEFT(trecho,1))&amp;MID(trecho,2,LEN(trecho)))</f>
        <v/>
      </c>
      <c r="HE45">
        <f>LET(trecho,IF(OR('DADOS_FORMAS'!$AH16="",'DADOS_FORMAS'!$GR28="",'DADOS_FORMAS'!$GT28=""),"",IF('DADOS_FORMAS'!$GT28="—","—",'DADOS_FORMAS'!$GU28&amp;IF('DADOS_FORMAS'!$GS28="alcance",INDEX('DADOS_FORMAS'!$GL$2:$GL$7,MIN(6,'DADOS_FORMAS'!$GW28+5)),IF('DADOS_FORMAS'!$GS28="raio",INDEX('DADOS_FORMAS'!$GN$2:$GN$6,MIN(5,'DADOS_FORMAS'!$GW28+5)),IF('DADOS_FORMAS'!$GS28="comprimento",INDEX('DADOS_FORMAS'!$GP$2:$GP$6,MIN(5,'DADOS_FORMAS'!$GW28+5)),'DADOS_FORMAS'!$GT28)))&amp;'DADOS_FORMAS'!$GV28)),UPPER(LEFT(trecho,1))&amp;MID(trecho,2,LEN(trecho)))</f>
        <v/>
      </c>
      <c r="HF45">
        <f>IF(OR('DADOS_FORMAS'!$AH16="",'DADOS_FORMAS'!$GR29="",'DADOS_FORMAS'!$GT29=""),"",IF('DADOS_FORMAS'!$GT29="—","—",'DADOS_FORMAS'!$GU29&amp;'DADOS_FORMAS'!$GT29&amp;'DADOS_FORMAS'!$GV29))</f>
        <v/>
      </c>
      <c r="HG45">
        <f>IF(OR('DADOS_FORMAS'!$AH16="",'DADOS_FORMAS'!$GR29="",'DADOS_FORMAS'!$GT29=""),"",IF('DADOS_FORMAS'!$GT29="—","—",'DADOS_FORMAS'!$GU29&amp;IF('DADOS_FORMAS'!$GS29="alcance",INDEX('DADOS_FORMAS'!$GL$2:$GL$7,MIN(6,'DADOS_FORMAS'!$GW29+1)),IF('DADOS_FORMAS'!$GS29="raio",INDEX('DADOS_FORMAS'!$GN$2:$GN$6,MIN(5,'DADOS_FORMAS'!$GW29+1)),IF('DADOS_FORMAS'!$GS29="comprimento",INDEX('DADOS_FORMAS'!$GP$2:$GP$6,MIN(5,'DADOS_FORMAS'!$GW29+1)),'DADOS_FORMAS'!$GT29)))&amp;'DADOS_FORMAS'!$GV29))</f>
        <v/>
      </c>
      <c r="HH45">
        <f>IF(OR('DADOS_FORMAS'!$AH16="",'DADOS_FORMAS'!$GR29="",'DADOS_FORMAS'!$GT29=""),"",IF('DADOS_FORMAS'!$GT29="—","—",'DADOS_FORMAS'!$GU29&amp;IF('DADOS_FORMAS'!$GS29="alcance",INDEX('DADOS_FORMAS'!$GL$2:$GL$7,MIN(6,'DADOS_FORMAS'!$GW29+2)),IF('DADOS_FORMAS'!$GS29="raio",INDEX('DADOS_FORMAS'!$GN$2:$GN$6,MIN(5,'DADOS_FORMAS'!$GW29+2)),IF('DADOS_FORMAS'!$GS29="comprimento",INDEX('DADOS_FORMAS'!$GP$2:$GP$6,MIN(5,'DADOS_FORMAS'!$GW29+2)),'DADOS_FORMAS'!$GT29)))&amp;'DADOS_FORMAS'!$GV29))</f>
        <v/>
      </c>
      <c r="HI45">
        <f>IF(OR('DADOS_FORMAS'!$AH16="",'DADOS_FORMAS'!$GR29="",'DADOS_FORMAS'!$GT29=""),"",IF('DADOS_FORMAS'!$GT29="—","—",'DADOS_FORMAS'!$GU29&amp;IF('DADOS_FORMAS'!$GS29="alcance",INDEX('DADOS_FORMAS'!$GL$2:$GL$7,MIN(6,'DADOS_FORMAS'!$GW29+3)),IF('DADOS_FORMAS'!$GS29="raio",INDEX('DADOS_FORMAS'!$GN$2:$GN$6,MIN(5,'DADOS_FORMAS'!$GW29+3)),IF('DADOS_FORMAS'!$GS29="comprimento",INDEX('DADOS_FORMAS'!$GP$2:$GP$6,MIN(5,'DADOS_FORMAS'!$GW29+3)),'DADOS_FORMAS'!$GT29)))&amp;'DADOS_FORMAS'!$GV29))</f>
        <v/>
      </c>
      <c r="HJ45">
        <f>IF(OR('DADOS_FORMAS'!$AH16="",'DADOS_FORMAS'!$GR29="",'DADOS_FORMAS'!$GT29=""),"",IF('DADOS_FORMAS'!$GT29="—","—",'DADOS_FORMAS'!$GU29&amp;IF('DADOS_FORMAS'!$GS29="alcance",INDEX('DADOS_FORMAS'!$GL$2:$GL$7,MIN(6,'DADOS_FORMAS'!$GW29+4)),IF('DADOS_FORMAS'!$GS29="raio",INDEX('DADOS_FORMAS'!$GN$2:$GN$6,MIN(5,'DADOS_FORMAS'!$GW29+4)),IF('DADOS_FORMAS'!$GS29="comprimento",INDEX('DADOS_FORMAS'!$GP$2:$GP$6,MIN(5,'DADOS_FORMAS'!$GW29+4)),'DADOS_FORMAS'!$GT29)))&amp;'DADOS_FORMAS'!$GV29))</f>
        <v/>
      </c>
      <c r="HK45">
        <f>IF(OR('DADOS_FORMAS'!$AH16="",'DADOS_FORMAS'!$GR29="",'DADOS_FORMAS'!$GT29=""),"",IF('DADOS_FORMAS'!$GT29="—","—",'DADOS_FORMAS'!$GU29&amp;IF('DADOS_FORMAS'!$GS29="alcance",INDEX('DADOS_FORMAS'!$GL$2:$GL$7,MIN(6,'DADOS_FORMAS'!$GW29+5)),IF('DADOS_FORMAS'!$GS29="raio",INDEX('DADOS_FORMAS'!$GN$2:$GN$6,MIN(5,'DADOS_FORMAS'!$GW29+5)),IF('DADOS_FORMAS'!$GS29="comprimento",INDEX('DADOS_FORMAS'!$GP$2:$GP$6,MIN(5,'DADOS_FORMAS'!$GW29+5)),'DADOS_FORMAS'!$GT29)))&amp;'DADOS_FORMAS'!$GV29))</f>
        <v/>
      </c>
      <c r="HM45">
        <f>'DADOS_FORMAS'!$BP17</f>
        <v/>
      </c>
      <c r="HN45">
        <f>IF('DADOS_FORMAS'!$BP17="area",'DADOS_FORMAS'!$AU17,'DADOS_FORMAS'!$AT17)</f>
        <v/>
      </c>
      <c r="HO45">
        <f>IF('DADOS_FORMAS'!$BP17="area",'DADOS_FORMAS'!$BG17,'DADOS_FORMAS'!$AZ17)</f>
        <v/>
      </c>
      <c r="HP45">
        <f>'DADOS_FORMAS'!$BQ17</f>
        <v/>
      </c>
      <c r="HQ45">
        <f>'DADOS_FORMAS'!$BR17</f>
        <v/>
      </c>
      <c r="HR45">
        <f>LET(base,'DADOS_FORMAS'!$HO45,escada,'DADOS_FORMAS'!$HN45,medida,LEFT(base,MAX(0,LEN(base)-2)),valor,IFERROR(VALUE(SUBSTITUTE(medida,",",""))/10^IFERROR(LEN(medida)-FIND(",",medida),0),1E99),IF(OR(escada="Fixo",base="—"),base,IF(escada="alcance",IFERROR(MATCH(base,{"1,5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5">
        <f>'DADOS_FORMAS'!$AH12&amp;" · classe 7"</f>
        <v/>
      </c>
      <c r="HU45">
        <f>LET(trecho,IF(OR('DADOS_FORMAS'!$AH12="",'DADOS_FORMAS'!$HM8="",'DADOS_FORMAS'!$HO8=""),"",IF('DADOS_FORMAS'!$HO8="—","—",'DADOS_FORMAS'!$HP8&amp;'DADOS_FORMAS'!$HO8&amp;SUBSTITUTE('DADOS_FORMAS'!$HQ8,"em você","nela"))),UPPER(LEFT(trecho,1))&amp;MID(trecho,2,LEN(trecho)))</f>
        <v/>
      </c>
      <c r="HV45">
        <f>LET(trecho,IF(OR('DADOS_FORMAS'!$AH12="",'DADOS_FORMAS'!$HM8="",'DADOS_FORMAS'!$HO8=""),"",IF('DADOS_FORMAS'!$HO8="—","—",'DADOS_FORMAS'!$HP8&amp;IF('DADOS_FORMAS'!$HN8="alcance",INDEX('DADOS_FORMAS'!$GL$2:$GL$7,MIN(6,'DADOS_FORMAS'!$HR8+1)),IF('DADOS_FORMAS'!$HN8="raio",INDEX('DADOS_FORMAS'!$GN$2:$GN$6,MIN(5,'DADOS_FORMAS'!$HR8+1)),IF('DADOS_FORMAS'!$HN8="comprimento",INDEX('DADOS_FORMAS'!$GP$2:$GP$6,MIN(5,'DADOS_FORMAS'!$HR8+1)),'DADOS_FORMAS'!$HO8)))&amp;SUBSTITUTE('DADOS_FORMAS'!$HQ8,"em você","nela"))),UPPER(LEFT(trecho,1))&amp;MID(trecho,2,LEN(trecho)))</f>
        <v/>
      </c>
      <c r="HW45">
        <f>LET(trecho,IF(OR('DADOS_FORMAS'!$AH12="",'DADOS_FORMAS'!$HM8="",'DADOS_FORMAS'!$HO8=""),"",IF('DADOS_FORMAS'!$HO8="—","—",'DADOS_FORMAS'!$HP8&amp;IF('DADOS_FORMAS'!$HN8="alcance",INDEX('DADOS_FORMAS'!$GL$2:$GL$7,MIN(6,'DADOS_FORMAS'!$HR8+2)),IF('DADOS_FORMAS'!$HN8="raio",INDEX('DADOS_FORMAS'!$GN$2:$GN$6,MIN(5,'DADOS_FORMAS'!$HR8+2)),IF('DADOS_FORMAS'!$HN8="comprimento",INDEX('DADOS_FORMAS'!$GP$2:$GP$6,MIN(5,'DADOS_FORMAS'!$HR8+2)),'DADOS_FORMAS'!$HO8)))&amp;SUBSTITUTE('DADOS_FORMAS'!$HQ8,"em você","nela"))),UPPER(LEFT(trecho,1))&amp;MID(trecho,2,LEN(trecho)))</f>
        <v/>
      </c>
      <c r="HX45">
        <f>LET(trecho,IF(OR('DADOS_FORMAS'!$AH12="",'DADOS_FORMAS'!$HM8="",'DADOS_FORMAS'!$HO8=""),"",IF('DADOS_FORMAS'!$HO8="—","—",'DADOS_FORMAS'!$HP8&amp;IF('DADOS_FORMAS'!$HN8="alcance",INDEX('DADOS_FORMAS'!$GL$2:$GL$7,MIN(6,'DADOS_FORMAS'!$HR8+3)),IF('DADOS_FORMAS'!$HN8="raio",INDEX('DADOS_FORMAS'!$GN$2:$GN$6,MIN(5,'DADOS_FORMAS'!$HR8+3)),IF('DADOS_FORMAS'!$HN8="comprimento",INDEX('DADOS_FORMAS'!$GP$2:$GP$6,MIN(5,'DADOS_FORMAS'!$HR8+3)),'DADOS_FORMAS'!$HO8)))&amp;SUBSTITUTE('DADOS_FORMAS'!$HQ8,"em você","nela"))),UPPER(LEFT(trecho,1))&amp;MID(trecho,2,LEN(trecho)))</f>
        <v/>
      </c>
      <c r="HY45">
        <f>LET(trecho,IF(OR('DADOS_FORMAS'!$AH12="",'DADOS_FORMAS'!$HM8="",'DADOS_FORMAS'!$HO8=""),"",IF('DADOS_FORMAS'!$HO8="—","—",'DADOS_FORMAS'!$HP8&amp;IF('DADOS_FORMAS'!$HN8="alcance",INDEX('DADOS_FORMAS'!$GL$2:$GL$7,MIN(6,'DADOS_FORMAS'!$HR8+4)),IF('DADOS_FORMAS'!$HN8="raio",INDEX('DADOS_FORMAS'!$GN$2:$GN$6,MIN(5,'DADOS_FORMAS'!$HR8+4)),IF('DADOS_FORMAS'!$HN8="comprimento",INDEX('DADOS_FORMAS'!$GP$2:$GP$6,MIN(5,'DADOS_FORMAS'!$HR8+4)),'DADOS_FORMAS'!$HO8)))&amp;SUBSTITUTE('DADOS_FORMAS'!$HQ8,"em você","nela"))),UPPER(LEFT(trecho,1))&amp;MID(trecho,2,LEN(trecho)))</f>
        <v/>
      </c>
      <c r="HZ45">
        <f>LET(trecho,IF(OR('DADOS_FORMAS'!$AH12="",'DADOS_FORMAS'!$HM8="",'DADOS_FORMAS'!$HO8=""),"",IF('DADOS_FORMAS'!$HO8="—","—",'DADOS_FORMAS'!$HP8&amp;IF('DADOS_FORMAS'!$HN8="alcance",INDEX('DADOS_FORMAS'!$GL$2:$GL$7,MIN(6,'DADOS_FORMAS'!$HR8+5)),IF('DADOS_FORMAS'!$HN8="raio",INDEX('DADOS_FORMAS'!$GN$2:$GN$6,MIN(5,'DADOS_FORMAS'!$HR8+5)),IF('DADOS_FORMAS'!$HN8="comprimento",INDEX('DADOS_FORMAS'!$GP$2:$GP$6,MIN(5,'DADOS_FORMAS'!$HR8+5)),'DADOS_FORMAS'!$HO8)))&amp;SUBSTITUTE('DADOS_FORMAS'!$HQ8,"em você","nela"))),UPPER(LEFT(trecho,1))&amp;MID(trecho,2,LEN(trecho)))</f>
        <v/>
      </c>
      <c r="IA45">
        <f>IF(OR('DADOS_FORMAS'!$AH12="",'DADOS_FORMAS'!$HM9="",'DADOS_FORMAS'!$HO9=""),"",IF('DADOS_FORMAS'!$HO9="—","—",'DADOS_FORMAS'!$HP9&amp;'DADOS_FORMAS'!$HO9&amp;SUBSTITUTE('DADOS_FORMAS'!$HQ9,"em você","nela")))</f>
        <v/>
      </c>
      <c r="IB45">
        <f>IF(OR('DADOS_FORMAS'!$AH12="",'DADOS_FORMAS'!$HM9="",'DADOS_FORMAS'!$HO9=""),"",IF('DADOS_FORMAS'!$HO9="—","—",'DADOS_FORMAS'!$HP9&amp;IF('DADOS_FORMAS'!$HN9="alcance",INDEX('DADOS_FORMAS'!$GL$2:$GL$7,MIN(6,'DADOS_FORMAS'!$HR9+1)),IF('DADOS_FORMAS'!$HN9="raio",INDEX('DADOS_FORMAS'!$GN$2:$GN$6,MIN(5,'DADOS_FORMAS'!$HR9+1)),IF('DADOS_FORMAS'!$HN9="comprimento",INDEX('DADOS_FORMAS'!$GP$2:$GP$6,MIN(5,'DADOS_FORMAS'!$HR9+1)),'DADOS_FORMAS'!$HO9)))&amp;SUBSTITUTE('DADOS_FORMAS'!$HQ9,"em você","nela")))</f>
        <v/>
      </c>
      <c r="IC45">
        <f>IF(OR('DADOS_FORMAS'!$AH12="",'DADOS_FORMAS'!$HM9="",'DADOS_FORMAS'!$HO9=""),"",IF('DADOS_FORMAS'!$HO9="—","—",'DADOS_FORMAS'!$HP9&amp;IF('DADOS_FORMAS'!$HN9="alcance",INDEX('DADOS_FORMAS'!$GL$2:$GL$7,MIN(6,'DADOS_FORMAS'!$HR9+2)),IF('DADOS_FORMAS'!$HN9="raio",INDEX('DADOS_FORMAS'!$GN$2:$GN$6,MIN(5,'DADOS_FORMAS'!$HR9+2)),IF('DADOS_FORMAS'!$HN9="comprimento",INDEX('DADOS_FORMAS'!$GP$2:$GP$6,MIN(5,'DADOS_FORMAS'!$HR9+2)),'DADOS_FORMAS'!$HO9)))&amp;SUBSTITUTE('DADOS_FORMAS'!$HQ9,"em você","nela")))</f>
        <v/>
      </c>
      <c r="ID45">
        <f>IF(OR('DADOS_FORMAS'!$AH12="",'DADOS_FORMAS'!$HM9="",'DADOS_FORMAS'!$HO9=""),"",IF('DADOS_FORMAS'!$HO9="—","—",'DADOS_FORMAS'!$HP9&amp;IF('DADOS_FORMAS'!$HN9="alcance",INDEX('DADOS_FORMAS'!$GL$2:$GL$7,MIN(6,'DADOS_FORMAS'!$HR9+3)),IF('DADOS_FORMAS'!$HN9="raio",INDEX('DADOS_FORMAS'!$GN$2:$GN$6,MIN(5,'DADOS_FORMAS'!$HR9+3)),IF('DADOS_FORMAS'!$HN9="comprimento",INDEX('DADOS_FORMAS'!$GP$2:$GP$6,MIN(5,'DADOS_FORMAS'!$HR9+3)),'DADOS_FORMAS'!$HO9)))&amp;SUBSTITUTE('DADOS_FORMAS'!$HQ9,"em você","nela")))</f>
        <v/>
      </c>
      <c r="IE45">
        <f>IF(OR('DADOS_FORMAS'!$AH12="",'DADOS_FORMAS'!$HM9="",'DADOS_FORMAS'!$HO9=""),"",IF('DADOS_FORMAS'!$HO9="—","—",'DADOS_FORMAS'!$HP9&amp;IF('DADOS_FORMAS'!$HN9="alcance",INDEX('DADOS_FORMAS'!$GL$2:$GL$7,MIN(6,'DADOS_FORMAS'!$HR9+4)),IF('DADOS_FORMAS'!$HN9="raio",INDEX('DADOS_FORMAS'!$GN$2:$GN$6,MIN(5,'DADOS_FORMAS'!$HR9+4)),IF('DADOS_FORMAS'!$HN9="comprimento",INDEX('DADOS_FORMAS'!$GP$2:$GP$6,MIN(5,'DADOS_FORMAS'!$HR9+4)),'DADOS_FORMAS'!$HO9)))&amp;SUBSTITUTE('DADOS_FORMAS'!$HQ9,"em você","nela")))</f>
        <v/>
      </c>
      <c r="IF45">
        <f>IF(OR('DADOS_FORMAS'!$AH12="",'DADOS_FORMAS'!$HM9="",'DADOS_FORMAS'!$HO9=""),"",IF('DADOS_FORMAS'!$HO9="—","—",'DADOS_FORMAS'!$HP9&amp;IF('DADOS_FORMAS'!$HN9="alcance",INDEX('DADOS_FORMAS'!$GL$2:$GL$7,MIN(6,'DADOS_FORMAS'!$HR9+5)),IF('DADOS_FORMAS'!$HN9="raio",INDEX('DADOS_FORMAS'!$GN$2:$GN$6,MIN(5,'DADOS_FORMAS'!$HR9+5)),IF('DADOS_FORMAS'!$HN9="comprimento",INDEX('DADOS_FORMAS'!$GP$2:$GP$6,MIN(5,'DADOS_FORMAS'!$HR9+5)),'DADOS_FORMAS'!$HO9)))&amp;SUBSTITUTE('DADOS_FORMAS'!$HQ9,"em você","nela")))</f>
        <v/>
      </c>
      <c r="KA45">
        <f>IFERROR(INDEX(INDEX('DADOS_RESTRICOES'!$M$2:$Q$54,0,1),43),"")</f>
        <v/>
      </c>
    </row>
    <row r="46">
      <c r="GR46">
        <f>'DADOS_FORMAS'!$BL19</f>
        <v/>
      </c>
      <c r="GS46">
        <f>IF('DADOS_FORMAS'!$BL19="area",'DADOS_FORMAS'!$AU19,'DADOS_FORMAS'!$AT19)</f>
        <v/>
      </c>
      <c r="GT46">
        <f>IF('DADOS_FORMAS'!$BL19="area",'DADOS_FORMAS'!$BD19,'DADOS_FORMAS'!$AW19)</f>
        <v/>
      </c>
      <c r="GU46">
        <f>'DADOS_FORMAS'!$BM19</f>
        <v/>
      </c>
      <c r="GV46">
        <f>'DADOS_FORMAS'!$BN19</f>
        <v/>
      </c>
      <c r="GW46">
        <f>LET(base,'DADOS_FORMAS'!$GT46,escada,'DADOS_FORMAS'!$GS46,medida,LEFT(base,MAX(0,LEN(base)-2)),valor,IFERROR(VALUE(SUBSTITUTE(medida,",",""))/10^IFERROR(LEN(medida)-FIND(",",medida),0),1E99),IF(OR(escada="Fixo",base="—"),base,IF(escada="alcance",IFERROR(MATCH(base,{"1,5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6">
        <f>'DADOS_FORMAS'!$AH16&amp;" · classes 6 e 7"</f>
        <v/>
      </c>
      <c r="GZ46">
        <f>LET(trecho,IF(OR('DADOS_FORMAS'!$AH16="",'DADOS_FORMAS'!$GR30="",'DADOS_FORMAS'!$GT30=""),"",IF('DADOS_FORMAS'!$GT30="—","—",'DADOS_FORMAS'!$GU30&amp;'DADOS_FORMAS'!$GT30&amp;'DADOS_FORMAS'!$GV30)),UPPER(LEFT(trecho,1))&amp;MID(trecho,2,LEN(trecho)))</f>
        <v/>
      </c>
      <c r="HA46">
        <f>LET(trecho,IF(OR('DADOS_FORMAS'!$AH16="",'DADOS_FORMAS'!$GR30="",'DADOS_FORMAS'!$GT30=""),"",IF('DADOS_FORMAS'!$GT30="—","—",'DADOS_FORMAS'!$GU30&amp;IF('DADOS_FORMAS'!$GS30="alcance",INDEX('DADOS_FORMAS'!$GL$2:$GL$7,MIN(6,'DADOS_FORMAS'!$GW30+1)),IF('DADOS_FORMAS'!$GS30="raio",INDEX('DADOS_FORMAS'!$GN$2:$GN$6,MIN(5,'DADOS_FORMAS'!$GW30+1)),IF('DADOS_FORMAS'!$GS30="comprimento",INDEX('DADOS_FORMAS'!$GP$2:$GP$6,MIN(5,'DADOS_FORMAS'!$GW30+1)),'DADOS_FORMAS'!$GT30)))&amp;'DADOS_FORMAS'!$GV30)),UPPER(LEFT(trecho,1))&amp;MID(trecho,2,LEN(trecho)))</f>
        <v/>
      </c>
      <c r="HB46">
        <f>LET(trecho,IF(OR('DADOS_FORMAS'!$AH16="",'DADOS_FORMAS'!$GR30="",'DADOS_FORMAS'!$GT30=""),"",IF('DADOS_FORMAS'!$GT30="—","—",'DADOS_FORMAS'!$GU30&amp;IF('DADOS_FORMAS'!$GS30="alcance",INDEX('DADOS_FORMAS'!$GL$2:$GL$7,MIN(6,'DADOS_FORMAS'!$GW30+2)),IF('DADOS_FORMAS'!$GS30="raio",INDEX('DADOS_FORMAS'!$GN$2:$GN$6,MIN(5,'DADOS_FORMAS'!$GW30+2)),IF('DADOS_FORMAS'!$GS30="comprimento",INDEX('DADOS_FORMAS'!$GP$2:$GP$6,MIN(5,'DADOS_FORMAS'!$GW30+2)),'DADOS_FORMAS'!$GT30)))&amp;'DADOS_FORMAS'!$GV30)),UPPER(LEFT(trecho,1))&amp;MID(trecho,2,LEN(trecho)))</f>
        <v/>
      </c>
      <c r="HC46">
        <f>LET(trecho,IF(OR('DADOS_FORMAS'!$AH16="",'DADOS_FORMAS'!$GR30="",'DADOS_FORMAS'!$GT30=""),"",IF('DADOS_FORMAS'!$GT30="—","—",'DADOS_FORMAS'!$GU30&amp;IF('DADOS_FORMAS'!$GS30="alcance",INDEX('DADOS_FORMAS'!$GL$2:$GL$7,MIN(6,'DADOS_FORMAS'!$GW30+3)),IF('DADOS_FORMAS'!$GS30="raio",INDEX('DADOS_FORMAS'!$GN$2:$GN$6,MIN(5,'DADOS_FORMAS'!$GW30+3)),IF('DADOS_FORMAS'!$GS30="comprimento",INDEX('DADOS_FORMAS'!$GP$2:$GP$6,MIN(5,'DADOS_FORMAS'!$GW30+3)),'DADOS_FORMAS'!$GT30)))&amp;'DADOS_FORMAS'!$GV30)),UPPER(LEFT(trecho,1))&amp;MID(trecho,2,LEN(trecho)))</f>
        <v/>
      </c>
      <c r="HD46">
        <f>LET(trecho,IF(OR('DADOS_FORMAS'!$AH16="",'DADOS_FORMAS'!$GR30="",'DADOS_FORMAS'!$GT30=""),"",IF('DADOS_FORMAS'!$GT30="—","—",'DADOS_FORMAS'!$GU30&amp;IF('DADOS_FORMAS'!$GS30="alcance",INDEX('DADOS_FORMAS'!$GL$2:$GL$7,MIN(6,'DADOS_FORMAS'!$GW30+4)),IF('DADOS_FORMAS'!$GS30="raio",INDEX('DADOS_FORMAS'!$GN$2:$GN$6,MIN(5,'DADOS_FORMAS'!$GW30+4)),IF('DADOS_FORMAS'!$GS30="comprimento",INDEX('DADOS_FORMAS'!$GP$2:$GP$6,MIN(5,'DADOS_FORMAS'!$GW30+4)),'DADOS_FORMAS'!$GT30)))&amp;'DADOS_FORMAS'!$GV30)),UPPER(LEFT(trecho,1))&amp;MID(trecho,2,LEN(trecho)))</f>
        <v/>
      </c>
      <c r="HE46">
        <f>LET(trecho,IF(OR('DADOS_FORMAS'!$AH16="",'DADOS_FORMAS'!$GR30="",'DADOS_FORMAS'!$GT30=""),"",IF('DADOS_FORMAS'!$GT30="—","—",'DADOS_FORMAS'!$GU30&amp;IF('DADOS_FORMAS'!$GS30="alcance",INDEX('DADOS_FORMAS'!$GL$2:$GL$7,MIN(6,'DADOS_FORMAS'!$GW30+5)),IF('DADOS_FORMAS'!$GS30="raio",INDEX('DADOS_FORMAS'!$GN$2:$GN$6,MIN(5,'DADOS_FORMAS'!$GW30+5)),IF('DADOS_FORMAS'!$GS30="comprimento",INDEX('DADOS_FORMAS'!$GP$2:$GP$6,MIN(5,'DADOS_FORMAS'!$GW30+5)),'DADOS_FORMAS'!$GT30)))&amp;'DADOS_FORMAS'!$GV30)),UPPER(LEFT(trecho,1))&amp;MID(trecho,2,LEN(trecho)))</f>
        <v/>
      </c>
      <c r="HF46">
        <f>IF(OR('DADOS_FORMAS'!$AH16="",'DADOS_FORMAS'!$GR31="",'DADOS_FORMAS'!$GT31=""),"",IF('DADOS_FORMAS'!$GT31="—","—",'DADOS_FORMAS'!$GU31&amp;'DADOS_FORMAS'!$GT31&amp;'DADOS_FORMAS'!$GV31))</f>
        <v/>
      </c>
      <c r="HG46">
        <f>IF(OR('DADOS_FORMAS'!$AH16="",'DADOS_FORMAS'!$GR31="",'DADOS_FORMAS'!$GT31=""),"",IF('DADOS_FORMAS'!$GT31="—","—",'DADOS_FORMAS'!$GU31&amp;IF('DADOS_FORMAS'!$GS31="alcance",INDEX('DADOS_FORMAS'!$GL$2:$GL$7,MIN(6,'DADOS_FORMAS'!$GW31+1)),IF('DADOS_FORMAS'!$GS31="raio",INDEX('DADOS_FORMAS'!$GN$2:$GN$6,MIN(5,'DADOS_FORMAS'!$GW31+1)),IF('DADOS_FORMAS'!$GS31="comprimento",INDEX('DADOS_FORMAS'!$GP$2:$GP$6,MIN(5,'DADOS_FORMAS'!$GW31+1)),'DADOS_FORMAS'!$GT31)))&amp;'DADOS_FORMAS'!$GV31))</f>
        <v/>
      </c>
      <c r="HH46">
        <f>IF(OR('DADOS_FORMAS'!$AH16="",'DADOS_FORMAS'!$GR31="",'DADOS_FORMAS'!$GT31=""),"",IF('DADOS_FORMAS'!$GT31="—","—",'DADOS_FORMAS'!$GU31&amp;IF('DADOS_FORMAS'!$GS31="alcance",INDEX('DADOS_FORMAS'!$GL$2:$GL$7,MIN(6,'DADOS_FORMAS'!$GW31+2)),IF('DADOS_FORMAS'!$GS31="raio",INDEX('DADOS_FORMAS'!$GN$2:$GN$6,MIN(5,'DADOS_FORMAS'!$GW31+2)),IF('DADOS_FORMAS'!$GS31="comprimento",INDEX('DADOS_FORMAS'!$GP$2:$GP$6,MIN(5,'DADOS_FORMAS'!$GW31+2)),'DADOS_FORMAS'!$GT31)))&amp;'DADOS_FORMAS'!$GV31))</f>
        <v/>
      </c>
      <c r="HI46">
        <f>IF(OR('DADOS_FORMAS'!$AH16="",'DADOS_FORMAS'!$GR31="",'DADOS_FORMAS'!$GT31=""),"",IF('DADOS_FORMAS'!$GT31="—","—",'DADOS_FORMAS'!$GU31&amp;IF('DADOS_FORMAS'!$GS31="alcance",INDEX('DADOS_FORMAS'!$GL$2:$GL$7,MIN(6,'DADOS_FORMAS'!$GW31+3)),IF('DADOS_FORMAS'!$GS31="raio",INDEX('DADOS_FORMAS'!$GN$2:$GN$6,MIN(5,'DADOS_FORMAS'!$GW31+3)),IF('DADOS_FORMAS'!$GS31="comprimento",INDEX('DADOS_FORMAS'!$GP$2:$GP$6,MIN(5,'DADOS_FORMAS'!$GW31+3)),'DADOS_FORMAS'!$GT31)))&amp;'DADOS_FORMAS'!$GV31))</f>
        <v/>
      </c>
      <c r="HJ46">
        <f>IF(OR('DADOS_FORMAS'!$AH16="",'DADOS_FORMAS'!$GR31="",'DADOS_FORMAS'!$GT31=""),"",IF('DADOS_FORMAS'!$GT31="—","—",'DADOS_FORMAS'!$GU31&amp;IF('DADOS_FORMAS'!$GS31="alcance",INDEX('DADOS_FORMAS'!$GL$2:$GL$7,MIN(6,'DADOS_FORMAS'!$GW31+4)),IF('DADOS_FORMAS'!$GS31="raio",INDEX('DADOS_FORMAS'!$GN$2:$GN$6,MIN(5,'DADOS_FORMAS'!$GW31+4)),IF('DADOS_FORMAS'!$GS31="comprimento",INDEX('DADOS_FORMAS'!$GP$2:$GP$6,MIN(5,'DADOS_FORMAS'!$GW31+4)),'DADOS_FORMAS'!$GT31)))&amp;'DADOS_FORMAS'!$GV31))</f>
        <v/>
      </c>
      <c r="HK46">
        <f>IF(OR('DADOS_FORMAS'!$AH16="",'DADOS_FORMAS'!$GR31="",'DADOS_FORMAS'!$GT31=""),"",IF('DADOS_FORMAS'!$GT31="—","—",'DADOS_FORMAS'!$GU31&amp;IF('DADOS_FORMAS'!$GS31="alcance",INDEX('DADOS_FORMAS'!$GL$2:$GL$7,MIN(6,'DADOS_FORMAS'!$GW31+5)),IF('DADOS_FORMAS'!$GS31="raio",INDEX('DADOS_FORMAS'!$GN$2:$GN$6,MIN(5,'DADOS_FORMAS'!$GW31+5)),IF('DADOS_FORMAS'!$GS31="comprimento",INDEX('DADOS_FORMAS'!$GP$2:$GP$6,MIN(5,'DADOS_FORMAS'!$GW31+5)),'DADOS_FORMAS'!$GT31)))&amp;'DADOS_FORMAS'!$GV31))</f>
        <v/>
      </c>
      <c r="HM46">
        <f>'DADOS_FORMAS'!$BL17</f>
        <v/>
      </c>
      <c r="HN46">
        <f>IF('DADOS_FORMAS'!$BL17="area",'DADOS_FORMAS'!$AU17,'DADOS_FORMAS'!$AT17)</f>
        <v/>
      </c>
      <c r="HO46">
        <f>IF('DADOS_FORMAS'!$BL17="area",'DADOS_FORMAS'!$BH17,'DADOS_FORMAS'!$BA17)</f>
        <v/>
      </c>
      <c r="HP46">
        <f>'DADOS_FORMAS'!$BM17</f>
        <v/>
      </c>
      <c r="HQ46">
        <f>'DADOS_FORMAS'!$BN17</f>
        <v/>
      </c>
      <c r="HR46">
        <f>LET(base,'DADOS_FORMAS'!$HO46,escada,'DADOS_FORMAS'!$HN46,medida,LEFT(base,MAX(0,LEN(base)-2)),valor,IFERROR(VALUE(SUBSTITUTE(medida,",",""))/10^IFERROR(LEN(medida)-FIND(",",medida),0),1E99),IF(OR(escada="Fixo",base="—"),base,IF(escada="alcance",IFERROR(MATCH(base,{"1,5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6">
        <f>'DADOS_FORMAS'!$AH13&amp;" · classe 0"</f>
        <v/>
      </c>
      <c r="HU46">
        <f>LET(trecho,IF(OR('DADOS_FORMAS'!$AH13="",'DADOS_FORMAS'!$HM10="",'DADOS_FORMAS'!$HO10=""),"",IF('DADOS_FORMAS'!$HO10="—","—",'DADOS_FORMAS'!$HP10&amp;'DADOS_FORMAS'!$HO10&amp;SUBSTITUTE('DADOS_FORMAS'!$HQ10,"em você","nela"))),UPPER(LEFT(trecho,1))&amp;MID(trecho,2,LEN(trecho)))</f>
        <v/>
      </c>
      <c r="HV46">
        <f>LET(trecho,IF(OR('DADOS_FORMAS'!$AH13="",'DADOS_FORMAS'!$HM10="",'DADOS_FORMAS'!$HO10=""),"",IF('DADOS_FORMAS'!$HO10="—","—",'DADOS_FORMAS'!$HP10&amp;IF('DADOS_FORMAS'!$HN10="alcance",INDEX('DADOS_FORMAS'!$GL$2:$GL$7,MIN(6,'DADOS_FORMAS'!$HR10+1)),IF('DADOS_FORMAS'!$HN10="raio",INDEX('DADOS_FORMAS'!$GN$2:$GN$6,MIN(5,'DADOS_FORMAS'!$HR10+1)),IF('DADOS_FORMAS'!$HN10="comprimento",INDEX('DADOS_FORMAS'!$GP$2:$GP$6,MIN(5,'DADOS_FORMAS'!$HR10+1)),'DADOS_FORMAS'!$HO10)))&amp;SUBSTITUTE('DADOS_FORMAS'!$HQ10,"em você","nela"))),UPPER(LEFT(trecho,1))&amp;MID(trecho,2,LEN(trecho)))</f>
        <v/>
      </c>
      <c r="HW46">
        <f>LET(trecho,IF(OR('DADOS_FORMAS'!$AH13="",'DADOS_FORMAS'!$HM10="",'DADOS_FORMAS'!$HO10=""),"",IF('DADOS_FORMAS'!$HO10="—","—",'DADOS_FORMAS'!$HP10&amp;IF('DADOS_FORMAS'!$HN10="alcance",INDEX('DADOS_FORMAS'!$GL$2:$GL$7,MIN(6,'DADOS_FORMAS'!$HR10+2)),IF('DADOS_FORMAS'!$HN10="raio",INDEX('DADOS_FORMAS'!$GN$2:$GN$6,MIN(5,'DADOS_FORMAS'!$HR10+2)),IF('DADOS_FORMAS'!$HN10="comprimento",INDEX('DADOS_FORMAS'!$GP$2:$GP$6,MIN(5,'DADOS_FORMAS'!$HR10+2)),'DADOS_FORMAS'!$HO10)))&amp;SUBSTITUTE('DADOS_FORMAS'!$HQ10,"em você","nela"))),UPPER(LEFT(trecho,1))&amp;MID(trecho,2,LEN(trecho)))</f>
        <v/>
      </c>
      <c r="HX46">
        <f>LET(trecho,IF(OR('DADOS_FORMAS'!$AH13="",'DADOS_FORMAS'!$HM10="",'DADOS_FORMAS'!$HO10=""),"",IF('DADOS_FORMAS'!$HO10="—","—",'DADOS_FORMAS'!$HP10&amp;IF('DADOS_FORMAS'!$HN10="alcance",INDEX('DADOS_FORMAS'!$GL$2:$GL$7,MIN(6,'DADOS_FORMAS'!$HR10+3)),IF('DADOS_FORMAS'!$HN10="raio",INDEX('DADOS_FORMAS'!$GN$2:$GN$6,MIN(5,'DADOS_FORMAS'!$HR10+3)),IF('DADOS_FORMAS'!$HN10="comprimento",INDEX('DADOS_FORMAS'!$GP$2:$GP$6,MIN(5,'DADOS_FORMAS'!$HR10+3)),'DADOS_FORMAS'!$HO10)))&amp;SUBSTITUTE('DADOS_FORMAS'!$HQ10,"em você","nela"))),UPPER(LEFT(trecho,1))&amp;MID(trecho,2,LEN(trecho)))</f>
        <v/>
      </c>
      <c r="HY46">
        <f>LET(trecho,IF(OR('DADOS_FORMAS'!$AH13="",'DADOS_FORMAS'!$HM10="",'DADOS_FORMAS'!$HO10=""),"",IF('DADOS_FORMAS'!$HO10="—","—",'DADOS_FORMAS'!$HP10&amp;IF('DADOS_FORMAS'!$HN10="alcance",INDEX('DADOS_FORMAS'!$GL$2:$GL$7,MIN(6,'DADOS_FORMAS'!$HR10+4)),IF('DADOS_FORMAS'!$HN10="raio",INDEX('DADOS_FORMAS'!$GN$2:$GN$6,MIN(5,'DADOS_FORMAS'!$HR10+4)),IF('DADOS_FORMAS'!$HN10="comprimento",INDEX('DADOS_FORMAS'!$GP$2:$GP$6,MIN(5,'DADOS_FORMAS'!$HR10+4)),'DADOS_FORMAS'!$HO10)))&amp;SUBSTITUTE('DADOS_FORMAS'!$HQ10,"em você","nela"))),UPPER(LEFT(trecho,1))&amp;MID(trecho,2,LEN(trecho)))</f>
        <v/>
      </c>
      <c r="HZ46">
        <f>LET(trecho,IF(OR('DADOS_FORMAS'!$AH13="",'DADOS_FORMAS'!$HM10="",'DADOS_FORMAS'!$HO10=""),"",IF('DADOS_FORMAS'!$HO10="—","—",'DADOS_FORMAS'!$HP10&amp;IF('DADOS_FORMAS'!$HN10="alcance",INDEX('DADOS_FORMAS'!$GL$2:$GL$7,MIN(6,'DADOS_FORMAS'!$HR10+5)),IF('DADOS_FORMAS'!$HN10="raio",INDEX('DADOS_FORMAS'!$GN$2:$GN$6,MIN(5,'DADOS_FORMAS'!$HR10+5)),IF('DADOS_FORMAS'!$HN10="comprimento",INDEX('DADOS_FORMAS'!$GP$2:$GP$6,MIN(5,'DADOS_FORMAS'!$HR10+5)),'DADOS_FORMAS'!$HO10)))&amp;SUBSTITUTE('DADOS_FORMAS'!$HQ10,"em você","nela"))),UPPER(LEFT(trecho,1))&amp;MID(trecho,2,LEN(trecho)))</f>
        <v/>
      </c>
      <c r="IA46">
        <f>IF(OR('DADOS_FORMAS'!$AH13="",'DADOS_FORMAS'!$HM11="",'DADOS_FORMAS'!$HO11=""),"",IF('DADOS_FORMAS'!$HO11="—","—",'DADOS_FORMAS'!$HP11&amp;'DADOS_FORMAS'!$HO11&amp;SUBSTITUTE('DADOS_FORMAS'!$HQ11,"em você","nela")))</f>
        <v/>
      </c>
      <c r="IB46">
        <f>IF(OR('DADOS_FORMAS'!$AH13="",'DADOS_FORMAS'!$HM11="",'DADOS_FORMAS'!$HO11=""),"",IF('DADOS_FORMAS'!$HO11="—","—",'DADOS_FORMAS'!$HP11&amp;IF('DADOS_FORMAS'!$HN11="alcance",INDEX('DADOS_FORMAS'!$GL$2:$GL$7,MIN(6,'DADOS_FORMAS'!$HR11+1)),IF('DADOS_FORMAS'!$HN11="raio",INDEX('DADOS_FORMAS'!$GN$2:$GN$6,MIN(5,'DADOS_FORMAS'!$HR11+1)),IF('DADOS_FORMAS'!$HN11="comprimento",INDEX('DADOS_FORMAS'!$GP$2:$GP$6,MIN(5,'DADOS_FORMAS'!$HR11+1)),'DADOS_FORMAS'!$HO11)))&amp;SUBSTITUTE('DADOS_FORMAS'!$HQ11,"em você","nela")))</f>
        <v/>
      </c>
      <c r="IC46">
        <f>IF(OR('DADOS_FORMAS'!$AH13="",'DADOS_FORMAS'!$HM11="",'DADOS_FORMAS'!$HO11=""),"",IF('DADOS_FORMAS'!$HO11="—","—",'DADOS_FORMAS'!$HP11&amp;IF('DADOS_FORMAS'!$HN11="alcance",INDEX('DADOS_FORMAS'!$GL$2:$GL$7,MIN(6,'DADOS_FORMAS'!$HR11+2)),IF('DADOS_FORMAS'!$HN11="raio",INDEX('DADOS_FORMAS'!$GN$2:$GN$6,MIN(5,'DADOS_FORMAS'!$HR11+2)),IF('DADOS_FORMAS'!$HN11="comprimento",INDEX('DADOS_FORMAS'!$GP$2:$GP$6,MIN(5,'DADOS_FORMAS'!$HR11+2)),'DADOS_FORMAS'!$HO11)))&amp;SUBSTITUTE('DADOS_FORMAS'!$HQ11,"em você","nela")))</f>
        <v/>
      </c>
      <c r="ID46">
        <f>IF(OR('DADOS_FORMAS'!$AH13="",'DADOS_FORMAS'!$HM11="",'DADOS_FORMAS'!$HO11=""),"",IF('DADOS_FORMAS'!$HO11="—","—",'DADOS_FORMAS'!$HP11&amp;IF('DADOS_FORMAS'!$HN11="alcance",INDEX('DADOS_FORMAS'!$GL$2:$GL$7,MIN(6,'DADOS_FORMAS'!$HR11+3)),IF('DADOS_FORMAS'!$HN11="raio",INDEX('DADOS_FORMAS'!$GN$2:$GN$6,MIN(5,'DADOS_FORMAS'!$HR11+3)),IF('DADOS_FORMAS'!$HN11="comprimento",INDEX('DADOS_FORMAS'!$GP$2:$GP$6,MIN(5,'DADOS_FORMAS'!$HR11+3)),'DADOS_FORMAS'!$HO11)))&amp;SUBSTITUTE('DADOS_FORMAS'!$HQ11,"em você","nela")))</f>
        <v/>
      </c>
      <c r="IE46">
        <f>IF(OR('DADOS_FORMAS'!$AH13="",'DADOS_FORMAS'!$HM11="",'DADOS_FORMAS'!$HO11=""),"",IF('DADOS_FORMAS'!$HO11="—","—",'DADOS_FORMAS'!$HP11&amp;IF('DADOS_FORMAS'!$HN11="alcance",INDEX('DADOS_FORMAS'!$GL$2:$GL$7,MIN(6,'DADOS_FORMAS'!$HR11+4)),IF('DADOS_FORMAS'!$HN11="raio",INDEX('DADOS_FORMAS'!$GN$2:$GN$6,MIN(5,'DADOS_FORMAS'!$HR11+4)),IF('DADOS_FORMAS'!$HN11="comprimento",INDEX('DADOS_FORMAS'!$GP$2:$GP$6,MIN(5,'DADOS_FORMAS'!$HR11+4)),'DADOS_FORMAS'!$HO11)))&amp;SUBSTITUTE('DADOS_FORMAS'!$HQ11,"em você","nela")))</f>
        <v/>
      </c>
      <c r="IF46">
        <f>IF(OR('DADOS_FORMAS'!$AH13="",'DADOS_FORMAS'!$HM11="",'DADOS_FORMAS'!$HO11=""),"",IF('DADOS_FORMAS'!$HO11="—","—",'DADOS_FORMAS'!$HP11&amp;IF('DADOS_FORMAS'!$HN11="alcance",INDEX('DADOS_FORMAS'!$GL$2:$GL$7,MIN(6,'DADOS_FORMAS'!$HR11+5)),IF('DADOS_FORMAS'!$HN11="raio",INDEX('DADOS_FORMAS'!$GN$2:$GN$6,MIN(5,'DADOS_FORMAS'!$HR11+5)),IF('DADOS_FORMAS'!$HN11="comprimento",INDEX('DADOS_FORMAS'!$GP$2:$GP$6,MIN(5,'DADOS_FORMAS'!$HR11+5)),'DADOS_FORMAS'!$HO11)))&amp;SUBSTITUTE('DADOS_FORMAS'!$HQ11,"em você","nela")))</f>
        <v/>
      </c>
      <c r="KA46">
        <f>IFERROR(INDEX(INDEX('DADOS_RESTRICOES'!$M$2:$Q$54,0,1),44),"")</f>
        <v/>
      </c>
    </row>
    <row r="47">
      <c r="GR47">
        <f>'DADOS_FORMAS'!$BP19</f>
        <v/>
      </c>
      <c r="GS47">
        <f>IF('DADOS_FORMAS'!$BP19="area",'DADOS_FORMAS'!$AU19,'DADOS_FORMAS'!$AT19)</f>
        <v/>
      </c>
      <c r="GT47">
        <f>IF('DADOS_FORMAS'!$BP19="area",'DADOS_FORMAS'!$BD19,'DADOS_FORMAS'!$AW19)</f>
        <v/>
      </c>
      <c r="GU47">
        <f>'DADOS_FORMAS'!$BQ19</f>
        <v/>
      </c>
      <c r="GV47">
        <f>'DADOS_FORMAS'!$BR19</f>
        <v/>
      </c>
      <c r="GW47">
        <f>LET(base,'DADOS_FORMAS'!$GT47,escada,'DADOS_FORMAS'!$GS47,medida,LEFT(base,MAX(0,LEN(base)-2)),valor,IFERROR(VALUE(SUBSTITUTE(medida,",",""))/10^IFERROR(LEN(medida)-FIND(",",medida),0),1E99),IF(OR(escada="Fixo",base="—"),base,IF(escada="alcance",IFERROR(MATCH(base,{"1,5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7">
        <f>'DADOS_FORMAS'!$AH17&amp;" · classe 0"</f>
        <v/>
      </c>
      <c r="GZ47">
        <f>LET(trecho,IF(OR('DADOS_FORMAS'!$AH17="",'DADOS_FORMAS'!$GR32="",'DADOS_FORMAS'!$GT32=""),"",IF('DADOS_FORMAS'!$GT32="—","—",'DADOS_FORMAS'!$GU32&amp;'DADOS_FORMAS'!$GT32&amp;'DADOS_FORMAS'!$GV32)),UPPER(LEFT(trecho,1))&amp;MID(trecho,2,LEN(trecho)))</f>
        <v/>
      </c>
      <c r="HA47">
        <f>LET(trecho,IF(OR('DADOS_FORMAS'!$AH17="",'DADOS_FORMAS'!$GR32="",'DADOS_FORMAS'!$GT32=""),"",IF('DADOS_FORMAS'!$GT32="—","—",'DADOS_FORMAS'!$GU32&amp;IF('DADOS_FORMAS'!$GS32="alcance",INDEX('DADOS_FORMAS'!$GL$2:$GL$7,MIN(6,'DADOS_FORMAS'!$GW32+1)),IF('DADOS_FORMAS'!$GS32="raio",INDEX('DADOS_FORMAS'!$GN$2:$GN$6,MIN(5,'DADOS_FORMAS'!$GW32+1)),IF('DADOS_FORMAS'!$GS32="comprimento",INDEX('DADOS_FORMAS'!$GP$2:$GP$6,MIN(5,'DADOS_FORMAS'!$GW32+1)),'DADOS_FORMAS'!$GT32)))&amp;'DADOS_FORMAS'!$GV32)),UPPER(LEFT(trecho,1))&amp;MID(trecho,2,LEN(trecho)))</f>
        <v/>
      </c>
      <c r="HB47">
        <f>LET(trecho,IF(OR('DADOS_FORMAS'!$AH17="",'DADOS_FORMAS'!$GR32="",'DADOS_FORMAS'!$GT32=""),"",IF('DADOS_FORMAS'!$GT32="—","—",'DADOS_FORMAS'!$GU32&amp;IF('DADOS_FORMAS'!$GS32="alcance",INDEX('DADOS_FORMAS'!$GL$2:$GL$7,MIN(6,'DADOS_FORMAS'!$GW32+2)),IF('DADOS_FORMAS'!$GS32="raio",INDEX('DADOS_FORMAS'!$GN$2:$GN$6,MIN(5,'DADOS_FORMAS'!$GW32+2)),IF('DADOS_FORMAS'!$GS32="comprimento",INDEX('DADOS_FORMAS'!$GP$2:$GP$6,MIN(5,'DADOS_FORMAS'!$GW32+2)),'DADOS_FORMAS'!$GT32)))&amp;'DADOS_FORMAS'!$GV32)),UPPER(LEFT(trecho,1))&amp;MID(trecho,2,LEN(trecho)))</f>
        <v/>
      </c>
      <c r="HC47">
        <f>LET(trecho,IF(OR('DADOS_FORMAS'!$AH17="",'DADOS_FORMAS'!$GR32="",'DADOS_FORMAS'!$GT32=""),"",IF('DADOS_FORMAS'!$GT32="—","—",'DADOS_FORMAS'!$GU32&amp;IF('DADOS_FORMAS'!$GS32="alcance",INDEX('DADOS_FORMAS'!$GL$2:$GL$7,MIN(6,'DADOS_FORMAS'!$GW32+3)),IF('DADOS_FORMAS'!$GS32="raio",INDEX('DADOS_FORMAS'!$GN$2:$GN$6,MIN(5,'DADOS_FORMAS'!$GW32+3)),IF('DADOS_FORMAS'!$GS32="comprimento",INDEX('DADOS_FORMAS'!$GP$2:$GP$6,MIN(5,'DADOS_FORMAS'!$GW32+3)),'DADOS_FORMAS'!$GT32)))&amp;'DADOS_FORMAS'!$GV32)),UPPER(LEFT(trecho,1))&amp;MID(trecho,2,LEN(trecho)))</f>
        <v/>
      </c>
      <c r="HD47">
        <f>LET(trecho,IF(OR('DADOS_FORMAS'!$AH17="",'DADOS_FORMAS'!$GR32="",'DADOS_FORMAS'!$GT32=""),"",IF('DADOS_FORMAS'!$GT32="—","—",'DADOS_FORMAS'!$GU32&amp;IF('DADOS_FORMAS'!$GS32="alcance",INDEX('DADOS_FORMAS'!$GL$2:$GL$7,MIN(6,'DADOS_FORMAS'!$GW32+4)),IF('DADOS_FORMAS'!$GS32="raio",INDEX('DADOS_FORMAS'!$GN$2:$GN$6,MIN(5,'DADOS_FORMAS'!$GW32+4)),IF('DADOS_FORMAS'!$GS32="comprimento",INDEX('DADOS_FORMAS'!$GP$2:$GP$6,MIN(5,'DADOS_FORMAS'!$GW32+4)),'DADOS_FORMAS'!$GT32)))&amp;'DADOS_FORMAS'!$GV32)),UPPER(LEFT(trecho,1))&amp;MID(trecho,2,LEN(trecho)))</f>
        <v/>
      </c>
      <c r="HE47">
        <f>LET(trecho,IF(OR('DADOS_FORMAS'!$AH17="",'DADOS_FORMAS'!$GR32="",'DADOS_FORMAS'!$GT32=""),"",IF('DADOS_FORMAS'!$GT32="—","—",'DADOS_FORMAS'!$GU32&amp;IF('DADOS_FORMAS'!$GS32="alcance",INDEX('DADOS_FORMAS'!$GL$2:$GL$7,MIN(6,'DADOS_FORMAS'!$GW32+5)),IF('DADOS_FORMAS'!$GS32="raio",INDEX('DADOS_FORMAS'!$GN$2:$GN$6,MIN(5,'DADOS_FORMAS'!$GW32+5)),IF('DADOS_FORMAS'!$GS32="comprimento",INDEX('DADOS_FORMAS'!$GP$2:$GP$6,MIN(5,'DADOS_FORMAS'!$GW32+5)),'DADOS_FORMAS'!$GT32)))&amp;'DADOS_FORMAS'!$GV32)),UPPER(LEFT(trecho,1))&amp;MID(trecho,2,LEN(trecho)))</f>
        <v/>
      </c>
      <c r="HF47">
        <f>IF(OR('DADOS_FORMAS'!$AH17="",'DADOS_FORMAS'!$GR33="",'DADOS_FORMAS'!$GT33=""),"",IF('DADOS_FORMAS'!$GT33="—","—",'DADOS_FORMAS'!$GU33&amp;'DADOS_FORMAS'!$GT33&amp;'DADOS_FORMAS'!$GV33))</f>
        <v/>
      </c>
      <c r="HG47">
        <f>IF(OR('DADOS_FORMAS'!$AH17="",'DADOS_FORMAS'!$GR33="",'DADOS_FORMAS'!$GT33=""),"",IF('DADOS_FORMAS'!$GT33="—","—",'DADOS_FORMAS'!$GU33&amp;IF('DADOS_FORMAS'!$GS33="alcance",INDEX('DADOS_FORMAS'!$GL$2:$GL$7,MIN(6,'DADOS_FORMAS'!$GW33+1)),IF('DADOS_FORMAS'!$GS33="raio",INDEX('DADOS_FORMAS'!$GN$2:$GN$6,MIN(5,'DADOS_FORMAS'!$GW33+1)),IF('DADOS_FORMAS'!$GS33="comprimento",INDEX('DADOS_FORMAS'!$GP$2:$GP$6,MIN(5,'DADOS_FORMAS'!$GW33+1)),'DADOS_FORMAS'!$GT33)))&amp;'DADOS_FORMAS'!$GV33))</f>
        <v/>
      </c>
      <c r="HH47">
        <f>IF(OR('DADOS_FORMAS'!$AH17="",'DADOS_FORMAS'!$GR33="",'DADOS_FORMAS'!$GT33=""),"",IF('DADOS_FORMAS'!$GT33="—","—",'DADOS_FORMAS'!$GU33&amp;IF('DADOS_FORMAS'!$GS33="alcance",INDEX('DADOS_FORMAS'!$GL$2:$GL$7,MIN(6,'DADOS_FORMAS'!$GW33+2)),IF('DADOS_FORMAS'!$GS33="raio",INDEX('DADOS_FORMAS'!$GN$2:$GN$6,MIN(5,'DADOS_FORMAS'!$GW33+2)),IF('DADOS_FORMAS'!$GS33="comprimento",INDEX('DADOS_FORMAS'!$GP$2:$GP$6,MIN(5,'DADOS_FORMAS'!$GW33+2)),'DADOS_FORMAS'!$GT33)))&amp;'DADOS_FORMAS'!$GV33))</f>
        <v/>
      </c>
      <c r="HI47">
        <f>IF(OR('DADOS_FORMAS'!$AH17="",'DADOS_FORMAS'!$GR33="",'DADOS_FORMAS'!$GT33=""),"",IF('DADOS_FORMAS'!$GT33="—","—",'DADOS_FORMAS'!$GU33&amp;IF('DADOS_FORMAS'!$GS33="alcance",INDEX('DADOS_FORMAS'!$GL$2:$GL$7,MIN(6,'DADOS_FORMAS'!$GW33+3)),IF('DADOS_FORMAS'!$GS33="raio",INDEX('DADOS_FORMAS'!$GN$2:$GN$6,MIN(5,'DADOS_FORMAS'!$GW33+3)),IF('DADOS_FORMAS'!$GS33="comprimento",INDEX('DADOS_FORMAS'!$GP$2:$GP$6,MIN(5,'DADOS_FORMAS'!$GW33+3)),'DADOS_FORMAS'!$GT33)))&amp;'DADOS_FORMAS'!$GV33))</f>
        <v/>
      </c>
      <c r="HJ47">
        <f>IF(OR('DADOS_FORMAS'!$AH17="",'DADOS_FORMAS'!$GR33="",'DADOS_FORMAS'!$GT33=""),"",IF('DADOS_FORMAS'!$GT33="—","—",'DADOS_FORMAS'!$GU33&amp;IF('DADOS_FORMAS'!$GS33="alcance",INDEX('DADOS_FORMAS'!$GL$2:$GL$7,MIN(6,'DADOS_FORMAS'!$GW33+4)),IF('DADOS_FORMAS'!$GS33="raio",INDEX('DADOS_FORMAS'!$GN$2:$GN$6,MIN(5,'DADOS_FORMAS'!$GW33+4)),IF('DADOS_FORMAS'!$GS33="comprimento",INDEX('DADOS_FORMAS'!$GP$2:$GP$6,MIN(5,'DADOS_FORMAS'!$GW33+4)),'DADOS_FORMAS'!$GT33)))&amp;'DADOS_FORMAS'!$GV33))</f>
        <v/>
      </c>
      <c r="HK47">
        <f>IF(OR('DADOS_FORMAS'!$AH17="",'DADOS_FORMAS'!$GR33="",'DADOS_FORMAS'!$GT33=""),"",IF('DADOS_FORMAS'!$GT33="—","—",'DADOS_FORMAS'!$GU33&amp;IF('DADOS_FORMAS'!$GS33="alcance",INDEX('DADOS_FORMAS'!$GL$2:$GL$7,MIN(6,'DADOS_FORMAS'!$GW33+5)),IF('DADOS_FORMAS'!$GS33="raio",INDEX('DADOS_FORMAS'!$GN$2:$GN$6,MIN(5,'DADOS_FORMAS'!$GW33+5)),IF('DADOS_FORMAS'!$GS33="comprimento",INDEX('DADOS_FORMAS'!$GP$2:$GP$6,MIN(5,'DADOS_FORMAS'!$GW33+5)),'DADOS_FORMAS'!$GT33)))&amp;'DADOS_FORMAS'!$GV33))</f>
        <v/>
      </c>
      <c r="HM47">
        <f>'DADOS_FORMAS'!$BP17</f>
        <v/>
      </c>
      <c r="HN47">
        <f>IF('DADOS_FORMAS'!$BP17="area",'DADOS_FORMAS'!$AU17,'DADOS_FORMAS'!$AT17)</f>
        <v/>
      </c>
      <c r="HO47">
        <f>IF('DADOS_FORMAS'!$BP17="area",'DADOS_FORMAS'!$BH17,'DADOS_FORMAS'!$BA17)</f>
        <v/>
      </c>
      <c r="HP47">
        <f>'DADOS_FORMAS'!$BQ17</f>
        <v/>
      </c>
      <c r="HQ47">
        <f>'DADOS_FORMAS'!$BR17</f>
        <v/>
      </c>
      <c r="HR47">
        <f>LET(base,'DADOS_FORMAS'!$HO47,escada,'DADOS_FORMAS'!$HN47,medida,LEFT(base,MAX(0,LEN(base)-2)),valor,IFERROR(VALUE(SUBSTITUTE(medida,",",""))/10^IFERROR(LEN(medida)-FIND(",",medida),0),1E99),IF(OR(escada="Fixo",base="—"),base,IF(escada="alcance",IFERROR(MATCH(base,{"1,5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7">
        <f>'DADOS_FORMAS'!$AH13&amp;" · classes 1 a 5"</f>
        <v/>
      </c>
      <c r="HU47">
        <f>LET(trecho,IF(OR('DADOS_FORMAS'!$AH13="",'DADOS_FORMAS'!$HM12="",'DADOS_FORMAS'!$HO12=""),"",IF('DADOS_FORMAS'!$HO12="—","—",'DADOS_FORMAS'!$HP12&amp;'DADOS_FORMAS'!$HO12&amp;SUBSTITUTE('DADOS_FORMAS'!$HQ12,"em você","nela"))),UPPER(LEFT(trecho,1))&amp;MID(trecho,2,LEN(trecho)))</f>
        <v/>
      </c>
      <c r="HV47">
        <f>LET(trecho,IF(OR('DADOS_FORMAS'!$AH13="",'DADOS_FORMAS'!$HM12="",'DADOS_FORMAS'!$HO12=""),"",IF('DADOS_FORMAS'!$HO12="—","—",'DADOS_FORMAS'!$HP12&amp;IF('DADOS_FORMAS'!$HN12="alcance",INDEX('DADOS_FORMAS'!$GL$2:$GL$7,MIN(6,'DADOS_FORMAS'!$HR12+1)),IF('DADOS_FORMAS'!$HN12="raio",INDEX('DADOS_FORMAS'!$GN$2:$GN$6,MIN(5,'DADOS_FORMAS'!$HR12+1)),IF('DADOS_FORMAS'!$HN12="comprimento",INDEX('DADOS_FORMAS'!$GP$2:$GP$6,MIN(5,'DADOS_FORMAS'!$HR12+1)),'DADOS_FORMAS'!$HO12)))&amp;SUBSTITUTE('DADOS_FORMAS'!$HQ12,"em você","nela"))),UPPER(LEFT(trecho,1))&amp;MID(trecho,2,LEN(trecho)))</f>
        <v/>
      </c>
      <c r="HW47">
        <f>LET(trecho,IF(OR('DADOS_FORMAS'!$AH13="",'DADOS_FORMAS'!$HM12="",'DADOS_FORMAS'!$HO12=""),"",IF('DADOS_FORMAS'!$HO12="—","—",'DADOS_FORMAS'!$HP12&amp;IF('DADOS_FORMAS'!$HN12="alcance",INDEX('DADOS_FORMAS'!$GL$2:$GL$7,MIN(6,'DADOS_FORMAS'!$HR12+2)),IF('DADOS_FORMAS'!$HN12="raio",INDEX('DADOS_FORMAS'!$GN$2:$GN$6,MIN(5,'DADOS_FORMAS'!$HR12+2)),IF('DADOS_FORMAS'!$HN12="comprimento",INDEX('DADOS_FORMAS'!$GP$2:$GP$6,MIN(5,'DADOS_FORMAS'!$HR12+2)),'DADOS_FORMAS'!$HO12)))&amp;SUBSTITUTE('DADOS_FORMAS'!$HQ12,"em você","nela"))),UPPER(LEFT(trecho,1))&amp;MID(trecho,2,LEN(trecho)))</f>
        <v/>
      </c>
      <c r="HX47">
        <f>LET(trecho,IF(OR('DADOS_FORMAS'!$AH13="",'DADOS_FORMAS'!$HM12="",'DADOS_FORMAS'!$HO12=""),"",IF('DADOS_FORMAS'!$HO12="—","—",'DADOS_FORMAS'!$HP12&amp;IF('DADOS_FORMAS'!$HN12="alcance",INDEX('DADOS_FORMAS'!$GL$2:$GL$7,MIN(6,'DADOS_FORMAS'!$HR12+3)),IF('DADOS_FORMAS'!$HN12="raio",INDEX('DADOS_FORMAS'!$GN$2:$GN$6,MIN(5,'DADOS_FORMAS'!$HR12+3)),IF('DADOS_FORMAS'!$HN12="comprimento",INDEX('DADOS_FORMAS'!$GP$2:$GP$6,MIN(5,'DADOS_FORMAS'!$HR12+3)),'DADOS_FORMAS'!$HO12)))&amp;SUBSTITUTE('DADOS_FORMAS'!$HQ12,"em você","nela"))),UPPER(LEFT(trecho,1))&amp;MID(trecho,2,LEN(trecho)))</f>
        <v/>
      </c>
      <c r="HY47">
        <f>LET(trecho,IF(OR('DADOS_FORMAS'!$AH13="",'DADOS_FORMAS'!$HM12="",'DADOS_FORMAS'!$HO12=""),"",IF('DADOS_FORMAS'!$HO12="—","—",'DADOS_FORMAS'!$HP12&amp;IF('DADOS_FORMAS'!$HN12="alcance",INDEX('DADOS_FORMAS'!$GL$2:$GL$7,MIN(6,'DADOS_FORMAS'!$HR12+4)),IF('DADOS_FORMAS'!$HN12="raio",INDEX('DADOS_FORMAS'!$GN$2:$GN$6,MIN(5,'DADOS_FORMAS'!$HR12+4)),IF('DADOS_FORMAS'!$HN12="comprimento",INDEX('DADOS_FORMAS'!$GP$2:$GP$6,MIN(5,'DADOS_FORMAS'!$HR12+4)),'DADOS_FORMAS'!$HO12)))&amp;SUBSTITUTE('DADOS_FORMAS'!$HQ12,"em você","nela"))),UPPER(LEFT(trecho,1))&amp;MID(trecho,2,LEN(trecho)))</f>
        <v/>
      </c>
      <c r="HZ47">
        <f>LET(trecho,IF(OR('DADOS_FORMAS'!$AH13="",'DADOS_FORMAS'!$HM12="",'DADOS_FORMAS'!$HO12=""),"",IF('DADOS_FORMAS'!$HO12="—","—",'DADOS_FORMAS'!$HP12&amp;IF('DADOS_FORMAS'!$HN12="alcance",INDEX('DADOS_FORMAS'!$GL$2:$GL$7,MIN(6,'DADOS_FORMAS'!$HR12+5)),IF('DADOS_FORMAS'!$HN12="raio",INDEX('DADOS_FORMAS'!$GN$2:$GN$6,MIN(5,'DADOS_FORMAS'!$HR12+5)),IF('DADOS_FORMAS'!$HN12="comprimento",INDEX('DADOS_FORMAS'!$GP$2:$GP$6,MIN(5,'DADOS_FORMAS'!$HR12+5)),'DADOS_FORMAS'!$HO12)))&amp;SUBSTITUTE('DADOS_FORMAS'!$HQ12,"em você","nela"))),UPPER(LEFT(trecho,1))&amp;MID(trecho,2,LEN(trecho)))</f>
        <v/>
      </c>
      <c r="IA47">
        <f>IF(OR('DADOS_FORMAS'!$AH13="",'DADOS_FORMAS'!$HM13="",'DADOS_FORMAS'!$HO13=""),"",IF('DADOS_FORMAS'!$HO13="—","—",'DADOS_FORMAS'!$HP13&amp;'DADOS_FORMAS'!$HO13&amp;SUBSTITUTE('DADOS_FORMAS'!$HQ13,"em você","nela")))</f>
        <v/>
      </c>
      <c r="IB47">
        <f>IF(OR('DADOS_FORMAS'!$AH13="",'DADOS_FORMAS'!$HM13="",'DADOS_FORMAS'!$HO13=""),"",IF('DADOS_FORMAS'!$HO13="—","—",'DADOS_FORMAS'!$HP13&amp;IF('DADOS_FORMAS'!$HN13="alcance",INDEX('DADOS_FORMAS'!$GL$2:$GL$7,MIN(6,'DADOS_FORMAS'!$HR13+1)),IF('DADOS_FORMAS'!$HN13="raio",INDEX('DADOS_FORMAS'!$GN$2:$GN$6,MIN(5,'DADOS_FORMAS'!$HR13+1)),IF('DADOS_FORMAS'!$HN13="comprimento",INDEX('DADOS_FORMAS'!$GP$2:$GP$6,MIN(5,'DADOS_FORMAS'!$HR13+1)),'DADOS_FORMAS'!$HO13)))&amp;SUBSTITUTE('DADOS_FORMAS'!$HQ13,"em você","nela")))</f>
        <v/>
      </c>
      <c r="IC47">
        <f>IF(OR('DADOS_FORMAS'!$AH13="",'DADOS_FORMAS'!$HM13="",'DADOS_FORMAS'!$HO13=""),"",IF('DADOS_FORMAS'!$HO13="—","—",'DADOS_FORMAS'!$HP13&amp;IF('DADOS_FORMAS'!$HN13="alcance",INDEX('DADOS_FORMAS'!$GL$2:$GL$7,MIN(6,'DADOS_FORMAS'!$HR13+2)),IF('DADOS_FORMAS'!$HN13="raio",INDEX('DADOS_FORMAS'!$GN$2:$GN$6,MIN(5,'DADOS_FORMAS'!$HR13+2)),IF('DADOS_FORMAS'!$HN13="comprimento",INDEX('DADOS_FORMAS'!$GP$2:$GP$6,MIN(5,'DADOS_FORMAS'!$HR13+2)),'DADOS_FORMAS'!$HO13)))&amp;SUBSTITUTE('DADOS_FORMAS'!$HQ13,"em você","nela")))</f>
        <v/>
      </c>
      <c r="ID47">
        <f>IF(OR('DADOS_FORMAS'!$AH13="",'DADOS_FORMAS'!$HM13="",'DADOS_FORMAS'!$HO13=""),"",IF('DADOS_FORMAS'!$HO13="—","—",'DADOS_FORMAS'!$HP13&amp;IF('DADOS_FORMAS'!$HN13="alcance",INDEX('DADOS_FORMAS'!$GL$2:$GL$7,MIN(6,'DADOS_FORMAS'!$HR13+3)),IF('DADOS_FORMAS'!$HN13="raio",INDEX('DADOS_FORMAS'!$GN$2:$GN$6,MIN(5,'DADOS_FORMAS'!$HR13+3)),IF('DADOS_FORMAS'!$HN13="comprimento",INDEX('DADOS_FORMAS'!$GP$2:$GP$6,MIN(5,'DADOS_FORMAS'!$HR13+3)),'DADOS_FORMAS'!$HO13)))&amp;SUBSTITUTE('DADOS_FORMAS'!$HQ13,"em você","nela")))</f>
        <v/>
      </c>
      <c r="IE47">
        <f>IF(OR('DADOS_FORMAS'!$AH13="",'DADOS_FORMAS'!$HM13="",'DADOS_FORMAS'!$HO13=""),"",IF('DADOS_FORMAS'!$HO13="—","—",'DADOS_FORMAS'!$HP13&amp;IF('DADOS_FORMAS'!$HN13="alcance",INDEX('DADOS_FORMAS'!$GL$2:$GL$7,MIN(6,'DADOS_FORMAS'!$HR13+4)),IF('DADOS_FORMAS'!$HN13="raio",INDEX('DADOS_FORMAS'!$GN$2:$GN$6,MIN(5,'DADOS_FORMAS'!$HR13+4)),IF('DADOS_FORMAS'!$HN13="comprimento",INDEX('DADOS_FORMAS'!$GP$2:$GP$6,MIN(5,'DADOS_FORMAS'!$HR13+4)),'DADOS_FORMAS'!$HO13)))&amp;SUBSTITUTE('DADOS_FORMAS'!$HQ13,"em você","nela")))</f>
        <v/>
      </c>
      <c r="IF47">
        <f>IF(OR('DADOS_FORMAS'!$AH13="",'DADOS_FORMAS'!$HM13="",'DADOS_FORMAS'!$HO13=""),"",IF('DADOS_FORMAS'!$HO13="—","—",'DADOS_FORMAS'!$HP13&amp;IF('DADOS_FORMAS'!$HN13="alcance",INDEX('DADOS_FORMAS'!$GL$2:$GL$7,MIN(6,'DADOS_FORMAS'!$HR13+5)),IF('DADOS_FORMAS'!$HN13="raio",INDEX('DADOS_FORMAS'!$GN$2:$GN$6,MIN(5,'DADOS_FORMAS'!$HR13+5)),IF('DADOS_FORMAS'!$HN13="comprimento",INDEX('DADOS_FORMAS'!$GP$2:$GP$6,MIN(5,'DADOS_FORMAS'!$HR13+5)),'DADOS_FORMAS'!$HO13)))&amp;SUBSTITUTE('DADOS_FORMAS'!$HQ13,"em você","nela")))</f>
        <v/>
      </c>
      <c r="KA47">
        <f>IFERROR(INDEX(INDEX('DADOS_RESTRICOES'!$M$2:$Q$54,0,1),45),"")</f>
        <v/>
      </c>
    </row>
    <row r="48">
      <c r="GR48">
        <f>'DADOS_FORMAS'!$BL19</f>
        <v/>
      </c>
      <c r="GS48">
        <f>IF('DADOS_FORMAS'!$BL19="area",'DADOS_FORMAS'!$AU19,'DADOS_FORMAS'!$AT19)</f>
        <v/>
      </c>
      <c r="GT48">
        <f>IF('DADOS_FORMAS'!$BL19="area",'DADOS_FORMAS'!$BE19,'DADOS_FORMAS'!$AX19)</f>
        <v/>
      </c>
      <c r="GU48">
        <f>'DADOS_FORMAS'!$BM19</f>
        <v/>
      </c>
      <c r="GV48">
        <f>'DADOS_FORMAS'!$BN19</f>
        <v/>
      </c>
      <c r="GW48">
        <f>LET(base,'DADOS_FORMAS'!$GT48,escada,'DADOS_FORMAS'!$GS48,medida,LEFT(base,MAX(0,LEN(base)-2)),valor,IFERROR(VALUE(SUBSTITUTE(medida,",",""))/10^IFERROR(LEN(medida)-FIND(",",medida),0),1E99),IF(OR(escada="Fixo",base="—"),base,IF(escada="alcance",IFERROR(MATCH(base,{"1,5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8">
        <f>'DADOS_FORMAS'!$AH17&amp;" · classes 1 a 5"</f>
        <v/>
      </c>
      <c r="GZ48">
        <f>LET(trecho,IF(OR('DADOS_FORMAS'!$AH17="",'DADOS_FORMAS'!$GR34="",'DADOS_FORMAS'!$GT34=""),"",IF('DADOS_FORMAS'!$GT34="—","—",'DADOS_FORMAS'!$GU34&amp;'DADOS_FORMAS'!$GT34&amp;'DADOS_FORMAS'!$GV34)),UPPER(LEFT(trecho,1))&amp;MID(trecho,2,LEN(trecho)))</f>
        <v/>
      </c>
      <c r="HA48">
        <f>LET(trecho,IF(OR('DADOS_FORMAS'!$AH17="",'DADOS_FORMAS'!$GR34="",'DADOS_FORMAS'!$GT34=""),"",IF('DADOS_FORMAS'!$GT34="—","—",'DADOS_FORMAS'!$GU34&amp;IF('DADOS_FORMAS'!$GS34="alcance",INDEX('DADOS_FORMAS'!$GL$2:$GL$7,MIN(6,'DADOS_FORMAS'!$GW34+1)),IF('DADOS_FORMAS'!$GS34="raio",INDEX('DADOS_FORMAS'!$GN$2:$GN$6,MIN(5,'DADOS_FORMAS'!$GW34+1)),IF('DADOS_FORMAS'!$GS34="comprimento",INDEX('DADOS_FORMAS'!$GP$2:$GP$6,MIN(5,'DADOS_FORMAS'!$GW34+1)),'DADOS_FORMAS'!$GT34)))&amp;'DADOS_FORMAS'!$GV34)),UPPER(LEFT(trecho,1))&amp;MID(trecho,2,LEN(trecho)))</f>
        <v/>
      </c>
      <c r="HB48">
        <f>LET(trecho,IF(OR('DADOS_FORMAS'!$AH17="",'DADOS_FORMAS'!$GR34="",'DADOS_FORMAS'!$GT34=""),"",IF('DADOS_FORMAS'!$GT34="—","—",'DADOS_FORMAS'!$GU34&amp;IF('DADOS_FORMAS'!$GS34="alcance",INDEX('DADOS_FORMAS'!$GL$2:$GL$7,MIN(6,'DADOS_FORMAS'!$GW34+2)),IF('DADOS_FORMAS'!$GS34="raio",INDEX('DADOS_FORMAS'!$GN$2:$GN$6,MIN(5,'DADOS_FORMAS'!$GW34+2)),IF('DADOS_FORMAS'!$GS34="comprimento",INDEX('DADOS_FORMAS'!$GP$2:$GP$6,MIN(5,'DADOS_FORMAS'!$GW34+2)),'DADOS_FORMAS'!$GT34)))&amp;'DADOS_FORMAS'!$GV34)),UPPER(LEFT(trecho,1))&amp;MID(trecho,2,LEN(trecho)))</f>
        <v/>
      </c>
      <c r="HC48">
        <f>LET(trecho,IF(OR('DADOS_FORMAS'!$AH17="",'DADOS_FORMAS'!$GR34="",'DADOS_FORMAS'!$GT34=""),"",IF('DADOS_FORMAS'!$GT34="—","—",'DADOS_FORMAS'!$GU34&amp;IF('DADOS_FORMAS'!$GS34="alcance",INDEX('DADOS_FORMAS'!$GL$2:$GL$7,MIN(6,'DADOS_FORMAS'!$GW34+3)),IF('DADOS_FORMAS'!$GS34="raio",INDEX('DADOS_FORMAS'!$GN$2:$GN$6,MIN(5,'DADOS_FORMAS'!$GW34+3)),IF('DADOS_FORMAS'!$GS34="comprimento",INDEX('DADOS_FORMAS'!$GP$2:$GP$6,MIN(5,'DADOS_FORMAS'!$GW34+3)),'DADOS_FORMAS'!$GT34)))&amp;'DADOS_FORMAS'!$GV34)),UPPER(LEFT(trecho,1))&amp;MID(trecho,2,LEN(trecho)))</f>
        <v/>
      </c>
      <c r="HD48">
        <f>LET(trecho,IF(OR('DADOS_FORMAS'!$AH17="",'DADOS_FORMAS'!$GR34="",'DADOS_FORMAS'!$GT34=""),"",IF('DADOS_FORMAS'!$GT34="—","—",'DADOS_FORMAS'!$GU34&amp;IF('DADOS_FORMAS'!$GS34="alcance",INDEX('DADOS_FORMAS'!$GL$2:$GL$7,MIN(6,'DADOS_FORMAS'!$GW34+4)),IF('DADOS_FORMAS'!$GS34="raio",INDEX('DADOS_FORMAS'!$GN$2:$GN$6,MIN(5,'DADOS_FORMAS'!$GW34+4)),IF('DADOS_FORMAS'!$GS34="comprimento",INDEX('DADOS_FORMAS'!$GP$2:$GP$6,MIN(5,'DADOS_FORMAS'!$GW34+4)),'DADOS_FORMAS'!$GT34)))&amp;'DADOS_FORMAS'!$GV34)),UPPER(LEFT(trecho,1))&amp;MID(trecho,2,LEN(trecho)))</f>
        <v/>
      </c>
      <c r="HE48">
        <f>LET(trecho,IF(OR('DADOS_FORMAS'!$AH17="",'DADOS_FORMAS'!$GR34="",'DADOS_FORMAS'!$GT34=""),"",IF('DADOS_FORMAS'!$GT34="—","—",'DADOS_FORMAS'!$GU34&amp;IF('DADOS_FORMAS'!$GS34="alcance",INDEX('DADOS_FORMAS'!$GL$2:$GL$7,MIN(6,'DADOS_FORMAS'!$GW34+5)),IF('DADOS_FORMAS'!$GS34="raio",INDEX('DADOS_FORMAS'!$GN$2:$GN$6,MIN(5,'DADOS_FORMAS'!$GW34+5)),IF('DADOS_FORMAS'!$GS34="comprimento",INDEX('DADOS_FORMAS'!$GP$2:$GP$6,MIN(5,'DADOS_FORMAS'!$GW34+5)),'DADOS_FORMAS'!$GT34)))&amp;'DADOS_FORMAS'!$GV34)),UPPER(LEFT(trecho,1))&amp;MID(trecho,2,LEN(trecho)))</f>
        <v/>
      </c>
      <c r="HF48">
        <f>IF(OR('DADOS_FORMAS'!$AH17="",'DADOS_FORMAS'!$GR35="",'DADOS_FORMAS'!$GT35=""),"",IF('DADOS_FORMAS'!$GT35="—","—",'DADOS_FORMAS'!$GU35&amp;'DADOS_FORMAS'!$GT35&amp;'DADOS_FORMAS'!$GV35))</f>
        <v/>
      </c>
      <c r="HG48">
        <f>IF(OR('DADOS_FORMAS'!$AH17="",'DADOS_FORMAS'!$GR35="",'DADOS_FORMAS'!$GT35=""),"",IF('DADOS_FORMAS'!$GT35="—","—",'DADOS_FORMAS'!$GU35&amp;IF('DADOS_FORMAS'!$GS35="alcance",INDEX('DADOS_FORMAS'!$GL$2:$GL$7,MIN(6,'DADOS_FORMAS'!$GW35+1)),IF('DADOS_FORMAS'!$GS35="raio",INDEX('DADOS_FORMAS'!$GN$2:$GN$6,MIN(5,'DADOS_FORMAS'!$GW35+1)),IF('DADOS_FORMAS'!$GS35="comprimento",INDEX('DADOS_FORMAS'!$GP$2:$GP$6,MIN(5,'DADOS_FORMAS'!$GW35+1)),'DADOS_FORMAS'!$GT35)))&amp;'DADOS_FORMAS'!$GV35))</f>
        <v/>
      </c>
      <c r="HH48">
        <f>IF(OR('DADOS_FORMAS'!$AH17="",'DADOS_FORMAS'!$GR35="",'DADOS_FORMAS'!$GT35=""),"",IF('DADOS_FORMAS'!$GT35="—","—",'DADOS_FORMAS'!$GU35&amp;IF('DADOS_FORMAS'!$GS35="alcance",INDEX('DADOS_FORMAS'!$GL$2:$GL$7,MIN(6,'DADOS_FORMAS'!$GW35+2)),IF('DADOS_FORMAS'!$GS35="raio",INDEX('DADOS_FORMAS'!$GN$2:$GN$6,MIN(5,'DADOS_FORMAS'!$GW35+2)),IF('DADOS_FORMAS'!$GS35="comprimento",INDEX('DADOS_FORMAS'!$GP$2:$GP$6,MIN(5,'DADOS_FORMAS'!$GW35+2)),'DADOS_FORMAS'!$GT35)))&amp;'DADOS_FORMAS'!$GV35))</f>
        <v/>
      </c>
      <c r="HI48">
        <f>IF(OR('DADOS_FORMAS'!$AH17="",'DADOS_FORMAS'!$GR35="",'DADOS_FORMAS'!$GT35=""),"",IF('DADOS_FORMAS'!$GT35="—","—",'DADOS_FORMAS'!$GU35&amp;IF('DADOS_FORMAS'!$GS35="alcance",INDEX('DADOS_FORMAS'!$GL$2:$GL$7,MIN(6,'DADOS_FORMAS'!$GW35+3)),IF('DADOS_FORMAS'!$GS35="raio",INDEX('DADOS_FORMAS'!$GN$2:$GN$6,MIN(5,'DADOS_FORMAS'!$GW35+3)),IF('DADOS_FORMAS'!$GS35="comprimento",INDEX('DADOS_FORMAS'!$GP$2:$GP$6,MIN(5,'DADOS_FORMAS'!$GW35+3)),'DADOS_FORMAS'!$GT35)))&amp;'DADOS_FORMAS'!$GV35))</f>
        <v/>
      </c>
      <c r="HJ48">
        <f>IF(OR('DADOS_FORMAS'!$AH17="",'DADOS_FORMAS'!$GR35="",'DADOS_FORMAS'!$GT35=""),"",IF('DADOS_FORMAS'!$GT35="—","—",'DADOS_FORMAS'!$GU35&amp;IF('DADOS_FORMAS'!$GS35="alcance",INDEX('DADOS_FORMAS'!$GL$2:$GL$7,MIN(6,'DADOS_FORMAS'!$GW35+4)),IF('DADOS_FORMAS'!$GS35="raio",INDEX('DADOS_FORMAS'!$GN$2:$GN$6,MIN(5,'DADOS_FORMAS'!$GW35+4)),IF('DADOS_FORMAS'!$GS35="comprimento",INDEX('DADOS_FORMAS'!$GP$2:$GP$6,MIN(5,'DADOS_FORMAS'!$GW35+4)),'DADOS_FORMAS'!$GT35)))&amp;'DADOS_FORMAS'!$GV35))</f>
        <v/>
      </c>
      <c r="HK48">
        <f>IF(OR('DADOS_FORMAS'!$AH17="",'DADOS_FORMAS'!$GR35="",'DADOS_FORMAS'!$GT35=""),"",IF('DADOS_FORMAS'!$GT35="—","—",'DADOS_FORMAS'!$GU35&amp;IF('DADOS_FORMAS'!$GS35="alcance",INDEX('DADOS_FORMAS'!$GL$2:$GL$7,MIN(6,'DADOS_FORMAS'!$GW35+5)),IF('DADOS_FORMAS'!$GS35="raio",INDEX('DADOS_FORMAS'!$GN$2:$GN$6,MIN(5,'DADOS_FORMAS'!$GW35+5)),IF('DADOS_FORMAS'!$GS35="comprimento",INDEX('DADOS_FORMAS'!$GP$2:$GP$6,MIN(5,'DADOS_FORMAS'!$GW35+5)),'DADOS_FORMAS'!$GT35)))&amp;'DADOS_FORMAS'!$GV35))</f>
        <v/>
      </c>
      <c r="HM48">
        <f>'DADOS_FORMAS'!$BL17</f>
        <v/>
      </c>
      <c r="HN48">
        <f>IF('DADOS_FORMAS'!$BL17="area",'DADOS_FORMAS'!$AU17,'DADOS_FORMAS'!$AT17)</f>
        <v/>
      </c>
      <c r="HO48">
        <f>IF('DADOS_FORMAS'!$BL17="area",'DADOS_FORMAS'!$BI17,'DADOS_FORMAS'!$BB17)</f>
        <v/>
      </c>
      <c r="HP48">
        <f>'DADOS_FORMAS'!$BM17</f>
        <v/>
      </c>
      <c r="HQ48">
        <f>'DADOS_FORMAS'!$BN17</f>
        <v/>
      </c>
      <c r="HR48">
        <f>LET(base,'DADOS_FORMAS'!$HO48,escada,'DADOS_FORMAS'!$HN48,medida,LEFT(base,MAX(0,LEN(base)-2)),valor,IFERROR(VALUE(SUBSTITUTE(medida,",",""))/10^IFERROR(LEN(medida)-FIND(",",medida),0),1E99),IF(OR(escada="Fixo",base="—"),base,IF(escada="alcance",IFERROR(MATCH(base,{"1,5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8">
        <f>'DADOS_FORMAS'!$AH13&amp;" · classe 6"</f>
        <v/>
      </c>
      <c r="HU48">
        <f>LET(trecho,IF(OR('DADOS_FORMAS'!$AH13="",'DADOS_FORMAS'!$HM14="",'DADOS_FORMAS'!$HO14=""),"",IF('DADOS_FORMAS'!$HO14="—","—",'DADOS_FORMAS'!$HP14&amp;'DADOS_FORMAS'!$HO14&amp;SUBSTITUTE('DADOS_FORMAS'!$HQ14,"em você","nela"))),UPPER(LEFT(trecho,1))&amp;MID(trecho,2,LEN(trecho)))</f>
        <v/>
      </c>
      <c r="HV48">
        <f>LET(trecho,IF(OR('DADOS_FORMAS'!$AH13="",'DADOS_FORMAS'!$HM14="",'DADOS_FORMAS'!$HO14=""),"",IF('DADOS_FORMAS'!$HO14="—","—",'DADOS_FORMAS'!$HP14&amp;IF('DADOS_FORMAS'!$HN14="alcance",INDEX('DADOS_FORMAS'!$GL$2:$GL$7,MIN(6,'DADOS_FORMAS'!$HR14+1)),IF('DADOS_FORMAS'!$HN14="raio",INDEX('DADOS_FORMAS'!$GN$2:$GN$6,MIN(5,'DADOS_FORMAS'!$HR14+1)),IF('DADOS_FORMAS'!$HN14="comprimento",INDEX('DADOS_FORMAS'!$GP$2:$GP$6,MIN(5,'DADOS_FORMAS'!$HR14+1)),'DADOS_FORMAS'!$HO14)))&amp;SUBSTITUTE('DADOS_FORMAS'!$HQ14,"em você","nela"))),UPPER(LEFT(trecho,1))&amp;MID(trecho,2,LEN(trecho)))</f>
        <v/>
      </c>
      <c r="HW48">
        <f>LET(trecho,IF(OR('DADOS_FORMAS'!$AH13="",'DADOS_FORMAS'!$HM14="",'DADOS_FORMAS'!$HO14=""),"",IF('DADOS_FORMAS'!$HO14="—","—",'DADOS_FORMAS'!$HP14&amp;IF('DADOS_FORMAS'!$HN14="alcance",INDEX('DADOS_FORMAS'!$GL$2:$GL$7,MIN(6,'DADOS_FORMAS'!$HR14+2)),IF('DADOS_FORMAS'!$HN14="raio",INDEX('DADOS_FORMAS'!$GN$2:$GN$6,MIN(5,'DADOS_FORMAS'!$HR14+2)),IF('DADOS_FORMAS'!$HN14="comprimento",INDEX('DADOS_FORMAS'!$GP$2:$GP$6,MIN(5,'DADOS_FORMAS'!$HR14+2)),'DADOS_FORMAS'!$HO14)))&amp;SUBSTITUTE('DADOS_FORMAS'!$HQ14,"em você","nela"))),UPPER(LEFT(trecho,1))&amp;MID(trecho,2,LEN(trecho)))</f>
        <v/>
      </c>
      <c r="HX48">
        <f>LET(trecho,IF(OR('DADOS_FORMAS'!$AH13="",'DADOS_FORMAS'!$HM14="",'DADOS_FORMAS'!$HO14=""),"",IF('DADOS_FORMAS'!$HO14="—","—",'DADOS_FORMAS'!$HP14&amp;IF('DADOS_FORMAS'!$HN14="alcance",INDEX('DADOS_FORMAS'!$GL$2:$GL$7,MIN(6,'DADOS_FORMAS'!$HR14+3)),IF('DADOS_FORMAS'!$HN14="raio",INDEX('DADOS_FORMAS'!$GN$2:$GN$6,MIN(5,'DADOS_FORMAS'!$HR14+3)),IF('DADOS_FORMAS'!$HN14="comprimento",INDEX('DADOS_FORMAS'!$GP$2:$GP$6,MIN(5,'DADOS_FORMAS'!$HR14+3)),'DADOS_FORMAS'!$HO14)))&amp;SUBSTITUTE('DADOS_FORMAS'!$HQ14,"em você","nela"))),UPPER(LEFT(trecho,1))&amp;MID(trecho,2,LEN(trecho)))</f>
        <v/>
      </c>
      <c r="HY48">
        <f>LET(trecho,IF(OR('DADOS_FORMAS'!$AH13="",'DADOS_FORMAS'!$HM14="",'DADOS_FORMAS'!$HO14=""),"",IF('DADOS_FORMAS'!$HO14="—","—",'DADOS_FORMAS'!$HP14&amp;IF('DADOS_FORMAS'!$HN14="alcance",INDEX('DADOS_FORMAS'!$GL$2:$GL$7,MIN(6,'DADOS_FORMAS'!$HR14+4)),IF('DADOS_FORMAS'!$HN14="raio",INDEX('DADOS_FORMAS'!$GN$2:$GN$6,MIN(5,'DADOS_FORMAS'!$HR14+4)),IF('DADOS_FORMAS'!$HN14="comprimento",INDEX('DADOS_FORMAS'!$GP$2:$GP$6,MIN(5,'DADOS_FORMAS'!$HR14+4)),'DADOS_FORMAS'!$HO14)))&amp;SUBSTITUTE('DADOS_FORMAS'!$HQ14,"em você","nela"))),UPPER(LEFT(trecho,1))&amp;MID(trecho,2,LEN(trecho)))</f>
        <v/>
      </c>
      <c r="HZ48">
        <f>LET(trecho,IF(OR('DADOS_FORMAS'!$AH13="",'DADOS_FORMAS'!$HM14="",'DADOS_FORMAS'!$HO14=""),"",IF('DADOS_FORMAS'!$HO14="—","—",'DADOS_FORMAS'!$HP14&amp;IF('DADOS_FORMAS'!$HN14="alcance",INDEX('DADOS_FORMAS'!$GL$2:$GL$7,MIN(6,'DADOS_FORMAS'!$HR14+5)),IF('DADOS_FORMAS'!$HN14="raio",INDEX('DADOS_FORMAS'!$GN$2:$GN$6,MIN(5,'DADOS_FORMAS'!$HR14+5)),IF('DADOS_FORMAS'!$HN14="comprimento",INDEX('DADOS_FORMAS'!$GP$2:$GP$6,MIN(5,'DADOS_FORMAS'!$HR14+5)),'DADOS_FORMAS'!$HO14)))&amp;SUBSTITUTE('DADOS_FORMAS'!$HQ14,"em você","nela"))),UPPER(LEFT(trecho,1))&amp;MID(trecho,2,LEN(trecho)))</f>
        <v/>
      </c>
      <c r="IA48">
        <f>IF(OR('DADOS_FORMAS'!$AH13="",'DADOS_FORMAS'!$HM15="",'DADOS_FORMAS'!$HO15=""),"",IF('DADOS_FORMAS'!$HO15="—","—",'DADOS_FORMAS'!$HP15&amp;'DADOS_FORMAS'!$HO15&amp;SUBSTITUTE('DADOS_FORMAS'!$HQ15,"em você","nela")))</f>
        <v/>
      </c>
      <c r="IB48">
        <f>IF(OR('DADOS_FORMAS'!$AH13="",'DADOS_FORMAS'!$HM15="",'DADOS_FORMAS'!$HO15=""),"",IF('DADOS_FORMAS'!$HO15="—","—",'DADOS_FORMAS'!$HP15&amp;IF('DADOS_FORMAS'!$HN15="alcance",INDEX('DADOS_FORMAS'!$GL$2:$GL$7,MIN(6,'DADOS_FORMAS'!$HR15+1)),IF('DADOS_FORMAS'!$HN15="raio",INDEX('DADOS_FORMAS'!$GN$2:$GN$6,MIN(5,'DADOS_FORMAS'!$HR15+1)),IF('DADOS_FORMAS'!$HN15="comprimento",INDEX('DADOS_FORMAS'!$GP$2:$GP$6,MIN(5,'DADOS_FORMAS'!$HR15+1)),'DADOS_FORMAS'!$HO15)))&amp;SUBSTITUTE('DADOS_FORMAS'!$HQ15,"em você","nela")))</f>
        <v/>
      </c>
      <c r="IC48">
        <f>IF(OR('DADOS_FORMAS'!$AH13="",'DADOS_FORMAS'!$HM15="",'DADOS_FORMAS'!$HO15=""),"",IF('DADOS_FORMAS'!$HO15="—","—",'DADOS_FORMAS'!$HP15&amp;IF('DADOS_FORMAS'!$HN15="alcance",INDEX('DADOS_FORMAS'!$GL$2:$GL$7,MIN(6,'DADOS_FORMAS'!$HR15+2)),IF('DADOS_FORMAS'!$HN15="raio",INDEX('DADOS_FORMAS'!$GN$2:$GN$6,MIN(5,'DADOS_FORMAS'!$HR15+2)),IF('DADOS_FORMAS'!$HN15="comprimento",INDEX('DADOS_FORMAS'!$GP$2:$GP$6,MIN(5,'DADOS_FORMAS'!$HR15+2)),'DADOS_FORMAS'!$HO15)))&amp;SUBSTITUTE('DADOS_FORMAS'!$HQ15,"em você","nela")))</f>
        <v/>
      </c>
      <c r="ID48">
        <f>IF(OR('DADOS_FORMAS'!$AH13="",'DADOS_FORMAS'!$HM15="",'DADOS_FORMAS'!$HO15=""),"",IF('DADOS_FORMAS'!$HO15="—","—",'DADOS_FORMAS'!$HP15&amp;IF('DADOS_FORMAS'!$HN15="alcance",INDEX('DADOS_FORMAS'!$GL$2:$GL$7,MIN(6,'DADOS_FORMAS'!$HR15+3)),IF('DADOS_FORMAS'!$HN15="raio",INDEX('DADOS_FORMAS'!$GN$2:$GN$6,MIN(5,'DADOS_FORMAS'!$HR15+3)),IF('DADOS_FORMAS'!$HN15="comprimento",INDEX('DADOS_FORMAS'!$GP$2:$GP$6,MIN(5,'DADOS_FORMAS'!$HR15+3)),'DADOS_FORMAS'!$HO15)))&amp;SUBSTITUTE('DADOS_FORMAS'!$HQ15,"em você","nela")))</f>
        <v/>
      </c>
      <c r="IE48">
        <f>IF(OR('DADOS_FORMAS'!$AH13="",'DADOS_FORMAS'!$HM15="",'DADOS_FORMAS'!$HO15=""),"",IF('DADOS_FORMAS'!$HO15="—","—",'DADOS_FORMAS'!$HP15&amp;IF('DADOS_FORMAS'!$HN15="alcance",INDEX('DADOS_FORMAS'!$GL$2:$GL$7,MIN(6,'DADOS_FORMAS'!$HR15+4)),IF('DADOS_FORMAS'!$HN15="raio",INDEX('DADOS_FORMAS'!$GN$2:$GN$6,MIN(5,'DADOS_FORMAS'!$HR15+4)),IF('DADOS_FORMAS'!$HN15="comprimento",INDEX('DADOS_FORMAS'!$GP$2:$GP$6,MIN(5,'DADOS_FORMAS'!$HR15+4)),'DADOS_FORMAS'!$HO15)))&amp;SUBSTITUTE('DADOS_FORMAS'!$HQ15,"em você","nela")))</f>
        <v/>
      </c>
      <c r="IF48">
        <f>IF(OR('DADOS_FORMAS'!$AH13="",'DADOS_FORMAS'!$HM15="",'DADOS_FORMAS'!$HO15=""),"",IF('DADOS_FORMAS'!$HO15="—","—",'DADOS_FORMAS'!$HP15&amp;IF('DADOS_FORMAS'!$HN15="alcance",INDEX('DADOS_FORMAS'!$GL$2:$GL$7,MIN(6,'DADOS_FORMAS'!$HR15+5)),IF('DADOS_FORMAS'!$HN15="raio",INDEX('DADOS_FORMAS'!$GN$2:$GN$6,MIN(5,'DADOS_FORMAS'!$HR15+5)),IF('DADOS_FORMAS'!$HN15="comprimento",INDEX('DADOS_FORMAS'!$GP$2:$GP$6,MIN(5,'DADOS_FORMAS'!$HR15+5)),'DADOS_FORMAS'!$HO15)))&amp;SUBSTITUTE('DADOS_FORMAS'!$HQ15,"em você","nela")))</f>
        <v/>
      </c>
      <c r="KA48">
        <f>IFERROR(INDEX(INDEX('DADOS_RESTRICOES'!$M$2:$Q$54,0,1),46),"")</f>
        <v/>
      </c>
    </row>
    <row r="49">
      <c r="GR49">
        <f>'DADOS_FORMAS'!$BP19</f>
        <v/>
      </c>
      <c r="GS49">
        <f>IF('DADOS_FORMAS'!$BP19="area",'DADOS_FORMAS'!$AU19,'DADOS_FORMAS'!$AT19)</f>
        <v/>
      </c>
      <c r="GT49">
        <f>IF('DADOS_FORMAS'!$BP19="area",'DADOS_FORMAS'!$BE19,'DADOS_FORMAS'!$AX19)</f>
        <v/>
      </c>
      <c r="GU49">
        <f>'DADOS_FORMAS'!$BQ19</f>
        <v/>
      </c>
      <c r="GV49">
        <f>'DADOS_FORMAS'!$BR19</f>
        <v/>
      </c>
      <c r="GW49">
        <f>LET(base,'DADOS_FORMAS'!$GT49,escada,'DADOS_FORMAS'!$GS49,medida,LEFT(base,MAX(0,LEN(base)-2)),valor,IFERROR(VALUE(SUBSTITUTE(medida,",",""))/10^IFERROR(LEN(medida)-FIND(",",medida),0),1E99),IF(OR(escada="Fixo",base="—"),base,IF(escada="alcance",IFERROR(MATCH(base,{"1,5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9">
        <f>'DADOS_FORMAS'!$AH17&amp;" · classes 6 e 7"</f>
        <v/>
      </c>
      <c r="GZ49">
        <f>LET(trecho,IF(OR('DADOS_FORMAS'!$AH17="",'DADOS_FORMAS'!$GR36="",'DADOS_FORMAS'!$GT36=""),"",IF('DADOS_FORMAS'!$GT36="—","—",'DADOS_FORMAS'!$GU36&amp;'DADOS_FORMAS'!$GT36&amp;'DADOS_FORMAS'!$GV36)),UPPER(LEFT(trecho,1))&amp;MID(trecho,2,LEN(trecho)))</f>
        <v/>
      </c>
      <c r="HA49">
        <f>LET(trecho,IF(OR('DADOS_FORMAS'!$AH17="",'DADOS_FORMAS'!$GR36="",'DADOS_FORMAS'!$GT36=""),"",IF('DADOS_FORMAS'!$GT36="—","—",'DADOS_FORMAS'!$GU36&amp;IF('DADOS_FORMAS'!$GS36="alcance",INDEX('DADOS_FORMAS'!$GL$2:$GL$7,MIN(6,'DADOS_FORMAS'!$GW36+1)),IF('DADOS_FORMAS'!$GS36="raio",INDEX('DADOS_FORMAS'!$GN$2:$GN$6,MIN(5,'DADOS_FORMAS'!$GW36+1)),IF('DADOS_FORMAS'!$GS36="comprimento",INDEX('DADOS_FORMAS'!$GP$2:$GP$6,MIN(5,'DADOS_FORMAS'!$GW36+1)),'DADOS_FORMAS'!$GT36)))&amp;'DADOS_FORMAS'!$GV36)),UPPER(LEFT(trecho,1))&amp;MID(trecho,2,LEN(trecho)))</f>
        <v/>
      </c>
      <c r="HB49">
        <f>LET(trecho,IF(OR('DADOS_FORMAS'!$AH17="",'DADOS_FORMAS'!$GR36="",'DADOS_FORMAS'!$GT36=""),"",IF('DADOS_FORMAS'!$GT36="—","—",'DADOS_FORMAS'!$GU36&amp;IF('DADOS_FORMAS'!$GS36="alcance",INDEX('DADOS_FORMAS'!$GL$2:$GL$7,MIN(6,'DADOS_FORMAS'!$GW36+2)),IF('DADOS_FORMAS'!$GS36="raio",INDEX('DADOS_FORMAS'!$GN$2:$GN$6,MIN(5,'DADOS_FORMAS'!$GW36+2)),IF('DADOS_FORMAS'!$GS36="comprimento",INDEX('DADOS_FORMAS'!$GP$2:$GP$6,MIN(5,'DADOS_FORMAS'!$GW36+2)),'DADOS_FORMAS'!$GT36)))&amp;'DADOS_FORMAS'!$GV36)),UPPER(LEFT(trecho,1))&amp;MID(trecho,2,LEN(trecho)))</f>
        <v/>
      </c>
      <c r="HC49">
        <f>LET(trecho,IF(OR('DADOS_FORMAS'!$AH17="",'DADOS_FORMAS'!$GR36="",'DADOS_FORMAS'!$GT36=""),"",IF('DADOS_FORMAS'!$GT36="—","—",'DADOS_FORMAS'!$GU36&amp;IF('DADOS_FORMAS'!$GS36="alcance",INDEX('DADOS_FORMAS'!$GL$2:$GL$7,MIN(6,'DADOS_FORMAS'!$GW36+3)),IF('DADOS_FORMAS'!$GS36="raio",INDEX('DADOS_FORMAS'!$GN$2:$GN$6,MIN(5,'DADOS_FORMAS'!$GW36+3)),IF('DADOS_FORMAS'!$GS36="comprimento",INDEX('DADOS_FORMAS'!$GP$2:$GP$6,MIN(5,'DADOS_FORMAS'!$GW36+3)),'DADOS_FORMAS'!$GT36)))&amp;'DADOS_FORMAS'!$GV36)),UPPER(LEFT(trecho,1))&amp;MID(trecho,2,LEN(trecho)))</f>
        <v/>
      </c>
      <c r="HD49">
        <f>LET(trecho,IF(OR('DADOS_FORMAS'!$AH17="",'DADOS_FORMAS'!$GR36="",'DADOS_FORMAS'!$GT36=""),"",IF('DADOS_FORMAS'!$GT36="—","—",'DADOS_FORMAS'!$GU36&amp;IF('DADOS_FORMAS'!$GS36="alcance",INDEX('DADOS_FORMAS'!$GL$2:$GL$7,MIN(6,'DADOS_FORMAS'!$GW36+4)),IF('DADOS_FORMAS'!$GS36="raio",INDEX('DADOS_FORMAS'!$GN$2:$GN$6,MIN(5,'DADOS_FORMAS'!$GW36+4)),IF('DADOS_FORMAS'!$GS36="comprimento",INDEX('DADOS_FORMAS'!$GP$2:$GP$6,MIN(5,'DADOS_FORMAS'!$GW36+4)),'DADOS_FORMAS'!$GT36)))&amp;'DADOS_FORMAS'!$GV36)),UPPER(LEFT(trecho,1))&amp;MID(trecho,2,LEN(trecho)))</f>
        <v/>
      </c>
      <c r="HE49">
        <f>LET(trecho,IF(OR('DADOS_FORMAS'!$AH17="",'DADOS_FORMAS'!$GR36="",'DADOS_FORMAS'!$GT36=""),"",IF('DADOS_FORMAS'!$GT36="—","—",'DADOS_FORMAS'!$GU36&amp;IF('DADOS_FORMAS'!$GS36="alcance",INDEX('DADOS_FORMAS'!$GL$2:$GL$7,MIN(6,'DADOS_FORMAS'!$GW36+5)),IF('DADOS_FORMAS'!$GS36="raio",INDEX('DADOS_FORMAS'!$GN$2:$GN$6,MIN(5,'DADOS_FORMAS'!$GW36+5)),IF('DADOS_FORMAS'!$GS36="comprimento",INDEX('DADOS_FORMAS'!$GP$2:$GP$6,MIN(5,'DADOS_FORMAS'!$GW36+5)),'DADOS_FORMAS'!$GT36)))&amp;'DADOS_FORMAS'!$GV36)),UPPER(LEFT(trecho,1))&amp;MID(trecho,2,LEN(trecho)))</f>
        <v/>
      </c>
      <c r="HF49">
        <f>IF(OR('DADOS_FORMAS'!$AH17="",'DADOS_FORMAS'!$GR37="",'DADOS_FORMAS'!$GT37=""),"",IF('DADOS_FORMAS'!$GT37="—","—",'DADOS_FORMAS'!$GU37&amp;'DADOS_FORMAS'!$GT37&amp;'DADOS_FORMAS'!$GV37))</f>
        <v/>
      </c>
      <c r="HG49">
        <f>IF(OR('DADOS_FORMAS'!$AH17="",'DADOS_FORMAS'!$GR37="",'DADOS_FORMAS'!$GT37=""),"",IF('DADOS_FORMAS'!$GT37="—","—",'DADOS_FORMAS'!$GU37&amp;IF('DADOS_FORMAS'!$GS37="alcance",INDEX('DADOS_FORMAS'!$GL$2:$GL$7,MIN(6,'DADOS_FORMAS'!$GW37+1)),IF('DADOS_FORMAS'!$GS37="raio",INDEX('DADOS_FORMAS'!$GN$2:$GN$6,MIN(5,'DADOS_FORMAS'!$GW37+1)),IF('DADOS_FORMAS'!$GS37="comprimento",INDEX('DADOS_FORMAS'!$GP$2:$GP$6,MIN(5,'DADOS_FORMAS'!$GW37+1)),'DADOS_FORMAS'!$GT37)))&amp;'DADOS_FORMAS'!$GV37))</f>
        <v/>
      </c>
      <c r="HH49">
        <f>IF(OR('DADOS_FORMAS'!$AH17="",'DADOS_FORMAS'!$GR37="",'DADOS_FORMAS'!$GT37=""),"",IF('DADOS_FORMAS'!$GT37="—","—",'DADOS_FORMAS'!$GU37&amp;IF('DADOS_FORMAS'!$GS37="alcance",INDEX('DADOS_FORMAS'!$GL$2:$GL$7,MIN(6,'DADOS_FORMAS'!$GW37+2)),IF('DADOS_FORMAS'!$GS37="raio",INDEX('DADOS_FORMAS'!$GN$2:$GN$6,MIN(5,'DADOS_FORMAS'!$GW37+2)),IF('DADOS_FORMAS'!$GS37="comprimento",INDEX('DADOS_FORMAS'!$GP$2:$GP$6,MIN(5,'DADOS_FORMAS'!$GW37+2)),'DADOS_FORMAS'!$GT37)))&amp;'DADOS_FORMAS'!$GV37))</f>
        <v/>
      </c>
      <c r="HI49">
        <f>IF(OR('DADOS_FORMAS'!$AH17="",'DADOS_FORMAS'!$GR37="",'DADOS_FORMAS'!$GT37=""),"",IF('DADOS_FORMAS'!$GT37="—","—",'DADOS_FORMAS'!$GU37&amp;IF('DADOS_FORMAS'!$GS37="alcance",INDEX('DADOS_FORMAS'!$GL$2:$GL$7,MIN(6,'DADOS_FORMAS'!$GW37+3)),IF('DADOS_FORMAS'!$GS37="raio",INDEX('DADOS_FORMAS'!$GN$2:$GN$6,MIN(5,'DADOS_FORMAS'!$GW37+3)),IF('DADOS_FORMAS'!$GS37="comprimento",INDEX('DADOS_FORMAS'!$GP$2:$GP$6,MIN(5,'DADOS_FORMAS'!$GW37+3)),'DADOS_FORMAS'!$GT37)))&amp;'DADOS_FORMAS'!$GV37))</f>
        <v/>
      </c>
      <c r="HJ49">
        <f>IF(OR('DADOS_FORMAS'!$AH17="",'DADOS_FORMAS'!$GR37="",'DADOS_FORMAS'!$GT37=""),"",IF('DADOS_FORMAS'!$GT37="—","—",'DADOS_FORMAS'!$GU37&amp;IF('DADOS_FORMAS'!$GS37="alcance",INDEX('DADOS_FORMAS'!$GL$2:$GL$7,MIN(6,'DADOS_FORMAS'!$GW37+4)),IF('DADOS_FORMAS'!$GS37="raio",INDEX('DADOS_FORMAS'!$GN$2:$GN$6,MIN(5,'DADOS_FORMAS'!$GW37+4)),IF('DADOS_FORMAS'!$GS37="comprimento",INDEX('DADOS_FORMAS'!$GP$2:$GP$6,MIN(5,'DADOS_FORMAS'!$GW37+4)),'DADOS_FORMAS'!$GT37)))&amp;'DADOS_FORMAS'!$GV37))</f>
        <v/>
      </c>
      <c r="HK49">
        <f>IF(OR('DADOS_FORMAS'!$AH17="",'DADOS_FORMAS'!$GR37="",'DADOS_FORMAS'!$GT37=""),"",IF('DADOS_FORMAS'!$GT37="—","—",'DADOS_FORMAS'!$GU37&amp;IF('DADOS_FORMAS'!$GS37="alcance",INDEX('DADOS_FORMAS'!$GL$2:$GL$7,MIN(6,'DADOS_FORMAS'!$GW37+5)),IF('DADOS_FORMAS'!$GS37="raio",INDEX('DADOS_FORMAS'!$GN$2:$GN$6,MIN(5,'DADOS_FORMAS'!$GW37+5)),IF('DADOS_FORMAS'!$GS37="comprimento",INDEX('DADOS_FORMAS'!$GP$2:$GP$6,MIN(5,'DADOS_FORMAS'!$GW37+5)),'DADOS_FORMAS'!$GT37)))&amp;'DADOS_FORMAS'!$GV37))</f>
        <v/>
      </c>
      <c r="HM49">
        <f>'DADOS_FORMAS'!$BP17</f>
        <v/>
      </c>
      <c r="HN49">
        <f>IF('DADOS_FORMAS'!$BP17="area",'DADOS_FORMAS'!$AU17,'DADOS_FORMAS'!$AT17)</f>
        <v/>
      </c>
      <c r="HO49">
        <f>IF('DADOS_FORMAS'!$BP17="area",'DADOS_FORMAS'!$BI17,'DADOS_FORMAS'!$BB17)</f>
        <v/>
      </c>
      <c r="HP49">
        <f>'DADOS_FORMAS'!$BQ17</f>
        <v/>
      </c>
      <c r="HQ49">
        <f>'DADOS_FORMAS'!$BR17</f>
        <v/>
      </c>
      <c r="HR49">
        <f>LET(base,'DADOS_FORMAS'!$HO49,escada,'DADOS_FORMAS'!$HN49,medida,LEFT(base,MAX(0,LEN(base)-2)),valor,IFERROR(VALUE(SUBSTITUTE(medida,",",""))/10^IFERROR(LEN(medida)-FIND(",",medida),0),1E99),IF(OR(escada="Fixo",base="—"),base,IF(escada="alcance",IFERROR(MATCH(base,{"1,5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9">
        <f>'DADOS_FORMAS'!$AH13&amp;" · classe 7"</f>
        <v/>
      </c>
      <c r="HU49">
        <f>LET(trecho,IF(OR('DADOS_FORMAS'!$AH13="",'DADOS_FORMAS'!$HM16="",'DADOS_FORMAS'!$HO16=""),"",IF('DADOS_FORMAS'!$HO16="—","—",'DADOS_FORMAS'!$HP16&amp;'DADOS_FORMAS'!$HO16&amp;SUBSTITUTE('DADOS_FORMAS'!$HQ16,"em você","nela"))),UPPER(LEFT(trecho,1))&amp;MID(trecho,2,LEN(trecho)))</f>
        <v/>
      </c>
      <c r="HV49">
        <f>LET(trecho,IF(OR('DADOS_FORMAS'!$AH13="",'DADOS_FORMAS'!$HM16="",'DADOS_FORMAS'!$HO16=""),"",IF('DADOS_FORMAS'!$HO16="—","—",'DADOS_FORMAS'!$HP16&amp;IF('DADOS_FORMAS'!$HN16="alcance",INDEX('DADOS_FORMAS'!$GL$2:$GL$7,MIN(6,'DADOS_FORMAS'!$HR16+1)),IF('DADOS_FORMAS'!$HN16="raio",INDEX('DADOS_FORMAS'!$GN$2:$GN$6,MIN(5,'DADOS_FORMAS'!$HR16+1)),IF('DADOS_FORMAS'!$HN16="comprimento",INDEX('DADOS_FORMAS'!$GP$2:$GP$6,MIN(5,'DADOS_FORMAS'!$HR16+1)),'DADOS_FORMAS'!$HO16)))&amp;SUBSTITUTE('DADOS_FORMAS'!$HQ16,"em você","nela"))),UPPER(LEFT(trecho,1))&amp;MID(trecho,2,LEN(trecho)))</f>
        <v/>
      </c>
      <c r="HW49">
        <f>LET(trecho,IF(OR('DADOS_FORMAS'!$AH13="",'DADOS_FORMAS'!$HM16="",'DADOS_FORMAS'!$HO16=""),"",IF('DADOS_FORMAS'!$HO16="—","—",'DADOS_FORMAS'!$HP16&amp;IF('DADOS_FORMAS'!$HN16="alcance",INDEX('DADOS_FORMAS'!$GL$2:$GL$7,MIN(6,'DADOS_FORMAS'!$HR16+2)),IF('DADOS_FORMAS'!$HN16="raio",INDEX('DADOS_FORMAS'!$GN$2:$GN$6,MIN(5,'DADOS_FORMAS'!$HR16+2)),IF('DADOS_FORMAS'!$HN16="comprimento",INDEX('DADOS_FORMAS'!$GP$2:$GP$6,MIN(5,'DADOS_FORMAS'!$HR16+2)),'DADOS_FORMAS'!$HO16)))&amp;SUBSTITUTE('DADOS_FORMAS'!$HQ16,"em você","nela"))),UPPER(LEFT(trecho,1))&amp;MID(trecho,2,LEN(trecho)))</f>
        <v/>
      </c>
      <c r="HX49">
        <f>LET(trecho,IF(OR('DADOS_FORMAS'!$AH13="",'DADOS_FORMAS'!$HM16="",'DADOS_FORMAS'!$HO16=""),"",IF('DADOS_FORMAS'!$HO16="—","—",'DADOS_FORMAS'!$HP16&amp;IF('DADOS_FORMAS'!$HN16="alcance",INDEX('DADOS_FORMAS'!$GL$2:$GL$7,MIN(6,'DADOS_FORMAS'!$HR16+3)),IF('DADOS_FORMAS'!$HN16="raio",INDEX('DADOS_FORMAS'!$GN$2:$GN$6,MIN(5,'DADOS_FORMAS'!$HR16+3)),IF('DADOS_FORMAS'!$HN16="comprimento",INDEX('DADOS_FORMAS'!$GP$2:$GP$6,MIN(5,'DADOS_FORMAS'!$HR16+3)),'DADOS_FORMAS'!$HO16)))&amp;SUBSTITUTE('DADOS_FORMAS'!$HQ16,"em você","nela"))),UPPER(LEFT(trecho,1))&amp;MID(trecho,2,LEN(trecho)))</f>
        <v/>
      </c>
      <c r="HY49">
        <f>LET(trecho,IF(OR('DADOS_FORMAS'!$AH13="",'DADOS_FORMAS'!$HM16="",'DADOS_FORMAS'!$HO16=""),"",IF('DADOS_FORMAS'!$HO16="—","—",'DADOS_FORMAS'!$HP16&amp;IF('DADOS_FORMAS'!$HN16="alcance",INDEX('DADOS_FORMAS'!$GL$2:$GL$7,MIN(6,'DADOS_FORMAS'!$HR16+4)),IF('DADOS_FORMAS'!$HN16="raio",INDEX('DADOS_FORMAS'!$GN$2:$GN$6,MIN(5,'DADOS_FORMAS'!$HR16+4)),IF('DADOS_FORMAS'!$HN16="comprimento",INDEX('DADOS_FORMAS'!$GP$2:$GP$6,MIN(5,'DADOS_FORMAS'!$HR16+4)),'DADOS_FORMAS'!$HO16)))&amp;SUBSTITUTE('DADOS_FORMAS'!$HQ16,"em você","nela"))),UPPER(LEFT(trecho,1))&amp;MID(trecho,2,LEN(trecho)))</f>
        <v/>
      </c>
      <c r="HZ49">
        <f>LET(trecho,IF(OR('DADOS_FORMAS'!$AH13="",'DADOS_FORMAS'!$HM16="",'DADOS_FORMAS'!$HO16=""),"",IF('DADOS_FORMAS'!$HO16="—","—",'DADOS_FORMAS'!$HP16&amp;IF('DADOS_FORMAS'!$HN16="alcance",INDEX('DADOS_FORMAS'!$GL$2:$GL$7,MIN(6,'DADOS_FORMAS'!$HR16+5)),IF('DADOS_FORMAS'!$HN16="raio",INDEX('DADOS_FORMAS'!$GN$2:$GN$6,MIN(5,'DADOS_FORMAS'!$HR16+5)),IF('DADOS_FORMAS'!$HN16="comprimento",INDEX('DADOS_FORMAS'!$GP$2:$GP$6,MIN(5,'DADOS_FORMAS'!$HR16+5)),'DADOS_FORMAS'!$HO16)))&amp;SUBSTITUTE('DADOS_FORMAS'!$HQ16,"em você","nela"))),UPPER(LEFT(trecho,1))&amp;MID(trecho,2,LEN(trecho)))</f>
        <v/>
      </c>
      <c r="IA49">
        <f>IF(OR('DADOS_FORMAS'!$AH13="",'DADOS_FORMAS'!$HM17="",'DADOS_FORMAS'!$HO17=""),"",IF('DADOS_FORMAS'!$HO17="—","—",'DADOS_FORMAS'!$HP17&amp;'DADOS_FORMAS'!$HO17&amp;SUBSTITUTE('DADOS_FORMAS'!$HQ17,"em você","nela")))</f>
        <v/>
      </c>
      <c r="IB49">
        <f>IF(OR('DADOS_FORMAS'!$AH13="",'DADOS_FORMAS'!$HM17="",'DADOS_FORMAS'!$HO17=""),"",IF('DADOS_FORMAS'!$HO17="—","—",'DADOS_FORMAS'!$HP17&amp;IF('DADOS_FORMAS'!$HN17="alcance",INDEX('DADOS_FORMAS'!$GL$2:$GL$7,MIN(6,'DADOS_FORMAS'!$HR17+1)),IF('DADOS_FORMAS'!$HN17="raio",INDEX('DADOS_FORMAS'!$GN$2:$GN$6,MIN(5,'DADOS_FORMAS'!$HR17+1)),IF('DADOS_FORMAS'!$HN17="comprimento",INDEX('DADOS_FORMAS'!$GP$2:$GP$6,MIN(5,'DADOS_FORMAS'!$HR17+1)),'DADOS_FORMAS'!$HO17)))&amp;SUBSTITUTE('DADOS_FORMAS'!$HQ17,"em você","nela")))</f>
        <v/>
      </c>
      <c r="IC49">
        <f>IF(OR('DADOS_FORMAS'!$AH13="",'DADOS_FORMAS'!$HM17="",'DADOS_FORMAS'!$HO17=""),"",IF('DADOS_FORMAS'!$HO17="—","—",'DADOS_FORMAS'!$HP17&amp;IF('DADOS_FORMAS'!$HN17="alcance",INDEX('DADOS_FORMAS'!$GL$2:$GL$7,MIN(6,'DADOS_FORMAS'!$HR17+2)),IF('DADOS_FORMAS'!$HN17="raio",INDEX('DADOS_FORMAS'!$GN$2:$GN$6,MIN(5,'DADOS_FORMAS'!$HR17+2)),IF('DADOS_FORMAS'!$HN17="comprimento",INDEX('DADOS_FORMAS'!$GP$2:$GP$6,MIN(5,'DADOS_FORMAS'!$HR17+2)),'DADOS_FORMAS'!$HO17)))&amp;SUBSTITUTE('DADOS_FORMAS'!$HQ17,"em você","nela")))</f>
        <v/>
      </c>
      <c r="ID49">
        <f>IF(OR('DADOS_FORMAS'!$AH13="",'DADOS_FORMAS'!$HM17="",'DADOS_FORMAS'!$HO17=""),"",IF('DADOS_FORMAS'!$HO17="—","—",'DADOS_FORMAS'!$HP17&amp;IF('DADOS_FORMAS'!$HN17="alcance",INDEX('DADOS_FORMAS'!$GL$2:$GL$7,MIN(6,'DADOS_FORMAS'!$HR17+3)),IF('DADOS_FORMAS'!$HN17="raio",INDEX('DADOS_FORMAS'!$GN$2:$GN$6,MIN(5,'DADOS_FORMAS'!$HR17+3)),IF('DADOS_FORMAS'!$HN17="comprimento",INDEX('DADOS_FORMAS'!$GP$2:$GP$6,MIN(5,'DADOS_FORMAS'!$HR17+3)),'DADOS_FORMAS'!$HO17)))&amp;SUBSTITUTE('DADOS_FORMAS'!$HQ17,"em você","nela")))</f>
        <v/>
      </c>
      <c r="IE49">
        <f>IF(OR('DADOS_FORMAS'!$AH13="",'DADOS_FORMAS'!$HM17="",'DADOS_FORMAS'!$HO17=""),"",IF('DADOS_FORMAS'!$HO17="—","—",'DADOS_FORMAS'!$HP17&amp;IF('DADOS_FORMAS'!$HN17="alcance",INDEX('DADOS_FORMAS'!$GL$2:$GL$7,MIN(6,'DADOS_FORMAS'!$HR17+4)),IF('DADOS_FORMAS'!$HN17="raio",INDEX('DADOS_FORMAS'!$GN$2:$GN$6,MIN(5,'DADOS_FORMAS'!$HR17+4)),IF('DADOS_FORMAS'!$HN17="comprimento",INDEX('DADOS_FORMAS'!$GP$2:$GP$6,MIN(5,'DADOS_FORMAS'!$HR17+4)),'DADOS_FORMAS'!$HO17)))&amp;SUBSTITUTE('DADOS_FORMAS'!$HQ17,"em você","nela")))</f>
        <v/>
      </c>
      <c r="IF49">
        <f>IF(OR('DADOS_FORMAS'!$AH13="",'DADOS_FORMAS'!$HM17="",'DADOS_FORMAS'!$HO17=""),"",IF('DADOS_FORMAS'!$HO17="—","—",'DADOS_FORMAS'!$HP17&amp;IF('DADOS_FORMAS'!$HN17="alcance",INDEX('DADOS_FORMAS'!$GL$2:$GL$7,MIN(6,'DADOS_FORMAS'!$HR17+5)),IF('DADOS_FORMAS'!$HN17="raio",INDEX('DADOS_FORMAS'!$GN$2:$GN$6,MIN(5,'DADOS_FORMAS'!$HR17+5)),IF('DADOS_FORMAS'!$HN17="comprimento",INDEX('DADOS_FORMAS'!$GP$2:$GP$6,MIN(5,'DADOS_FORMAS'!$HR17+5)),'DADOS_FORMAS'!$HO17)))&amp;SUBSTITUTE('DADOS_FORMAS'!$HQ17,"em você","nela")))</f>
        <v/>
      </c>
      <c r="KA49">
        <f>IFERROR(INDEX(INDEX('DADOS_RESTRICOES'!$M$2:$Q$54,0,1),47),"")</f>
        <v/>
      </c>
    </row>
    <row r="50">
      <c r="GR50">
        <f>'DADOS_FORMAS'!$BL20</f>
        <v/>
      </c>
      <c r="GS50">
        <f>IF('DADOS_FORMAS'!$BL20="area",'DADOS_FORMAS'!$AU20,'DADOS_FORMAS'!$AT20)</f>
        <v/>
      </c>
      <c r="GT50">
        <f>IF('DADOS_FORMAS'!$BL20="area",'DADOS_FORMAS'!$BC20,'DADOS_FORMAS'!$AV20)</f>
        <v/>
      </c>
      <c r="GU50">
        <f>'DADOS_FORMAS'!$BM20</f>
        <v/>
      </c>
      <c r="GV50">
        <f>'DADOS_FORMAS'!$BN20</f>
        <v/>
      </c>
      <c r="GW50">
        <f>LET(base,'DADOS_FORMAS'!$GT50,escada,'DADOS_FORMAS'!$GS50,medida,LEFT(base,MAX(0,LEN(base)-2)),valor,IFERROR(VALUE(SUBSTITUTE(medida,",",""))/10^IFERROR(LEN(medida)-FIND(",",medida),0),1E99),IF(OR(escada="Fixo",base="—"),base,IF(escada="alcance",IFERROR(MATCH(base,{"1,5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0">
        <f>'DADOS_FORMAS'!$AH18&amp;" · classe 0"</f>
        <v/>
      </c>
      <c r="GZ50">
        <f>LET(trecho,IF(OR('DADOS_FORMAS'!$AH18="",'DADOS_FORMAS'!$GR38="",'DADOS_FORMAS'!$GT38=""),"",IF('DADOS_FORMAS'!$GT38="—","—",'DADOS_FORMAS'!$GU38&amp;'DADOS_FORMAS'!$GT38&amp;'DADOS_FORMAS'!$GV38)),UPPER(LEFT(trecho,1))&amp;MID(trecho,2,LEN(trecho)))</f>
        <v/>
      </c>
      <c r="HA50">
        <f>LET(trecho,IF(OR('DADOS_FORMAS'!$AH18="",'DADOS_FORMAS'!$GR38="",'DADOS_FORMAS'!$GT38=""),"",IF('DADOS_FORMAS'!$GT38="—","—",'DADOS_FORMAS'!$GU38&amp;IF('DADOS_FORMAS'!$GS38="alcance",INDEX('DADOS_FORMAS'!$GL$2:$GL$7,MIN(6,'DADOS_FORMAS'!$GW38+1)),IF('DADOS_FORMAS'!$GS38="raio",INDEX('DADOS_FORMAS'!$GN$2:$GN$6,MIN(5,'DADOS_FORMAS'!$GW38+1)),IF('DADOS_FORMAS'!$GS38="comprimento",INDEX('DADOS_FORMAS'!$GP$2:$GP$6,MIN(5,'DADOS_FORMAS'!$GW38+1)),'DADOS_FORMAS'!$GT38)))&amp;'DADOS_FORMAS'!$GV38)),UPPER(LEFT(trecho,1))&amp;MID(trecho,2,LEN(trecho)))</f>
        <v/>
      </c>
      <c r="HB50">
        <f>LET(trecho,IF(OR('DADOS_FORMAS'!$AH18="",'DADOS_FORMAS'!$GR38="",'DADOS_FORMAS'!$GT38=""),"",IF('DADOS_FORMAS'!$GT38="—","—",'DADOS_FORMAS'!$GU38&amp;IF('DADOS_FORMAS'!$GS38="alcance",INDEX('DADOS_FORMAS'!$GL$2:$GL$7,MIN(6,'DADOS_FORMAS'!$GW38+2)),IF('DADOS_FORMAS'!$GS38="raio",INDEX('DADOS_FORMAS'!$GN$2:$GN$6,MIN(5,'DADOS_FORMAS'!$GW38+2)),IF('DADOS_FORMAS'!$GS38="comprimento",INDEX('DADOS_FORMAS'!$GP$2:$GP$6,MIN(5,'DADOS_FORMAS'!$GW38+2)),'DADOS_FORMAS'!$GT38)))&amp;'DADOS_FORMAS'!$GV38)),UPPER(LEFT(trecho,1))&amp;MID(trecho,2,LEN(trecho)))</f>
        <v/>
      </c>
      <c r="HC50">
        <f>LET(trecho,IF(OR('DADOS_FORMAS'!$AH18="",'DADOS_FORMAS'!$GR38="",'DADOS_FORMAS'!$GT38=""),"",IF('DADOS_FORMAS'!$GT38="—","—",'DADOS_FORMAS'!$GU38&amp;IF('DADOS_FORMAS'!$GS38="alcance",INDEX('DADOS_FORMAS'!$GL$2:$GL$7,MIN(6,'DADOS_FORMAS'!$GW38+3)),IF('DADOS_FORMAS'!$GS38="raio",INDEX('DADOS_FORMAS'!$GN$2:$GN$6,MIN(5,'DADOS_FORMAS'!$GW38+3)),IF('DADOS_FORMAS'!$GS38="comprimento",INDEX('DADOS_FORMAS'!$GP$2:$GP$6,MIN(5,'DADOS_FORMAS'!$GW38+3)),'DADOS_FORMAS'!$GT38)))&amp;'DADOS_FORMAS'!$GV38)),UPPER(LEFT(trecho,1))&amp;MID(trecho,2,LEN(trecho)))</f>
        <v/>
      </c>
      <c r="HD50">
        <f>LET(trecho,IF(OR('DADOS_FORMAS'!$AH18="",'DADOS_FORMAS'!$GR38="",'DADOS_FORMAS'!$GT38=""),"",IF('DADOS_FORMAS'!$GT38="—","—",'DADOS_FORMAS'!$GU38&amp;IF('DADOS_FORMAS'!$GS38="alcance",INDEX('DADOS_FORMAS'!$GL$2:$GL$7,MIN(6,'DADOS_FORMAS'!$GW38+4)),IF('DADOS_FORMAS'!$GS38="raio",INDEX('DADOS_FORMAS'!$GN$2:$GN$6,MIN(5,'DADOS_FORMAS'!$GW38+4)),IF('DADOS_FORMAS'!$GS38="comprimento",INDEX('DADOS_FORMAS'!$GP$2:$GP$6,MIN(5,'DADOS_FORMAS'!$GW38+4)),'DADOS_FORMAS'!$GT38)))&amp;'DADOS_FORMAS'!$GV38)),UPPER(LEFT(trecho,1))&amp;MID(trecho,2,LEN(trecho)))</f>
        <v/>
      </c>
      <c r="HE50">
        <f>LET(trecho,IF(OR('DADOS_FORMAS'!$AH18="",'DADOS_FORMAS'!$GR38="",'DADOS_FORMAS'!$GT38=""),"",IF('DADOS_FORMAS'!$GT38="—","—",'DADOS_FORMAS'!$GU38&amp;IF('DADOS_FORMAS'!$GS38="alcance",INDEX('DADOS_FORMAS'!$GL$2:$GL$7,MIN(6,'DADOS_FORMAS'!$GW38+5)),IF('DADOS_FORMAS'!$GS38="raio",INDEX('DADOS_FORMAS'!$GN$2:$GN$6,MIN(5,'DADOS_FORMAS'!$GW38+5)),IF('DADOS_FORMAS'!$GS38="comprimento",INDEX('DADOS_FORMAS'!$GP$2:$GP$6,MIN(5,'DADOS_FORMAS'!$GW38+5)),'DADOS_FORMAS'!$GT38)))&amp;'DADOS_FORMAS'!$GV38)),UPPER(LEFT(trecho,1))&amp;MID(trecho,2,LEN(trecho)))</f>
        <v/>
      </c>
      <c r="HF50">
        <f>IF(OR('DADOS_FORMAS'!$AH18="",'DADOS_FORMAS'!$GR39="",'DADOS_FORMAS'!$GT39=""),"",IF('DADOS_FORMAS'!$GT39="—","—",'DADOS_FORMAS'!$GU39&amp;'DADOS_FORMAS'!$GT39&amp;'DADOS_FORMAS'!$GV39))</f>
        <v/>
      </c>
      <c r="HG50">
        <f>IF(OR('DADOS_FORMAS'!$AH18="",'DADOS_FORMAS'!$GR39="",'DADOS_FORMAS'!$GT39=""),"",IF('DADOS_FORMAS'!$GT39="—","—",'DADOS_FORMAS'!$GU39&amp;IF('DADOS_FORMAS'!$GS39="alcance",INDEX('DADOS_FORMAS'!$GL$2:$GL$7,MIN(6,'DADOS_FORMAS'!$GW39+1)),IF('DADOS_FORMAS'!$GS39="raio",INDEX('DADOS_FORMAS'!$GN$2:$GN$6,MIN(5,'DADOS_FORMAS'!$GW39+1)),IF('DADOS_FORMAS'!$GS39="comprimento",INDEX('DADOS_FORMAS'!$GP$2:$GP$6,MIN(5,'DADOS_FORMAS'!$GW39+1)),'DADOS_FORMAS'!$GT39)))&amp;'DADOS_FORMAS'!$GV39))</f>
        <v/>
      </c>
      <c r="HH50">
        <f>IF(OR('DADOS_FORMAS'!$AH18="",'DADOS_FORMAS'!$GR39="",'DADOS_FORMAS'!$GT39=""),"",IF('DADOS_FORMAS'!$GT39="—","—",'DADOS_FORMAS'!$GU39&amp;IF('DADOS_FORMAS'!$GS39="alcance",INDEX('DADOS_FORMAS'!$GL$2:$GL$7,MIN(6,'DADOS_FORMAS'!$GW39+2)),IF('DADOS_FORMAS'!$GS39="raio",INDEX('DADOS_FORMAS'!$GN$2:$GN$6,MIN(5,'DADOS_FORMAS'!$GW39+2)),IF('DADOS_FORMAS'!$GS39="comprimento",INDEX('DADOS_FORMAS'!$GP$2:$GP$6,MIN(5,'DADOS_FORMAS'!$GW39+2)),'DADOS_FORMAS'!$GT39)))&amp;'DADOS_FORMAS'!$GV39))</f>
        <v/>
      </c>
      <c r="HI50">
        <f>IF(OR('DADOS_FORMAS'!$AH18="",'DADOS_FORMAS'!$GR39="",'DADOS_FORMAS'!$GT39=""),"",IF('DADOS_FORMAS'!$GT39="—","—",'DADOS_FORMAS'!$GU39&amp;IF('DADOS_FORMAS'!$GS39="alcance",INDEX('DADOS_FORMAS'!$GL$2:$GL$7,MIN(6,'DADOS_FORMAS'!$GW39+3)),IF('DADOS_FORMAS'!$GS39="raio",INDEX('DADOS_FORMAS'!$GN$2:$GN$6,MIN(5,'DADOS_FORMAS'!$GW39+3)),IF('DADOS_FORMAS'!$GS39="comprimento",INDEX('DADOS_FORMAS'!$GP$2:$GP$6,MIN(5,'DADOS_FORMAS'!$GW39+3)),'DADOS_FORMAS'!$GT39)))&amp;'DADOS_FORMAS'!$GV39))</f>
        <v/>
      </c>
      <c r="HJ50">
        <f>IF(OR('DADOS_FORMAS'!$AH18="",'DADOS_FORMAS'!$GR39="",'DADOS_FORMAS'!$GT39=""),"",IF('DADOS_FORMAS'!$GT39="—","—",'DADOS_FORMAS'!$GU39&amp;IF('DADOS_FORMAS'!$GS39="alcance",INDEX('DADOS_FORMAS'!$GL$2:$GL$7,MIN(6,'DADOS_FORMAS'!$GW39+4)),IF('DADOS_FORMAS'!$GS39="raio",INDEX('DADOS_FORMAS'!$GN$2:$GN$6,MIN(5,'DADOS_FORMAS'!$GW39+4)),IF('DADOS_FORMAS'!$GS39="comprimento",INDEX('DADOS_FORMAS'!$GP$2:$GP$6,MIN(5,'DADOS_FORMAS'!$GW39+4)),'DADOS_FORMAS'!$GT39)))&amp;'DADOS_FORMAS'!$GV39))</f>
        <v/>
      </c>
      <c r="HK50">
        <f>IF(OR('DADOS_FORMAS'!$AH18="",'DADOS_FORMAS'!$GR39="",'DADOS_FORMAS'!$GT39=""),"",IF('DADOS_FORMAS'!$GT39="—","—",'DADOS_FORMAS'!$GU39&amp;IF('DADOS_FORMAS'!$GS39="alcance",INDEX('DADOS_FORMAS'!$GL$2:$GL$7,MIN(6,'DADOS_FORMAS'!$GW39+5)),IF('DADOS_FORMAS'!$GS39="raio",INDEX('DADOS_FORMAS'!$GN$2:$GN$6,MIN(5,'DADOS_FORMAS'!$GW39+5)),IF('DADOS_FORMAS'!$GS39="comprimento",INDEX('DADOS_FORMAS'!$GP$2:$GP$6,MIN(5,'DADOS_FORMAS'!$GW39+5)),'DADOS_FORMAS'!$GT39)))&amp;'DADOS_FORMAS'!$GV39))</f>
        <v/>
      </c>
      <c r="HM50">
        <f>'DADOS_FORMAS'!$BL18</f>
        <v/>
      </c>
      <c r="HN50">
        <f>IF('DADOS_FORMAS'!$BL18="area",'DADOS_FORMAS'!$AU18,'DADOS_FORMAS'!$AT18)</f>
        <v/>
      </c>
      <c r="HO50">
        <f>IF('DADOS_FORMAS'!$BL18="area",'DADOS_FORMAS'!$BF18,'DADOS_FORMAS'!$AY18)</f>
        <v/>
      </c>
      <c r="HP50">
        <f>'DADOS_FORMAS'!$BM18</f>
        <v/>
      </c>
      <c r="HQ50">
        <f>'DADOS_FORMAS'!$BN18</f>
        <v/>
      </c>
      <c r="HR50">
        <f>LET(base,'DADOS_FORMAS'!$HO50,escada,'DADOS_FORMAS'!$HN50,medida,LEFT(base,MAX(0,LEN(base)-2)),valor,IFERROR(VALUE(SUBSTITUTE(medida,",",""))/10^IFERROR(LEN(medida)-FIND(",",medida),0),1E99),IF(OR(escada="Fixo",base="—"),base,IF(escada="alcance",IFERROR(MATCH(base,{"1,5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0">
        <f>'DADOS_FORMAS'!$AH14&amp;" · classe 0"</f>
        <v/>
      </c>
      <c r="HU50">
        <f>LET(trecho,IF(OR('DADOS_FORMAS'!$AH14="",'DADOS_FORMAS'!$HM18="",'DADOS_FORMAS'!$HO18=""),"",IF('DADOS_FORMAS'!$HO18="—","—",'DADOS_FORMAS'!$HP18&amp;'DADOS_FORMAS'!$HO18&amp;SUBSTITUTE('DADOS_FORMAS'!$HQ18,"em você","nela"))),UPPER(LEFT(trecho,1))&amp;MID(trecho,2,LEN(trecho)))</f>
        <v/>
      </c>
      <c r="HV50">
        <f>LET(trecho,IF(OR('DADOS_FORMAS'!$AH14="",'DADOS_FORMAS'!$HM18="",'DADOS_FORMAS'!$HO18=""),"",IF('DADOS_FORMAS'!$HO18="—","—",'DADOS_FORMAS'!$HP18&amp;IF('DADOS_FORMAS'!$HN18="alcance",INDEX('DADOS_FORMAS'!$GL$2:$GL$7,MIN(6,'DADOS_FORMAS'!$HR18+1)),IF('DADOS_FORMAS'!$HN18="raio",INDEX('DADOS_FORMAS'!$GN$2:$GN$6,MIN(5,'DADOS_FORMAS'!$HR18+1)),IF('DADOS_FORMAS'!$HN18="comprimento",INDEX('DADOS_FORMAS'!$GP$2:$GP$6,MIN(5,'DADOS_FORMAS'!$HR18+1)),'DADOS_FORMAS'!$HO18)))&amp;SUBSTITUTE('DADOS_FORMAS'!$HQ18,"em você","nela"))),UPPER(LEFT(trecho,1))&amp;MID(trecho,2,LEN(trecho)))</f>
        <v/>
      </c>
      <c r="HW50">
        <f>LET(trecho,IF(OR('DADOS_FORMAS'!$AH14="",'DADOS_FORMAS'!$HM18="",'DADOS_FORMAS'!$HO18=""),"",IF('DADOS_FORMAS'!$HO18="—","—",'DADOS_FORMAS'!$HP18&amp;IF('DADOS_FORMAS'!$HN18="alcance",INDEX('DADOS_FORMAS'!$GL$2:$GL$7,MIN(6,'DADOS_FORMAS'!$HR18+2)),IF('DADOS_FORMAS'!$HN18="raio",INDEX('DADOS_FORMAS'!$GN$2:$GN$6,MIN(5,'DADOS_FORMAS'!$HR18+2)),IF('DADOS_FORMAS'!$HN18="comprimento",INDEX('DADOS_FORMAS'!$GP$2:$GP$6,MIN(5,'DADOS_FORMAS'!$HR18+2)),'DADOS_FORMAS'!$HO18)))&amp;SUBSTITUTE('DADOS_FORMAS'!$HQ18,"em você","nela"))),UPPER(LEFT(trecho,1))&amp;MID(trecho,2,LEN(trecho)))</f>
        <v/>
      </c>
      <c r="HX50">
        <f>LET(trecho,IF(OR('DADOS_FORMAS'!$AH14="",'DADOS_FORMAS'!$HM18="",'DADOS_FORMAS'!$HO18=""),"",IF('DADOS_FORMAS'!$HO18="—","—",'DADOS_FORMAS'!$HP18&amp;IF('DADOS_FORMAS'!$HN18="alcance",INDEX('DADOS_FORMAS'!$GL$2:$GL$7,MIN(6,'DADOS_FORMAS'!$HR18+3)),IF('DADOS_FORMAS'!$HN18="raio",INDEX('DADOS_FORMAS'!$GN$2:$GN$6,MIN(5,'DADOS_FORMAS'!$HR18+3)),IF('DADOS_FORMAS'!$HN18="comprimento",INDEX('DADOS_FORMAS'!$GP$2:$GP$6,MIN(5,'DADOS_FORMAS'!$HR18+3)),'DADOS_FORMAS'!$HO18)))&amp;SUBSTITUTE('DADOS_FORMAS'!$HQ18,"em você","nela"))),UPPER(LEFT(trecho,1))&amp;MID(trecho,2,LEN(trecho)))</f>
        <v/>
      </c>
      <c r="HY50">
        <f>LET(trecho,IF(OR('DADOS_FORMAS'!$AH14="",'DADOS_FORMAS'!$HM18="",'DADOS_FORMAS'!$HO18=""),"",IF('DADOS_FORMAS'!$HO18="—","—",'DADOS_FORMAS'!$HP18&amp;IF('DADOS_FORMAS'!$HN18="alcance",INDEX('DADOS_FORMAS'!$GL$2:$GL$7,MIN(6,'DADOS_FORMAS'!$HR18+4)),IF('DADOS_FORMAS'!$HN18="raio",INDEX('DADOS_FORMAS'!$GN$2:$GN$6,MIN(5,'DADOS_FORMAS'!$HR18+4)),IF('DADOS_FORMAS'!$HN18="comprimento",INDEX('DADOS_FORMAS'!$GP$2:$GP$6,MIN(5,'DADOS_FORMAS'!$HR18+4)),'DADOS_FORMAS'!$HO18)))&amp;SUBSTITUTE('DADOS_FORMAS'!$HQ18,"em você","nela"))),UPPER(LEFT(trecho,1))&amp;MID(trecho,2,LEN(trecho)))</f>
        <v/>
      </c>
      <c r="HZ50">
        <f>LET(trecho,IF(OR('DADOS_FORMAS'!$AH14="",'DADOS_FORMAS'!$HM18="",'DADOS_FORMAS'!$HO18=""),"",IF('DADOS_FORMAS'!$HO18="—","—",'DADOS_FORMAS'!$HP18&amp;IF('DADOS_FORMAS'!$HN18="alcance",INDEX('DADOS_FORMAS'!$GL$2:$GL$7,MIN(6,'DADOS_FORMAS'!$HR18+5)),IF('DADOS_FORMAS'!$HN18="raio",INDEX('DADOS_FORMAS'!$GN$2:$GN$6,MIN(5,'DADOS_FORMAS'!$HR18+5)),IF('DADOS_FORMAS'!$HN18="comprimento",INDEX('DADOS_FORMAS'!$GP$2:$GP$6,MIN(5,'DADOS_FORMAS'!$HR18+5)),'DADOS_FORMAS'!$HO18)))&amp;SUBSTITUTE('DADOS_FORMAS'!$HQ18,"em você","nela"))),UPPER(LEFT(trecho,1))&amp;MID(trecho,2,LEN(trecho)))</f>
        <v/>
      </c>
      <c r="IA50">
        <f>IF(OR('DADOS_FORMAS'!$AH14="",'DADOS_FORMAS'!$HM19="",'DADOS_FORMAS'!$HO19=""),"",IF('DADOS_FORMAS'!$HO19="—","—",'DADOS_FORMAS'!$HP19&amp;'DADOS_FORMAS'!$HO19&amp;SUBSTITUTE('DADOS_FORMAS'!$HQ19,"em você","nela")))</f>
        <v/>
      </c>
      <c r="IB50">
        <f>IF(OR('DADOS_FORMAS'!$AH14="",'DADOS_FORMAS'!$HM19="",'DADOS_FORMAS'!$HO19=""),"",IF('DADOS_FORMAS'!$HO19="—","—",'DADOS_FORMAS'!$HP19&amp;IF('DADOS_FORMAS'!$HN19="alcance",INDEX('DADOS_FORMAS'!$GL$2:$GL$7,MIN(6,'DADOS_FORMAS'!$HR19+1)),IF('DADOS_FORMAS'!$HN19="raio",INDEX('DADOS_FORMAS'!$GN$2:$GN$6,MIN(5,'DADOS_FORMAS'!$HR19+1)),IF('DADOS_FORMAS'!$HN19="comprimento",INDEX('DADOS_FORMAS'!$GP$2:$GP$6,MIN(5,'DADOS_FORMAS'!$HR19+1)),'DADOS_FORMAS'!$HO19)))&amp;SUBSTITUTE('DADOS_FORMAS'!$HQ19,"em você","nela")))</f>
        <v/>
      </c>
      <c r="IC50">
        <f>IF(OR('DADOS_FORMAS'!$AH14="",'DADOS_FORMAS'!$HM19="",'DADOS_FORMAS'!$HO19=""),"",IF('DADOS_FORMAS'!$HO19="—","—",'DADOS_FORMAS'!$HP19&amp;IF('DADOS_FORMAS'!$HN19="alcance",INDEX('DADOS_FORMAS'!$GL$2:$GL$7,MIN(6,'DADOS_FORMAS'!$HR19+2)),IF('DADOS_FORMAS'!$HN19="raio",INDEX('DADOS_FORMAS'!$GN$2:$GN$6,MIN(5,'DADOS_FORMAS'!$HR19+2)),IF('DADOS_FORMAS'!$HN19="comprimento",INDEX('DADOS_FORMAS'!$GP$2:$GP$6,MIN(5,'DADOS_FORMAS'!$HR19+2)),'DADOS_FORMAS'!$HO19)))&amp;SUBSTITUTE('DADOS_FORMAS'!$HQ19,"em você","nela")))</f>
        <v/>
      </c>
      <c r="ID50">
        <f>IF(OR('DADOS_FORMAS'!$AH14="",'DADOS_FORMAS'!$HM19="",'DADOS_FORMAS'!$HO19=""),"",IF('DADOS_FORMAS'!$HO19="—","—",'DADOS_FORMAS'!$HP19&amp;IF('DADOS_FORMAS'!$HN19="alcance",INDEX('DADOS_FORMAS'!$GL$2:$GL$7,MIN(6,'DADOS_FORMAS'!$HR19+3)),IF('DADOS_FORMAS'!$HN19="raio",INDEX('DADOS_FORMAS'!$GN$2:$GN$6,MIN(5,'DADOS_FORMAS'!$HR19+3)),IF('DADOS_FORMAS'!$HN19="comprimento",INDEX('DADOS_FORMAS'!$GP$2:$GP$6,MIN(5,'DADOS_FORMAS'!$HR19+3)),'DADOS_FORMAS'!$HO19)))&amp;SUBSTITUTE('DADOS_FORMAS'!$HQ19,"em você","nela")))</f>
        <v/>
      </c>
      <c r="IE50">
        <f>IF(OR('DADOS_FORMAS'!$AH14="",'DADOS_FORMAS'!$HM19="",'DADOS_FORMAS'!$HO19=""),"",IF('DADOS_FORMAS'!$HO19="—","—",'DADOS_FORMAS'!$HP19&amp;IF('DADOS_FORMAS'!$HN19="alcance",INDEX('DADOS_FORMAS'!$GL$2:$GL$7,MIN(6,'DADOS_FORMAS'!$HR19+4)),IF('DADOS_FORMAS'!$HN19="raio",INDEX('DADOS_FORMAS'!$GN$2:$GN$6,MIN(5,'DADOS_FORMAS'!$HR19+4)),IF('DADOS_FORMAS'!$HN19="comprimento",INDEX('DADOS_FORMAS'!$GP$2:$GP$6,MIN(5,'DADOS_FORMAS'!$HR19+4)),'DADOS_FORMAS'!$HO19)))&amp;SUBSTITUTE('DADOS_FORMAS'!$HQ19,"em você","nela")))</f>
        <v/>
      </c>
      <c r="IF50">
        <f>IF(OR('DADOS_FORMAS'!$AH14="",'DADOS_FORMAS'!$HM19="",'DADOS_FORMAS'!$HO19=""),"",IF('DADOS_FORMAS'!$HO19="—","—",'DADOS_FORMAS'!$HP19&amp;IF('DADOS_FORMAS'!$HN19="alcance",INDEX('DADOS_FORMAS'!$GL$2:$GL$7,MIN(6,'DADOS_FORMAS'!$HR19+5)),IF('DADOS_FORMAS'!$HN19="raio",INDEX('DADOS_FORMAS'!$GN$2:$GN$6,MIN(5,'DADOS_FORMAS'!$HR19+5)),IF('DADOS_FORMAS'!$HN19="comprimento",INDEX('DADOS_FORMAS'!$GP$2:$GP$6,MIN(5,'DADOS_FORMAS'!$HR19+5)),'DADOS_FORMAS'!$HO19)))&amp;SUBSTITUTE('DADOS_FORMAS'!$HQ19,"em você","nela")))</f>
        <v/>
      </c>
      <c r="KA50">
        <f>IFERROR(INDEX(INDEX('DADOS_RESTRICOES'!$M$2:$Q$54,0,1),48),"")</f>
        <v/>
      </c>
    </row>
    <row r="51">
      <c r="GR51">
        <f>'DADOS_FORMAS'!$BP20</f>
        <v/>
      </c>
      <c r="GS51">
        <f>IF('DADOS_FORMAS'!$BP20="area",'DADOS_FORMAS'!$AU20,'DADOS_FORMAS'!$AT20)</f>
        <v/>
      </c>
      <c r="GT51">
        <f>IF('DADOS_FORMAS'!$BP20="area",'DADOS_FORMAS'!$BC20,'DADOS_FORMAS'!$AV20)</f>
        <v/>
      </c>
      <c r="GU51">
        <f>'DADOS_FORMAS'!$BQ20</f>
        <v/>
      </c>
      <c r="GV51">
        <f>'DADOS_FORMAS'!$BR20</f>
        <v/>
      </c>
      <c r="GW51">
        <f>LET(base,'DADOS_FORMAS'!$GT51,escada,'DADOS_FORMAS'!$GS51,medida,LEFT(base,MAX(0,LEN(base)-2)),valor,IFERROR(VALUE(SUBSTITUTE(medida,",",""))/10^IFERROR(LEN(medida)-FIND(",",medida),0),1E99),IF(OR(escada="Fixo",base="—"),base,IF(escada="alcance",IFERROR(MATCH(base,{"1,5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1">
        <f>'DADOS_FORMAS'!$AH18&amp;" · classes 1 a 5"</f>
        <v/>
      </c>
      <c r="GZ51">
        <f>LET(trecho,IF(OR('DADOS_FORMAS'!$AH18="",'DADOS_FORMAS'!$GR40="",'DADOS_FORMAS'!$GT40=""),"",IF('DADOS_FORMAS'!$GT40="—","—",'DADOS_FORMAS'!$GU40&amp;'DADOS_FORMAS'!$GT40&amp;'DADOS_FORMAS'!$GV40)),UPPER(LEFT(trecho,1))&amp;MID(trecho,2,LEN(trecho)))</f>
        <v/>
      </c>
      <c r="HA51">
        <f>LET(trecho,IF(OR('DADOS_FORMAS'!$AH18="",'DADOS_FORMAS'!$GR40="",'DADOS_FORMAS'!$GT40=""),"",IF('DADOS_FORMAS'!$GT40="—","—",'DADOS_FORMAS'!$GU40&amp;IF('DADOS_FORMAS'!$GS40="alcance",INDEX('DADOS_FORMAS'!$GL$2:$GL$7,MIN(6,'DADOS_FORMAS'!$GW40+1)),IF('DADOS_FORMAS'!$GS40="raio",INDEX('DADOS_FORMAS'!$GN$2:$GN$6,MIN(5,'DADOS_FORMAS'!$GW40+1)),IF('DADOS_FORMAS'!$GS40="comprimento",INDEX('DADOS_FORMAS'!$GP$2:$GP$6,MIN(5,'DADOS_FORMAS'!$GW40+1)),'DADOS_FORMAS'!$GT40)))&amp;'DADOS_FORMAS'!$GV40)),UPPER(LEFT(trecho,1))&amp;MID(trecho,2,LEN(trecho)))</f>
        <v/>
      </c>
      <c r="HB51">
        <f>LET(trecho,IF(OR('DADOS_FORMAS'!$AH18="",'DADOS_FORMAS'!$GR40="",'DADOS_FORMAS'!$GT40=""),"",IF('DADOS_FORMAS'!$GT40="—","—",'DADOS_FORMAS'!$GU40&amp;IF('DADOS_FORMAS'!$GS40="alcance",INDEX('DADOS_FORMAS'!$GL$2:$GL$7,MIN(6,'DADOS_FORMAS'!$GW40+2)),IF('DADOS_FORMAS'!$GS40="raio",INDEX('DADOS_FORMAS'!$GN$2:$GN$6,MIN(5,'DADOS_FORMAS'!$GW40+2)),IF('DADOS_FORMAS'!$GS40="comprimento",INDEX('DADOS_FORMAS'!$GP$2:$GP$6,MIN(5,'DADOS_FORMAS'!$GW40+2)),'DADOS_FORMAS'!$GT40)))&amp;'DADOS_FORMAS'!$GV40)),UPPER(LEFT(trecho,1))&amp;MID(trecho,2,LEN(trecho)))</f>
        <v/>
      </c>
      <c r="HC51">
        <f>LET(trecho,IF(OR('DADOS_FORMAS'!$AH18="",'DADOS_FORMAS'!$GR40="",'DADOS_FORMAS'!$GT40=""),"",IF('DADOS_FORMAS'!$GT40="—","—",'DADOS_FORMAS'!$GU40&amp;IF('DADOS_FORMAS'!$GS40="alcance",INDEX('DADOS_FORMAS'!$GL$2:$GL$7,MIN(6,'DADOS_FORMAS'!$GW40+3)),IF('DADOS_FORMAS'!$GS40="raio",INDEX('DADOS_FORMAS'!$GN$2:$GN$6,MIN(5,'DADOS_FORMAS'!$GW40+3)),IF('DADOS_FORMAS'!$GS40="comprimento",INDEX('DADOS_FORMAS'!$GP$2:$GP$6,MIN(5,'DADOS_FORMAS'!$GW40+3)),'DADOS_FORMAS'!$GT40)))&amp;'DADOS_FORMAS'!$GV40)),UPPER(LEFT(trecho,1))&amp;MID(trecho,2,LEN(trecho)))</f>
        <v/>
      </c>
      <c r="HD51">
        <f>LET(trecho,IF(OR('DADOS_FORMAS'!$AH18="",'DADOS_FORMAS'!$GR40="",'DADOS_FORMAS'!$GT40=""),"",IF('DADOS_FORMAS'!$GT40="—","—",'DADOS_FORMAS'!$GU40&amp;IF('DADOS_FORMAS'!$GS40="alcance",INDEX('DADOS_FORMAS'!$GL$2:$GL$7,MIN(6,'DADOS_FORMAS'!$GW40+4)),IF('DADOS_FORMAS'!$GS40="raio",INDEX('DADOS_FORMAS'!$GN$2:$GN$6,MIN(5,'DADOS_FORMAS'!$GW40+4)),IF('DADOS_FORMAS'!$GS40="comprimento",INDEX('DADOS_FORMAS'!$GP$2:$GP$6,MIN(5,'DADOS_FORMAS'!$GW40+4)),'DADOS_FORMAS'!$GT40)))&amp;'DADOS_FORMAS'!$GV40)),UPPER(LEFT(trecho,1))&amp;MID(trecho,2,LEN(trecho)))</f>
        <v/>
      </c>
      <c r="HE51">
        <f>LET(trecho,IF(OR('DADOS_FORMAS'!$AH18="",'DADOS_FORMAS'!$GR40="",'DADOS_FORMAS'!$GT40=""),"",IF('DADOS_FORMAS'!$GT40="—","—",'DADOS_FORMAS'!$GU40&amp;IF('DADOS_FORMAS'!$GS40="alcance",INDEX('DADOS_FORMAS'!$GL$2:$GL$7,MIN(6,'DADOS_FORMAS'!$GW40+5)),IF('DADOS_FORMAS'!$GS40="raio",INDEX('DADOS_FORMAS'!$GN$2:$GN$6,MIN(5,'DADOS_FORMAS'!$GW40+5)),IF('DADOS_FORMAS'!$GS40="comprimento",INDEX('DADOS_FORMAS'!$GP$2:$GP$6,MIN(5,'DADOS_FORMAS'!$GW40+5)),'DADOS_FORMAS'!$GT40)))&amp;'DADOS_FORMAS'!$GV40)),UPPER(LEFT(trecho,1))&amp;MID(trecho,2,LEN(trecho)))</f>
        <v/>
      </c>
      <c r="HF51">
        <f>IF(OR('DADOS_FORMAS'!$AH18="",'DADOS_FORMAS'!$GR41="",'DADOS_FORMAS'!$GT41=""),"",IF('DADOS_FORMAS'!$GT41="—","—",'DADOS_FORMAS'!$GU41&amp;'DADOS_FORMAS'!$GT41&amp;'DADOS_FORMAS'!$GV41))</f>
        <v/>
      </c>
      <c r="HG51">
        <f>IF(OR('DADOS_FORMAS'!$AH18="",'DADOS_FORMAS'!$GR41="",'DADOS_FORMAS'!$GT41=""),"",IF('DADOS_FORMAS'!$GT41="—","—",'DADOS_FORMAS'!$GU41&amp;IF('DADOS_FORMAS'!$GS41="alcance",INDEX('DADOS_FORMAS'!$GL$2:$GL$7,MIN(6,'DADOS_FORMAS'!$GW41+1)),IF('DADOS_FORMAS'!$GS41="raio",INDEX('DADOS_FORMAS'!$GN$2:$GN$6,MIN(5,'DADOS_FORMAS'!$GW41+1)),IF('DADOS_FORMAS'!$GS41="comprimento",INDEX('DADOS_FORMAS'!$GP$2:$GP$6,MIN(5,'DADOS_FORMAS'!$GW41+1)),'DADOS_FORMAS'!$GT41)))&amp;'DADOS_FORMAS'!$GV41))</f>
        <v/>
      </c>
      <c r="HH51">
        <f>IF(OR('DADOS_FORMAS'!$AH18="",'DADOS_FORMAS'!$GR41="",'DADOS_FORMAS'!$GT41=""),"",IF('DADOS_FORMAS'!$GT41="—","—",'DADOS_FORMAS'!$GU41&amp;IF('DADOS_FORMAS'!$GS41="alcance",INDEX('DADOS_FORMAS'!$GL$2:$GL$7,MIN(6,'DADOS_FORMAS'!$GW41+2)),IF('DADOS_FORMAS'!$GS41="raio",INDEX('DADOS_FORMAS'!$GN$2:$GN$6,MIN(5,'DADOS_FORMAS'!$GW41+2)),IF('DADOS_FORMAS'!$GS41="comprimento",INDEX('DADOS_FORMAS'!$GP$2:$GP$6,MIN(5,'DADOS_FORMAS'!$GW41+2)),'DADOS_FORMAS'!$GT41)))&amp;'DADOS_FORMAS'!$GV41))</f>
        <v/>
      </c>
      <c r="HI51">
        <f>IF(OR('DADOS_FORMAS'!$AH18="",'DADOS_FORMAS'!$GR41="",'DADOS_FORMAS'!$GT41=""),"",IF('DADOS_FORMAS'!$GT41="—","—",'DADOS_FORMAS'!$GU41&amp;IF('DADOS_FORMAS'!$GS41="alcance",INDEX('DADOS_FORMAS'!$GL$2:$GL$7,MIN(6,'DADOS_FORMAS'!$GW41+3)),IF('DADOS_FORMAS'!$GS41="raio",INDEX('DADOS_FORMAS'!$GN$2:$GN$6,MIN(5,'DADOS_FORMAS'!$GW41+3)),IF('DADOS_FORMAS'!$GS41="comprimento",INDEX('DADOS_FORMAS'!$GP$2:$GP$6,MIN(5,'DADOS_FORMAS'!$GW41+3)),'DADOS_FORMAS'!$GT41)))&amp;'DADOS_FORMAS'!$GV41))</f>
        <v/>
      </c>
      <c r="HJ51">
        <f>IF(OR('DADOS_FORMAS'!$AH18="",'DADOS_FORMAS'!$GR41="",'DADOS_FORMAS'!$GT41=""),"",IF('DADOS_FORMAS'!$GT41="—","—",'DADOS_FORMAS'!$GU41&amp;IF('DADOS_FORMAS'!$GS41="alcance",INDEX('DADOS_FORMAS'!$GL$2:$GL$7,MIN(6,'DADOS_FORMAS'!$GW41+4)),IF('DADOS_FORMAS'!$GS41="raio",INDEX('DADOS_FORMAS'!$GN$2:$GN$6,MIN(5,'DADOS_FORMAS'!$GW41+4)),IF('DADOS_FORMAS'!$GS41="comprimento",INDEX('DADOS_FORMAS'!$GP$2:$GP$6,MIN(5,'DADOS_FORMAS'!$GW41+4)),'DADOS_FORMAS'!$GT41)))&amp;'DADOS_FORMAS'!$GV41))</f>
        <v/>
      </c>
      <c r="HK51">
        <f>IF(OR('DADOS_FORMAS'!$AH18="",'DADOS_FORMAS'!$GR41="",'DADOS_FORMAS'!$GT41=""),"",IF('DADOS_FORMAS'!$GT41="—","—",'DADOS_FORMAS'!$GU41&amp;IF('DADOS_FORMAS'!$GS41="alcance",INDEX('DADOS_FORMAS'!$GL$2:$GL$7,MIN(6,'DADOS_FORMAS'!$GW41+5)),IF('DADOS_FORMAS'!$GS41="raio",INDEX('DADOS_FORMAS'!$GN$2:$GN$6,MIN(5,'DADOS_FORMAS'!$GW41+5)),IF('DADOS_FORMAS'!$GS41="comprimento",INDEX('DADOS_FORMAS'!$GP$2:$GP$6,MIN(5,'DADOS_FORMAS'!$GW41+5)),'DADOS_FORMAS'!$GT41)))&amp;'DADOS_FORMAS'!$GV41))</f>
        <v/>
      </c>
      <c r="HM51">
        <f>'DADOS_FORMAS'!$BP18</f>
        <v/>
      </c>
      <c r="HN51">
        <f>IF('DADOS_FORMAS'!$BP18="area",'DADOS_FORMAS'!$AU18,'DADOS_FORMAS'!$AT18)</f>
        <v/>
      </c>
      <c r="HO51">
        <f>IF('DADOS_FORMAS'!$BP18="area",'DADOS_FORMAS'!$BF18,'DADOS_FORMAS'!$AY18)</f>
        <v/>
      </c>
      <c r="HP51">
        <f>'DADOS_FORMAS'!$BQ18</f>
        <v/>
      </c>
      <c r="HQ51">
        <f>'DADOS_FORMAS'!$BR18</f>
        <v/>
      </c>
      <c r="HR51">
        <f>LET(base,'DADOS_FORMAS'!$HO51,escada,'DADOS_FORMAS'!$HN51,medida,LEFT(base,MAX(0,LEN(base)-2)),valor,IFERROR(VALUE(SUBSTITUTE(medida,",",""))/10^IFERROR(LEN(medida)-FIND(",",medida),0),1E99),IF(OR(escada="Fixo",base="—"),base,IF(escada="alcance",IFERROR(MATCH(base,{"1,5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1">
        <f>'DADOS_FORMAS'!$AH14&amp;" · classes 1 a 5"</f>
        <v/>
      </c>
      <c r="HU51">
        <f>LET(trecho,IF(OR('DADOS_FORMAS'!$AH14="",'DADOS_FORMAS'!$HM20="",'DADOS_FORMAS'!$HO20=""),"",IF('DADOS_FORMAS'!$HO20="—","—",'DADOS_FORMAS'!$HP20&amp;'DADOS_FORMAS'!$HO20&amp;SUBSTITUTE('DADOS_FORMAS'!$HQ20,"em você","nela"))),UPPER(LEFT(trecho,1))&amp;MID(trecho,2,LEN(trecho)))</f>
        <v/>
      </c>
      <c r="HV51">
        <f>LET(trecho,IF(OR('DADOS_FORMAS'!$AH14="",'DADOS_FORMAS'!$HM20="",'DADOS_FORMAS'!$HO20=""),"",IF('DADOS_FORMAS'!$HO20="—","—",'DADOS_FORMAS'!$HP20&amp;IF('DADOS_FORMAS'!$HN20="alcance",INDEX('DADOS_FORMAS'!$GL$2:$GL$7,MIN(6,'DADOS_FORMAS'!$HR20+1)),IF('DADOS_FORMAS'!$HN20="raio",INDEX('DADOS_FORMAS'!$GN$2:$GN$6,MIN(5,'DADOS_FORMAS'!$HR20+1)),IF('DADOS_FORMAS'!$HN20="comprimento",INDEX('DADOS_FORMAS'!$GP$2:$GP$6,MIN(5,'DADOS_FORMAS'!$HR20+1)),'DADOS_FORMAS'!$HO20)))&amp;SUBSTITUTE('DADOS_FORMAS'!$HQ20,"em você","nela"))),UPPER(LEFT(trecho,1))&amp;MID(trecho,2,LEN(trecho)))</f>
        <v/>
      </c>
      <c r="HW51">
        <f>LET(trecho,IF(OR('DADOS_FORMAS'!$AH14="",'DADOS_FORMAS'!$HM20="",'DADOS_FORMAS'!$HO20=""),"",IF('DADOS_FORMAS'!$HO20="—","—",'DADOS_FORMAS'!$HP20&amp;IF('DADOS_FORMAS'!$HN20="alcance",INDEX('DADOS_FORMAS'!$GL$2:$GL$7,MIN(6,'DADOS_FORMAS'!$HR20+2)),IF('DADOS_FORMAS'!$HN20="raio",INDEX('DADOS_FORMAS'!$GN$2:$GN$6,MIN(5,'DADOS_FORMAS'!$HR20+2)),IF('DADOS_FORMAS'!$HN20="comprimento",INDEX('DADOS_FORMAS'!$GP$2:$GP$6,MIN(5,'DADOS_FORMAS'!$HR20+2)),'DADOS_FORMAS'!$HO20)))&amp;SUBSTITUTE('DADOS_FORMAS'!$HQ20,"em você","nela"))),UPPER(LEFT(trecho,1))&amp;MID(trecho,2,LEN(trecho)))</f>
        <v/>
      </c>
      <c r="HX51">
        <f>LET(trecho,IF(OR('DADOS_FORMAS'!$AH14="",'DADOS_FORMAS'!$HM20="",'DADOS_FORMAS'!$HO20=""),"",IF('DADOS_FORMAS'!$HO20="—","—",'DADOS_FORMAS'!$HP20&amp;IF('DADOS_FORMAS'!$HN20="alcance",INDEX('DADOS_FORMAS'!$GL$2:$GL$7,MIN(6,'DADOS_FORMAS'!$HR20+3)),IF('DADOS_FORMAS'!$HN20="raio",INDEX('DADOS_FORMAS'!$GN$2:$GN$6,MIN(5,'DADOS_FORMAS'!$HR20+3)),IF('DADOS_FORMAS'!$HN20="comprimento",INDEX('DADOS_FORMAS'!$GP$2:$GP$6,MIN(5,'DADOS_FORMAS'!$HR20+3)),'DADOS_FORMAS'!$HO20)))&amp;SUBSTITUTE('DADOS_FORMAS'!$HQ20,"em você","nela"))),UPPER(LEFT(trecho,1))&amp;MID(trecho,2,LEN(trecho)))</f>
        <v/>
      </c>
      <c r="HY51">
        <f>LET(trecho,IF(OR('DADOS_FORMAS'!$AH14="",'DADOS_FORMAS'!$HM20="",'DADOS_FORMAS'!$HO20=""),"",IF('DADOS_FORMAS'!$HO20="—","—",'DADOS_FORMAS'!$HP20&amp;IF('DADOS_FORMAS'!$HN20="alcance",INDEX('DADOS_FORMAS'!$GL$2:$GL$7,MIN(6,'DADOS_FORMAS'!$HR20+4)),IF('DADOS_FORMAS'!$HN20="raio",INDEX('DADOS_FORMAS'!$GN$2:$GN$6,MIN(5,'DADOS_FORMAS'!$HR20+4)),IF('DADOS_FORMAS'!$HN20="comprimento",INDEX('DADOS_FORMAS'!$GP$2:$GP$6,MIN(5,'DADOS_FORMAS'!$HR20+4)),'DADOS_FORMAS'!$HO20)))&amp;SUBSTITUTE('DADOS_FORMAS'!$HQ20,"em você","nela"))),UPPER(LEFT(trecho,1))&amp;MID(trecho,2,LEN(trecho)))</f>
        <v/>
      </c>
      <c r="HZ51">
        <f>LET(trecho,IF(OR('DADOS_FORMAS'!$AH14="",'DADOS_FORMAS'!$HM20="",'DADOS_FORMAS'!$HO20=""),"",IF('DADOS_FORMAS'!$HO20="—","—",'DADOS_FORMAS'!$HP20&amp;IF('DADOS_FORMAS'!$HN20="alcance",INDEX('DADOS_FORMAS'!$GL$2:$GL$7,MIN(6,'DADOS_FORMAS'!$HR20+5)),IF('DADOS_FORMAS'!$HN20="raio",INDEX('DADOS_FORMAS'!$GN$2:$GN$6,MIN(5,'DADOS_FORMAS'!$HR20+5)),IF('DADOS_FORMAS'!$HN20="comprimento",INDEX('DADOS_FORMAS'!$GP$2:$GP$6,MIN(5,'DADOS_FORMAS'!$HR20+5)),'DADOS_FORMAS'!$HO20)))&amp;SUBSTITUTE('DADOS_FORMAS'!$HQ20,"em você","nela"))),UPPER(LEFT(trecho,1))&amp;MID(trecho,2,LEN(trecho)))</f>
        <v/>
      </c>
      <c r="IA51">
        <f>IF(OR('DADOS_FORMAS'!$AH14="",'DADOS_FORMAS'!$HM21="",'DADOS_FORMAS'!$HO21=""),"",IF('DADOS_FORMAS'!$HO21="—","—",'DADOS_FORMAS'!$HP21&amp;'DADOS_FORMAS'!$HO21&amp;SUBSTITUTE('DADOS_FORMAS'!$HQ21,"em você","nela")))</f>
        <v/>
      </c>
      <c r="IB51">
        <f>IF(OR('DADOS_FORMAS'!$AH14="",'DADOS_FORMAS'!$HM21="",'DADOS_FORMAS'!$HO21=""),"",IF('DADOS_FORMAS'!$HO21="—","—",'DADOS_FORMAS'!$HP21&amp;IF('DADOS_FORMAS'!$HN21="alcance",INDEX('DADOS_FORMAS'!$GL$2:$GL$7,MIN(6,'DADOS_FORMAS'!$HR21+1)),IF('DADOS_FORMAS'!$HN21="raio",INDEX('DADOS_FORMAS'!$GN$2:$GN$6,MIN(5,'DADOS_FORMAS'!$HR21+1)),IF('DADOS_FORMAS'!$HN21="comprimento",INDEX('DADOS_FORMAS'!$GP$2:$GP$6,MIN(5,'DADOS_FORMAS'!$HR21+1)),'DADOS_FORMAS'!$HO21)))&amp;SUBSTITUTE('DADOS_FORMAS'!$HQ21,"em você","nela")))</f>
        <v/>
      </c>
      <c r="IC51">
        <f>IF(OR('DADOS_FORMAS'!$AH14="",'DADOS_FORMAS'!$HM21="",'DADOS_FORMAS'!$HO21=""),"",IF('DADOS_FORMAS'!$HO21="—","—",'DADOS_FORMAS'!$HP21&amp;IF('DADOS_FORMAS'!$HN21="alcance",INDEX('DADOS_FORMAS'!$GL$2:$GL$7,MIN(6,'DADOS_FORMAS'!$HR21+2)),IF('DADOS_FORMAS'!$HN21="raio",INDEX('DADOS_FORMAS'!$GN$2:$GN$6,MIN(5,'DADOS_FORMAS'!$HR21+2)),IF('DADOS_FORMAS'!$HN21="comprimento",INDEX('DADOS_FORMAS'!$GP$2:$GP$6,MIN(5,'DADOS_FORMAS'!$HR21+2)),'DADOS_FORMAS'!$HO21)))&amp;SUBSTITUTE('DADOS_FORMAS'!$HQ21,"em você","nela")))</f>
        <v/>
      </c>
      <c r="ID51">
        <f>IF(OR('DADOS_FORMAS'!$AH14="",'DADOS_FORMAS'!$HM21="",'DADOS_FORMAS'!$HO21=""),"",IF('DADOS_FORMAS'!$HO21="—","—",'DADOS_FORMAS'!$HP21&amp;IF('DADOS_FORMAS'!$HN21="alcance",INDEX('DADOS_FORMAS'!$GL$2:$GL$7,MIN(6,'DADOS_FORMAS'!$HR21+3)),IF('DADOS_FORMAS'!$HN21="raio",INDEX('DADOS_FORMAS'!$GN$2:$GN$6,MIN(5,'DADOS_FORMAS'!$HR21+3)),IF('DADOS_FORMAS'!$HN21="comprimento",INDEX('DADOS_FORMAS'!$GP$2:$GP$6,MIN(5,'DADOS_FORMAS'!$HR21+3)),'DADOS_FORMAS'!$HO21)))&amp;SUBSTITUTE('DADOS_FORMAS'!$HQ21,"em você","nela")))</f>
        <v/>
      </c>
      <c r="IE51">
        <f>IF(OR('DADOS_FORMAS'!$AH14="",'DADOS_FORMAS'!$HM21="",'DADOS_FORMAS'!$HO21=""),"",IF('DADOS_FORMAS'!$HO21="—","—",'DADOS_FORMAS'!$HP21&amp;IF('DADOS_FORMAS'!$HN21="alcance",INDEX('DADOS_FORMAS'!$GL$2:$GL$7,MIN(6,'DADOS_FORMAS'!$HR21+4)),IF('DADOS_FORMAS'!$HN21="raio",INDEX('DADOS_FORMAS'!$GN$2:$GN$6,MIN(5,'DADOS_FORMAS'!$HR21+4)),IF('DADOS_FORMAS'!$HN21="comprimento",INDEX('DADOS_FORMAS'!$GP$2:$GP$6,MIN(5,'DADOS_FORMAS'!$HR21+4)),'DADOS_FORMAS'!$HO21)))&amp;SUBSTITUTE('DADOS_FORMAS'!$HQ21,"em você","nela")))</f>
        <v/>
      </c>
      <c r="IF51">
        <f>IF(OR('DADOS_FORMAS'!$AH14="",'DADOS_FORMAS'!$HM21="",'DADOS_FORMAS'!$HO21=""),"",IF('DADOS_FORMAS'!$HO21="—","—",'DADOS_FORMAS'!$HP21&amp;IF('DADOS_FORMAS'!$HN21="alcance",INDEX('DADOS_FORMAS'!$GL$2:$GL$7,MIN(6,'DADOS_FORMAS'!$HR21+5)),IF('DADOS_FORMAS'!$HN21="raio",INDEX('DADOS_FORMAS'!$GN$2:$GN$6,MIN(5,'DADOS_FORMAS'!$HR21+5)),IF('DADOS_FORMAS'!$HN21="comprimento",INDEX('DADOS_FORMAS'!$GP$2:$GP$6,MIN(5,'DADOS_FORMAS'!$HR21+5)),'DADOS_FORMAS'!$HO21)))&amp;SUBSTITUTE('DADOS_FORMAS'!$HQ21,"em você","nela")))</f>
        <v/>
      </c>
      <c r="KA51">
        <f>IFERROR(INDEX(INDEX('DADOS_RESTRICOES'!$M$2:$Q$54,0,1),49),"")</f>
        <v/>
      </c>
    </row>
    <row r="52">
      <c r="GR52">
        <f>'DADOS_FORMAS'!$BL20</f>
        <v/>
      </c>
      <c r="GS52">
        <f>IF('DADOS_FORMAS'!$BL20="area",'DADOS_FORMAS'!$AU20,'DADOS_FORMAS'!$AT20)</f>
        <v/>
      </c>
      <c r="GT52">
        <f>IF('DADOS_FORMAS'!$BL20="area",'DADOS_FORMAS'!$BD20,'DADOS_FORMAS'!$AW20)</f>
        <v/>
      </c>
      <c r="GU52">
        <f>'DADOS_FORMAS'!$BM20</f>
        <v/>
      </c>
      <c r="GV52">
        <f>'DADOS_FORMAS'!$BN20</f>
        <v/>
      </c>
      <c r="GW52">
        <f>LET(base,'DADOS_FORMAS'!$GT52,escada,'DADOS_FORMAS'!$GS52,medida,LEFT(base,MAX(0,LEN(base)-2)),valor,IFERROR(VALUE(SUBSTITUTE(medida,",",""))/10^IFERROR(LEN(medida)-FIND(",",medida),0),1E99),IF(OR(escada="Fixo",base="—"),base,IF(escada="alcance",IFERROR(MATCH(base,{"1,5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2">
        <f>'DADOS_FORMAS'!$AH18&amp;" · classes 6 e 7"</f>
        <v/>
      </c>
      <c r="GZ52">
        <f>LET(trecho,IF(OR('DADOS_FORMAS'!$AH18="",'DADOS_FORMAS'!$GR42="",'DADOS_FORMAS'!$GT42=""),"",IF('DADOS_FORMAS'!$GT42="—","—",'DADOS_FORMAS'!$GU42&amp;'DADOS_FORMAS'!$GT42&amp;'DADOS_FORMAS'!$GV42)),UPPER(LEFT(trecho,1))&amp;MID(trecho,2,LEN(trecho)))</f>
        <v/>
      </c>
      <c r="HA52">
        <f>LET(trecho,IF(OR('DADOS_FORMAS'!$AH18="",'DADOS_FORMAS'!$GR42="",'DADOS_FORMAS'!$GT42=""),"",IF('DADOS_FORMAS'!$GT42="—","—",'DADOS_FORMAS'!$GU42&amp;IF('DADOS_FORMAS'!$GS42="alcance",INDEX('DADOS_FORMAS'!$GL$2:$GL$7,MIN(6,'DADOS_FORMAS'!$GW42+1)),IF('DADOS_FORMAS'!$GS42="raio",INDEX('DADOS_FORMAS'!$GN$2:$GN$6,MIN(5,'DADOS_FORMAS'!$GW42+1)),IF('DADOS_FORMAS'!$GS42="comprimento",INDEX('DADOS_FORMAS'!$GP$2:$GP$6,MIN(5,'DADOS_FORMAS'!$GW42+1)),'DADOS_FORMAS'!$GT42)))&amp;'DADOS_FORMAS'!$GV42)),UPPER(LEFT(trecho,1))&amp;MID(trecho,2,LEN(trecho)))</f>
        <v/>
      </c>
      <c r="HB52">
        <f>LET(trecho,IF(OR('DADOS_FORMAS'!$AH18="",'DADOS_FORMAS'!$GR42="",'DADOS_FORMAS'!$GT42=""),"",IF('DADOS_FORMAS'!$GT42="—","—",'DADOS_FORMAS'!$GU42&amp;IF('DADOS_FORMAS'!$GS42="alcance",INDEX('DADOS_FORMAS'!$GL$2:$GL$7,MIN(6,'DADOS_FORMAS'!$GW42+2)),IF('DADOS_FORMAS'!$GS42="raio",INDEX('DADOS_FORMAS'!$GN$2:$GN$6,MIN(5,'DADOS_FORMAS'!$GW42+2)),IF('DADOS_FORMAS'!$GS42="comprimento",INDEX('DADOS_FORMAS'!$GP$2:$GP$6,MIN(5,'DADOS_FORMAS'!$GW42+2)),'DADOS_FORMAS'!$GT42)))&amp;'DADOS_FORMAS'!$GV42)),UPPER(LEFT(trecho,1))&amp;MID(trecho,2,LEN(trecho)))</f>
        <v/>
      </c>
      <c r="HC52">
        <f>LET(trecho,IF(OR('DADOS_FORMAS'!$AH18="",'DADOS_FORMAS'!$GR42="",'DADOS_FORMAS'!$GT42=""),"",IF('DADOS_FORMAS'!$GT42="—","—",'DADOS_FORMAS'!$GU42&amp;IF('DADOS_FORMAS'!$GS42="alcance",INDEX('DADOS_FORMAS'!$GL$2:$GL$7,MIN(6,'DADOS_FORMAS'!$GW42+3)),IF('DADOS_FORMAS'!$GS42="raio",INDEX('DADOS_FORMAS'!$GN$2:$GN$6,MIN(5,'DADOS_FORMAS'!$GW42+3)),IF('DADOS_FORMAS'!$GS42="comprimento",INDEX('DADOS_FORMAS'!$GP$2:$GP$6,MIN(5,'DADOS_FORMAS'!$GW42+3)),'DADOS_FORMAS'!$GT42)))&amp;'DADOS_FORMAS'!$GV42)),UPPER(LEFT(trecho,1))&amp;MID(trecho,2,LEN(trecho)))</f>
        <v/>
      </c>
      <c r="HD52">
        <f>LET(trecho,IF(OR('DADOS_FORMAS'!$AH18="",'DADOS_FORMAS'!$GR42="",'DADOS_FORMAS'!$GT42=""),"",IF('DADOS_FORMAS'!$GT42="—","—",'DADOS_FORMAS'!$GU42&amp;IF('DADOS_FORMAS'!$GS42="alcance",INDEX('DADOS_FORMAS'!$GL$2:$GL$7,MIN(6,'DADOS_FORMAS'!$GW42+4)),IF('DADOS_FORMAS'!$GS42="raio",INDEX('DADOS_FORMAS'!$GN$2:$GN$6,MIN(5,'DADOS_FORMAS'!$GW42+4)),IF('DADOS_FORMAS'!$GS42="comprimento",INDEX('DADOS_FORMAS'!$GP$2:$GP$6,MIN(5,'DADOS_FORMAS'!$GW42+4)),'DADOS_FORMAS'!$GT42)))&amp;'DADOS_FORMAS'!$GV42)),UPPER(LEFT(trecho,1))&amp;MID(trecho,2,LEN(trecho)))</f>
        <v/>
      </c>
      <c r="HE52">
        <f>LET(trecho,IF(OR('DADOS_FORMAS'!$AH18="",'DADOS_FORMAS'!$GR42="",'DADOS_FORMAS'!$GT42=""),"",IF('DADOS_FORMAS'!$GT42="—","—",'DADOS_FORMAS'!$GU42&amp;IF('DADOS_FORMAS'!$GS42="alcance",INDEX('DADOS_FORMAS'!$GL$2:$GL$7,MIN(6,'DADOS_FORMAS'!$GW42+5)),IF('DADOS_FORMAS'!$GS42="raio",INDEX('DADOS_FORMAS'!$GN$2:$GN$6,MIN(5,'DADOS_FORMAS'!$GW42+5)),IF('DADOS_FORMAS'!$GS42="comprimento",INDEX('DADOS_FORMAS'!$GP$2:$GP$6,MIN(5,'DADOS_FORMAS'!$GW42+5)),'DADOS_FORMAS'!$GT42)))&amp;'DADOS_FORMAS'!$GV42)),UPPER(LEFT(trecho,1))&amp;MID(trecho,2,LEN(trecho)))</f>
        <v/>
      </c>
      <c r="HF52">
        <f>IF(OR('DADOS_FORMAS'!$AH18="",'DADOS_FORMAS'!$GR43="",'DADOS_FORMAS'!$GT43=""),"",IF('DADOS_FORMAS'!$GT43="—","—",'DADOS_FORMAS'!$GU43&amp;'DADOS_FORMAS'!$GT43&amp;'DADOS_FORMAS'!$GV43))</f>
        <v/>
      </c>
      <c r="HG52">
        <f>IF(OR('DADOS_FORMAS'!$AH18="",'DADOS_FORMAS'!$GR43="",'DADOS_FORMAS'!$GT43=""),"",IF('DADOS_FORMAS'!$GT43="—","—",'DADOS_FORMAS'!$GU43&amp;IF('DADOS_FORMAS'!$GS43="alcance",INDEX('DADOS_FORMAS'!$GL$2:$GL$7,MIN(6,'DADOS_FORMAS'!$GW43+1)),IF('DADOS_FORMAS'!$GS43="raio",INDEX('DADOS_FORMAS'!$GN$2:$GN$6,MIN(5,'DADOS_FORMAS'!$GW43+1)),IF('DADOS_FORMAS'!$GS43="comprimento",INDEX('DADOS_FORMAS'!$GP$2:$GP$6,MIN(5,'DADOS_FORMAS'!$GW43+1)),'DADOS_FORMAS'!$GT43)))&amp;'DADOS_FORMAS'!$GV43))</f>
        <v/>
      </c>
      <c r="HH52">
        <f>IF(OR('DADOS_FORMAS'!$AH18="",'DADOS_FORMAS'!$GR43="",'DADOS_FORMAS'!$GT43=""),"",IF('DADOS_FORMAS'!$GT43="—","—",'DADOS_FORMAS'!$GU43&amp;IF('DADOS_FORMAS'!$GS43="alcance",INDEX('DADOS_FORMAS'!$GL$2:$GL$7,MIN(6,'DADOS_FORMAS'!$GW43+2)),IF('DADOS_FORMAS'!$GS43="raio",INDEX('DADOS_FORMAS'!$GN$2:$GN$6,MIN(5,'DADOS_FORMAS'!$GW43+2)),IF('DADOS_FORMAS'!$GS43="comprimento",INDEX('DADOS_FORMAS'!$GP$2:$GP$6,MIN(5,'DADOS_FORMAS'!$GW43+2)),'DADOS_FORMAS'!$GT43)))&amp;'DADOS_FORMAS'!$GV43))</f>
        <v/>
      </c>
      <c r="HI52">
        <f>IF(OR('DADOS_FORMAS'!$AH18="",'DADOS_FORMAS'!$GR43="",'DADOS_FORMAS'!$GT43=""),"",IF('DADOS_FORMAS'!$GT43="—","—",'DADOS_FORMAS'!$GU43&amp;IF('DADOS_FORMAS'!$GS43="alcance",INDEX('DADOS_FORMAS'!$GL$2:$GL$7,MIN(6,'DADOS_FORMAS'!$GW43+3)),IF('DADOS_FORMAS'!$GS43="raio",INDEX('DADOS_FORMAS'!$GN$2:$GN$6,MIN(5,'DADOS_FORMAS'!$GW43+3)),IF('DADOS_FORMAS'!$GS43="comprimento",INDEX('DADOS_FORMAS'!$GP$2:$GP$6,MIN(5,'DADOS_FORMAS'!$GW43+3)),'DADOS_FORMAS'!$GT43)))&amp;'DADOS_FORMAS'!$GV43))</f>
        <v/>
      </c>
      <c r="HJ52">
        <f>IF(OR('DADOS_FORMAS'!$AH18="",'DADOS_FORMAS'!$GR43="",'DADOS_FORMAS'!$GT43=""),"",IF('DADOS_FORMAS'!$GT43="—","—",'DADOS_FORMAS'!$GU43&amp;IF('DADOS_FORMAS'!$GS43="alcance",INDEX('DADOS_FORMAS'!$GL$2:$GL$7,MIN(6,'DADOS_FORMAS'!$GW43+4)),IF('DADOS_FORMAS'!$GS43="raio",INDEX('DADOS_FORMAS'!$GN$2:$GN$6,MIN(5,'DADOS_FORMAS'!$GW43+4)),IF('DADOS_FORMAS'!$GS43="comprimento",INDEX('DADOS_FORMAS'!$GP$2:$GP$6,MIN(5,'DADOS_FORMAS'!$GW43+4)),'DADOS_FORMAS'!$GT43)))&amp;'DADOS_FORMAS'!$GV43))</f>
        <v/>
      </c>
      <c r="HK52">
        <f>IF(OR('DADOS_FORMAS'!$AH18="",'DADOS_FORMAS'!$GR43="",'DADOS_FORMAS'!$GT43=""),"",IF('DADOS_FORMAS'!$GT43="—","—",'DADOS_FORMAS'!$GU43&amp;IF('DADOS_FORMAS'!$GS43="alcance",INDEX('DADOS_FORMAS'!$GL$2:$GL$7,MIN(6,'DADOS_FORMAS'!$GW43+5)),IF('DADOS_FORMAS'!$GS43="raio",INDEX('DADOS_FORMAS'!$GN$2:$GN$6,MIN(5,'DADOS_FORMAS'!$GW43+5)),IF('DADOS_FORMAS'!$GS43="comprimento",INDEX('DADOS_FORMAS'!$GP$2:$GP$6,MIN(5,'DADOS_FORMAS'!$GW43+5)),'DADOS_FORMAS'!$GT43)))&amp;'DADOS_FORMAS'!$GV43))</f>
        <v/>
      </c>
      <c r="HM52">
        <f>'DADOS_FORMAS'!$BL18</f>
        <v/>
      </c>
      <c r="HN52">
        <f>IF('DADOS_FORMAS'!$BL18="area",'DADOS_FORMAS'!$AU18,'DADOS_FORMAS'!$AT18)</f>
        <v/>
      </c>
      <c r="HO52">
        <f>IF('DADOS_FORMAS'!$BL18="area",'DADOS_FORMAS'!$BG18,'DADOS_FORMAS'!$AZ18)</f>
        <v/>
      </c>
      <c r="HP52">
        <f>'DADOS_FORMAS'!$BM18</f>
        <v/>
      </c>
      <c r="HQ52">
        <f>'DADOS_FORMAS'!$BN18</f>
        <v/>
      </c>
      <c r="HR52">
        <f>LET(base,'DADOS_FORMAS'!$HO52,escada,'DADOS_FORMAS'!$HN52,medida,LEFT(base,MAX(0,LEN(base)-2)),valor,IFERROR(VALUE(SUBSTITUTE(medida,",",""))/10^IFERROR(LEN(medida)-FIND(",",medida),0),1E99),IF(OR(escada="Fixo",base="—"),base,IF(escada="alcance",IFERROR(MATCH(base,{"1,5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2">
        <f>'DADOS_FORMAS'!$AH14&amp;" · classe 6"</f>
        <v/>
      </c>
      <c r="HU52">
        <f>LET(trecho,IF(OR('DADOS_FORMAS'!$AH14="",'DADOS_FORMAS'!$HM22="",'DADOS_FORMAS'!$HO22=""),"",IF('DADOS_FORMAS'!$HO22="—","—",'DADOS_FORMAS'!$HP22&amp;'DADOS_FORMAS'!$HO22&amp;SUBSTITUTE('DADOS_FORMAS'!$HQ22,"em você","nela"))),UPPER(LEFT(trecho,1))&amp;MID(trecho,2,LEN(trecho)))</f>
        <v/>
      </c>
      <c r="HV52">
        <f>LET(trecho,IF(OR('DADOS_FORMAS'!$AH14="",'DADOS_FORMAS'!$HM22="",'DADOS_FORMAS'!$HO22=""),"",IF('DADOS_FORMAS'!$HO22="—","—",'DADOS_FORMAS'!$HP22&amp;IF('DADOS_FORMAS'!$HN22="alcance",INDEX('DADOS_FORMAS'!$GL$2:$GL$7,MIN(6,'DADOS_FORMAS'!$HR22+1)),IF('DADOS_FORMAS'!$HN22="raio",INDEX('DADOS_FORMAS'!$GN$2:$GN$6,MIN(5,'DADOS_FORMAS'!$HR22+1)),IF('DADOS_FORMAS'!$HN22="comprimento",INDEX('DADOS_FORMAS'!$GP$2:$GP$6,MIN(5,'DADOS_FORMAS'!$HR22+1)),'DADOS_FORMAS'!$HO22)))&amp;SUBSTITUTE('DADOS_FORMAS'!$HQ22,"em você","nela"))),UPPER(LEFT(trecho,1))&amp;MID(trecho,2,LEN(trecho)))</f>
        <v/>
      </c>
      <c r="HW52">
        <f>LET(trecho,IF(OR('DADOS_FORMAS'!$AH14="",'DADOS_FORMAS'!$HM22="",'DADOS_FORMAS'!$HO22=""),"",IF('DADOS_FORMAS'!$HO22="—","—",'DADOS_FORMAS'!$HP22&amp;IF('DADOS_FORMAS'!$HN22="alcance",INDEX('DADOS_FORMAS'!$GL$2:$GL$7,MIN(6,'DADOS_FORMAS'!$HR22+2)),IF('DADOS_FORMAS'!$HN22="raio",INDEX('DADOS_FORMAS'!$GN$2:$GN$6,MIN(5,'DADOS_FORMAS'!$HR22+2)),IF('DADOS_FORMAS'!$HN22="comprimento",INDEX('DADOS_FORMAS'!$GP$2:$GP$6,MIN(5,'DADOS_FORMAS'!$HR22+2)),'DADOS_FORMAS'!$HO22)))&amp;SUBSTITUTE('DADOS_FORMAS'!$HQ22,"em você","nela"))),UPPER(LEFT(trecho,1))&amp;MID(trecho,2,LEN(trecho)))</f>
        <v/>
      </c>
      <c r="HX52">
        <f>LET(trecho,IF(OR('DADOS_FORMAS'!$AH14="",'DADOS_FORMAS'!$HM22="",'DADOS_FORMAS'!$HO22=""),"",IF('DADOS_FORMAS'!$HO22="—","—",'DADOS_FORMAS'!$HP22&amp;IF('DADOS_FORMAS'!$HN22="alcance",INDEX('DADOS_FORMAS'!$GL$2:$GL$7,MIN(6,'DADOS_FORMAS'!$HR22+3)),IF('DADOS_FORMAS'!$HN22="raio",INDEX('DADOS_FORMAS'!$GN$2:$GN$6,MIN(5,'DADOS_FORMAS'!$HR22+3)),IF('DADOS_FORMAS'!$HN22="comprimento",INDEX('DADOS_FORMAS'!$GP$2:$GP$6,MIN(5,'DADOS_FORMAS'!$HR22+3)),'DADOS_FORMAS'!$HO22)))&amp;SUBSTITUTE('DADOS_FORMAS'!$HQ22,"em você","nela"))),UPPER(LEFT(trecho,1))&amp;MID(trecho,2,LEN(trecho)))</f>
        <v/>
      </c>
      <c r="HY52">
        <f>LET(trecho,IF(OR('DADOS_FORMAS'!$AH14="",'DADOS_FORMAS'!$HM22="",'DADOS_FORMAS'!$HO22=""),"",IF('DADOS_FORMAS'!$HO22="—","—",'DADOS_FORMAS'!$HP22&amp;IF('DADOS_FORMAS'!$HN22="alcance",INDEX('DADOS_FORMAS'!$GL$2:$GL$7,MIN(6,'DADOS_FORMAS'!$HR22+4)),IF('DADOS_FORMAS'!$HN22="raio",INDEX('DADOS_FORMAS'!$GN$2:$GN$6,MIN(5,'DADOS_FORMAS'!$HR22+4)),IF('DADOS_FORMAS'!$HN22="comprimento",INDEX('DADOS_FORMAS'!$GP$2:$GP$6,MIN(5,'DADOS_FORMAS'!$HR22+4)),'DADOS_FORMAS'!$HO22)))&amp;SUBSTITUTE('DADOS_FORMAS'!$HQ22,"em você","nela"))),UPPER(LEFT(trecho,1))&amp;MID(trecho,2,LEN(trecho)))</f>
        <v/>
      </c>
      <c r="HZ52">
        <f>LET(trecho,IF(OR('DADOS_FORMAS'!$AH14="",'DADOS_FORMAS'!$HM22="",'DADOS_FORMAS'!$HO22=""),"",IF('DADOS_FORMAS'!$HO22="—","—",'DADOS_FORMAS'!$HP22&amp;IF('DADOS_FORMAS'!$HN22="alcance",INDEX('DADOS_FORMAS'!$GL$2:$GL$7,MIN(6,'DADOS_FORMAS'!$HR22+5)),IF('DADOS_FORMAS'!$HN22="raio",INDEX('DADOS_FORMAS'!$GN$2:$GN$6,MIN(5,'DADOS_FORMAS'!$HR22+5)),IF('DADOS_FORMAS'!$HN22="comprimento",INDEX('DADOS_FORMAS'!$GP$2:$GP$6,MIN(5,'DADOS_FORMAS'!$HR22+5)),'DADOS_FORMAS'!$HO22)))&amp;SUBSTITUTE('DADOS_FORMAS'!$HQ22,"em você","nela"))),UPPER(LEFT(trecho,1))&amp;MID(trecho,2,LEN(trecho)))</f>
        <v/>
      </c>
      <c r="IA52">
        <f>IF(OR('DADOS_FORMAS'!$AH14="",'DADOS_FORMAS'!$HM23="",'DADOS_FORMAS'!$HO23=""),"",IF('DADOS_FORMAS'!$HO23="—","—",'DADOS_FORMAS'!$HP23&amp;'DADOS_FORMAS'!$HO23&amp;SUBSTITUTE('DADOS_FORMAS'!$HQ23,"em você","nela")))</f>
        <v/>
      </c>
      <c r="IB52">
        <f>IF(OR('DADOS_FORMAS'!$AH14="",'DADOS_FORMAS'!$HM23="",'DADOS_FORMAS'!$HO23=""),"",IF('DADOS_FORMAS'!$HO23="—","—",'DADOS_FORMAS'!$HP23&amp;IF('DADOS_FORMAS'!$HN23="alcance",INDEX('DADOS_FORMAS'!$GL$2:$GL$7,MIN(6,'DADOS_FORMAS'!$HR23+1)),IF('DADOS_FORMAS'!$HN23="raio",INDEX('DADOS_FORMAS'!$GN$2:$GN$6,MIN(5,'DADOS_FORMAS'!$HR23+1)),IF('DADOS_FORMAS'!$HN23="comprimento",INDEX('DADOS_FORMAS'!$GP$2:$GP$6,MIN(5,'DADOS_FORMAS'!$HR23+1)),'DADOS_FORMAS'!$HO23)))&amp;SUBSTITUTE('DADOS_FORMAS'!$HQ23,"em você","nela")))</f>
        <v/>
      </c>
      <c r="IC52">
        <f>IF(OR('DADOS_FORMAS'!$AH14="",'DADOS_FORMAS'!$HM23="",'DADOS_FORMAS'!$HO23=""),"",IF('DADOS_FORMAS'!$HO23="—","—",'DADOS_FORMAS'!$HP23&amp;IF('DADOS_FORMAS'!$HN23="alcance",INDEX('DADOS_FORMAS'!$GL$2:$GL$7,MIN(6,'DADOS_FORMAS'!$HR23+2)),IF('DADOS_FORMAS'!$HN23="raio",INDEX('DADOS_FORMAS'!$GN$2:$GN$6,MIN(5,'DADOS_FORMAS'!$HR23+2)),IF('DADOS_FORMAS'!$HN23="comprimento",INDEX('DADOS_FORMAS'!$GP$2:$GP$6,MIN(5,'DADOS_FORMAS'!$HR23+2)),'DADOS_FORMAS'!$HO23)))&amp;SUBSTITUTE('DADOS_FORMAS'!$HQ23,"em você","nela")))</f>
        <v/>
      </c>
      <c r="ID52">
        <f>IF(OR('DADOS_FORMAS'!$AH14="",'DADOS_FORMAS'!$HM23="",'DADOS_FORMAS'!$HO23=""),"",IF('DADOS_FORMAS'!$HO23="—","—",'DADOS_FORMAS'!$HP23&amp;IF('DADOS_FORMAS'!$HN23="alcance",INDEX('DADOS_FORMAS'!$GL$2:$GL$7,MIN(6,'DADOS_FORMAS'!$HR23+3)),IF('DADOS_FORMAS'!$HN23="raio",INDEX('DADOS_FORMAS'!$GN$2:$GN$6,MIN(5,'DADOS_FORMAS'!$HR23+3)),IF('DADOS_FORMAS'!$HN23="comprimento",INDEX('DADOS_FORMAS'!$GP$2:$GP$6,MIN(5,'DADOS_FORMAS'!$HR23+3)),'DADOS_FORMAS'!$HO23)))&amp;SUBSTITUTE('DADOS_FORMAS'!$HQ23,"em você","nela")))</f>
        <v/>
      </c>
      <c r="IE52">
        <f>IF(OR('DADOS_FORMAS'!$AH14="",'DADOS_FORMAS'!$HM23="",'DADOS_FORMAS'!$HO23=""),"",IF('DADOS_FORMAS'!$HO23="—","—",'DADOS_FORMAS'!$HP23&amp;IF('DADOS_FORMAS'!$HN23="alcance",INDEX('DADOS_FORMAS'!$GL$2:$GL$7,MIN(6,'DADOS_FORMAS'!$HR23+4)),IF('DADOS_FORMAS'!$HN23="raio",INDEX('DADOS_FORMAS'!$GN$2:$GN$6,MIN(5,'DADOS_FORMAS'!$HR23+4)),IF('DADOS_FORMAS'!$HN23="comprimento",INDEX('DADOS_FORMAS'!$GP$2:$GP$6,MIN(5,'DADOS_FORMAS'!$HR23+4)),'DADOS_FORMAS'!$HO23)))&amp;SUBSTITUTE('DADOS_FORMAS'!$HQ23,"em você","nela")))</f>
        <v/>
      </c>
      <c r="IF52">
        <f>IF(OR('DADOS_FORMAS'!$AH14="",'DADOS_FORMAS'!$HM23="",'DADOS_FORMAS'!$HO23=""),"",IF('DADOS_FORMAS'!$HO23="—","—",'DADOS_FORMAS'!$HP23&amp;IF('DADOS_FORMAS'!$HN23="alcance",INDEX('DADOS_FORMAS'!$GL$2:$GL$7,MIN(6,'DADOS_FORMAS'!$HR23+5)),IF('DADOS_FORMAS'!$HN23="raio",INDEX('DADOS_FORMAS'!$GN$2:$GN$6,MIN(5,'DADOS_FORMAS'!$HR23+5)),IF('DADOS_FORMAS'!$HN23="comprimento",INDEX('DADOS_FORMAS'!$GP$2:$GP$6,MIN(5,'DADOS_FORMAS'!$HR23+5)),'DADOS_FORMAS'!$HO23)))&amp;SUBSTITUTE('DADOS_FORMAS'!$HQ23,"em você","nela")))</f>
        <v/>
      </c>
      <c r="KA52">
        <f>IFERROR(INDEX(INDEX('DADOS_RESTRICOES'!$M$2:$Q$54,0,1),50),"")</f>
        <v/>
      </c>
    </row>
    <row r="53">
      <c r="GR53">
        <f>'DADOS_FORMAS'!$BP20</f>
        <v/>
      </c>
      <c r="GS53">
        <f>IF('DADOS_FORMAS'!$BP20="area",'DADOS_FORMAS'!$AU20,'DADOS_FORMAS'!$AT20)</f>
        <v/>
      </c>
      <c r="GT53">
        <f>IF('DADOS_FORMAS'!$BP20="area",'DADOS_FORMAS'!$BD20,'DADOS_FORMAS'!$AW20)</f>
        <v/>
      </c>
      <c r="GU53">
        <f>'DADOS_FORMAS'!$BQ20</f>
        <v/>
      </c>
      <c r="GV53">
        <f>'DADOS_FORMAS'!$BR20</f>
        <v/>
      </c>
      <c r="GW53">
        <f>LET(base,'DADOS_FORMAS'!$GT53,escada,'DADOS_FORMAS'!$GS53,medida,LEFT(base,MAX(0,LEN(base)-2)),valor,IFERROR(VALUE(SUBSTITUTE(medida,",",""))/10^IFERROR(LEN(medida)-FIND(",",medida),0),1E99),IF(OR(escada="Fixo",base="—"),base,IF(escada="alcance",IFERROR(MATCH(base,{"1,5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3">
        <f>'DADOS_FORMAS'!$AH19&amp;" · classe 0"</f>
        <v/>
      </c>
      <c r="GZ53">
        <f>LET(trecho,IF(OR('DADOS_FORMAS'!$AH19="",'DADOS_FORMAS'!$GR44="",'DADOS_FORMAS'!$GT44=""),"",IF('DADOS_FORMAS'!$GT44="—","—",'DADOS_FORMAS'!$GU44&amp;'DADOS_FORMAS'!$GT44&amp;'DADOS_FORMAS'!$GV44)),UPPER(LEFT(trecho,1))&amp;MID(trecho,2,LEN(trecho)))</f>
        <v/>
      </c>
      <c r="HA53">
        <f>LET(trecho,IF(OR('DADOS_FORMAS'!$AH19="",'DADOS_FORMAS'!$GR44="",'DADOS_FORMAS'!$GT44=""),"",IF('DADOS_FORMAS'!$GT44="—","—",'DADOS_FORMAS'!$GU44&amp;IF('DADOS_FORMAS'!$GS44="alcance",INDEX('DADOS_FORMAS'!$GL$2:$GL$7,MIN(6,'DADOS_FORMAS'!$GW44+1)),IF('DADOS_FORMAS'!$GS44="raio",INDEX('DADOS_FORMAS'!$GN$2:$GN$6,MIN(5,'DADOS_FORMAS'!$GW44+1)),IF('DADOS_FORMAS'!$GS44="comprimento",INDEX('DADOS_FORMAS'!$GP$2:$GP$6,MIN(5,'DADOS_FORMAS'!$GW44+1)),'DADOS_FORMAS'!$GT44)))&amp;'DADOS_FORMAS'!$GV44)),UPPER(LEFT(trecho,1))&amp;MID(trecho,2,LEN(trecho)))</f>
        <v/>
      </c>
      <c r="HB53">
        <f>LET(trecho,IF(OR('DADOS_FORMAS'!$AH19="",'DADOS_FORMAS'!$GR44="",'DADOS_FORMAS'!$GT44=""),"",IF('DADOS_FORMAS'!$GT44="—","—",'DADOS_FORMAS'!$GU44&amp;IF('DADOS_FORMAS'!$GS44="alcance",INDEX('DADOS_FORMAS'!$GL$2:$GL$7,MIN(6,'DADOS_FORMAS'!$GW44+2)),IF('DADOS_FORMAS'!$GS44="raio",INDEX('DADOS_FORMAS'!$GN$2:$GN$6,MIN(5,'DADOS_FORMAS'!$GW44+2)),IF('DADOS_FORMAS'!$GS44="comprimento",INDEX('DADOS_FORMAS'!$GP$2:$GP$6,MIN(5,'DADOS_FORMAS'!$GW44+2)),'DADOS_FORMAS'!$GT44)))&amp;'DADOS_FORMAS'!$GV44)),UPPER(LEFT(trecho,1))&amp;MID(trecho,2,LEN(trecho)))</f>
        <v/>
      </c>
      <c r="HC53">
        <f>LET(trecho,IF(OR('DADOS_FORMAS'!$AH19="",'DADOS_FORMAS'!$GR44="",'DADOS_FORMAS'!$GT44=""),"",IF('DADOS_FORMAS'!$GT44="—","—",'DADOS_FORMAS'!$GU44&amp;IF('DADOS_FORMAS'!$GS44="alcance",INDEX('DADOS_FORMAS'!$GL$2:$GL$7,MIN(6,'DADOS_FORMAS'!$GW44+3)),IF('DADOS_FORMAS'!$GS44="raio",INDEX('DADOS_FORMAS'!$GN$2:$GN$6,MIN(5,'DADOS_FORMAS'!$GW44+3)),IF('DADOS_FORMAS'!$GS44="comprimento",INDEX('DADOS_FORMAS'!$GP$2:$GP$6,MIN(5,'DADOS_FORMAS'!$GW44+3)),'DADOS_FORMAS'!$GT44)))&amp;'DADOS_FORMAS'!$GV44)),UPPER(LEFT(trecho,1))&amp;MID(trecho,2,LEN(trecho)))</f>
        <v/>
      </c>
      <c r="HD53">
        <f>LET(trecho,IF(OR('DADOS_FORMAS'!$AH19="",'DADOS_FORMAS'!$GR44="",'DADOS_FORMAS'!$GT44=""),"",IF('DADOS_FORMAS'!$GT44="—","—",'DADOS_FORMAS'!$GU44&amp;IF('DADOS_FORMAS'!$GS44="alcance",INDEX('DADOS_FORMAS'!$GL$2:$GL$7,MIN(6,'DADOS_FORMAS'!$GW44+4)),IF('DADOS_FORMAS'!$GS44="raio",INDEX('DADOS_FORMAS'!$GN$2:$GN$6,MIN(5,'DADOS_FORMAS'!$GW44+4)),IF('DADOS_FORMAS'!$GS44="comprimento",INDEX('DADOS_FORMAS'!$GP$2:$GP$6,MIN(5,'DADOS_FORMAS'!$GW44+4)),'DADOS_FORMAS'!$GT44)))&amp;'DADOS_FORMAS'!$GV44)),UPPER(LEFT(trecho,1))&amp;MID(trecho,2,LEN(trecho)))</f>
        <v/>
      </c>
      <c r="HE53">
        <f>LET(trecho,IF(OR('DADOS_FORMAS'!$AH19="",'DADOS_FORMAS'!$GR44="",'DADOS_FORMAS'!$GT44=""),"",IF('DADOS_FORMAS'!$GT44="—","—",'DADOS_FORMAS'!$GU44&amp;IF('DADOS_FORMAS'!$GS44="alcance",INDEX('DADOS_FORMAS'!$GL$2:$GL$7,MIN(6,'DADOS_FORMAS'!$GW44+5)),IF('DADOS_FORMAS'!$GS44="raio",INDEX('DADOS_FORMAS'!$GN$2:$GN$6,MIN(5,'DADOS_FORMAS'!$GW44+5)),IF('DADOS_FORMAS'!$GS44="comprimento",INDEX('DADOS_FORMAS'!$GP$2:$GP$6,MIN(5,'DADOS_FORMAS'!$GW44+5)),'DADOS_FORMAS'!$GT44)))&amp;'DADOS_FORMAS'!$GV44)),UPPER(LEFT(trecho,1))&amp;MID(trecho,2,LEN(trecho)))</f>
        <v/>
      </c>
      <c r="HF53">
        <f>IF(OR('DADOS_FORMAS'!$AH19="",'DADOS_FORMAS'!$GR45="",'DADOS_FORMAS'!$GT45=""),"",IF('DADOS_FORMAS'!$GT45="—","—",'DADOS_FORMAS'!$GU45&amp;'DADOS_FORMAS'!$GT45&amp;'DADOS_FORMAS'!$GV45))</f>
        <v/>
      </c>
      <c r="HG53">
        <f>IF(OR('DADOS_FORMAS'!$AH19="",'DADOS_FORMAS'!$GR45="",'DADOS_FORMAS'!$GT45=""),"",IF('DADOS_FORMAS'!$GT45="—","—",'DADOS_FORMAS'!$GU45&amp;IF('DADOS_FORMAS'!$GS45="alcance",INDEX('DADOS_FORMAS'!$GL$2:$GL$7,MIN(6,'DADOS_FORMAS'!$GW45+1)),IF('DADOS_FORMAS'!$GS45="raio",INDEX('DADOS_FORMAS'!$GN$2:$GN$6,MIN(5,'DADOS_FORMAS'!$GW45+1)),IF('DADOS_FORMAS'!$GS45="comprimento",INDEX('DADOS_FORMAS'!$GP$2:$GP$6,MIN(5,'DADOS_FORMAS'!$GW45+1)),'DADOS_FORMAS'!$GT45)))&amp;'DADOS_FORMAS'!$GV45))</f>
        <v/>
      </c>
      <c r="HH53">
        <f>IF(OR('DADOS_FORMAS'!$AH19="",'DADOS_FORMAS'!$GR45="",'DADOS_FORMAS'!$GT45=""),"",IF('DADOS_FORMAS'!$GT45="—","—",'DADOS_FORMAS'!$GU45&amp;IF('DADOS_FORMAS'!$GS45="alcance",INDEX('DADOS_FORMAS'!$GL$2:$GL$7,MIN(6,'DADOS_FORMAS'!$GW45+2)),IF('DADOS_FORMAS'!$GS45="raio",INDEX('DADOS_FORMAS'!$GN$2:$GN$6,MIN(5,'DADOS_FORMAS'!$GW45+2)),IF('DADOS_FORMAS'!$GS45="comprimento",INDEX('DADOS_FORMAS'!$GP$2:$GP$6,MIN(5,'DADOS_FORMAS'!$GW45+2)),'DADOS_FORMAS'!$GT45)))&amp;'DADOS_FORMAS'!$GV45))</f>
        <v/>
      </c>
      <c r="HI53">
        <f>IF(OR('DADOS_FORMAS'!$AH19="",'DADOS_FORMAS'!$GR45="",'DADOS_FORMAS'!$GT45=""),"",IF('DADOS_FORMAS'!$GT45="—","—",'DADOS_FORMAS'!$GU45&amp;IF('DADOS_FORMAS'!$GS45="alcance",INDEX('DADOS_FORMAS'!$GL$2:$GL$7,MIN(6,'DADOS_FORMAS'!$GW45+3)),IF('DADOS_FORMAS'!$GS45="raio",INDEX('DADOS_FORMAS'!$GN$2:$GN$6,MIN(5,'DADOS_FORMAS'!$GW45+3)),IF('DADOS_FORMAS'!$GS45="comprimento",INDEX('DADOS_FORMAS'!$GP$2:$GP$6,MIN(5,'DADOS_FORMAS'!$GW45+3)),'DADOS_FORMAS'!$GT45)))&amp;'DADOS_FORMAS'!$GV45))</f>
        <v/>
      </c>
      <c r="HJ53">
        <f>IF(OR('DADOS_FORMAS'!$AH19="",'DADOS_FORMAS'!$GR45="",'DADOS_FORMAS'!$GT45=""),"",IF('DADOS_FORMAS'!$GT45="—","—",'DADOS_FORMAS'!$GU45&amp;IF('DADOS_FORMAS'!$GS45="alcance",INDEX('DADOS_FORMAS'!$GL$2:$GL$7,MIN(6,'DADOS_FORMAS'!$GW45+4)),IF('DADOS_FORMAS'!$GS45="raio",INDEX('DADOS_FORMAS'!$GN$2:$GN$6,MIN(5,'DADOS_FORMAS'!$GW45+4)),IF('DADOS_FORMAS'!$GS45="comprimento",INDEX('DADOS_FORMAS'!$GP$2:$GP$6,MIN(5,'DADOS_FORMAS'!$GW45+4)),'DADOS_FORMAS'!$GT45)))&amp;'DADOS_FORMAS'!$GV45))</f>
        <v/>
      </c>
      <c r="HK53">
        <f>IF(OR('DADOS_FORMAS'!$AH19="",'DADOS_FORMAS'!$GR45="",'DADOS_FORMAS'!$GT45=""),"",IF('DADOS_FORMAS'!$GT45="—","—",'DADOS_FORMAS'!$GU45&amp;IF('DADOS_FORMAS'!$GS45="alcance",INDEX('DADOS_FORMAS'!$GL$2:$GL$7,MIN(6,'DADOS_FORMAS'!$GW45+5)),IF('DADOS_FORMAS'!$GS45="raio",INDEX('DADOS_FORMAS'!$GN$2:$GN$6,MIN(5,'DADOS_FORMAS'!$GW45+5)),IF('DADOS_FORMAS'!$GS45="comprimento",INDEX('DADOS_FORMAS'!$GP$2:$GP$6,MIN(5,'DADOS_FORMAS'!$GW45+5)),'DADOS_FORMAS'!$GT45)))&amp;'DADOS_FORMAS'!$GV45))</f>
        <v/>
      </c>
      <c r="HM53">
        <f>'DADOS_FORMAS'!$BP18</f>
        <v/>
      </c>
      <c r="HN53">
        <f>IF('DADOS_FORMAS'!$BP18="area",'DADOS_FORMAS'!$AU18,'DADOS_FORMAS'!$AT18)</f>
        <v/>
      </c>
      <c r="HO53">
        <f>IF('DADOS_FORMAS'!$BP18="area",'DADOS_FORMAS'!$BG18,'DADOS_FORMAS'!$AZ18)</f>
        <v/>
      </c>
      <c r="HP53">
        <f>'DADOS_FORMAS'!$BQ18</f>
        <v/>
      </c>
      <c r="HQ53">
        <f>'DADOS_FORMAS'!$BR18</f>
        <v/>
      </c>
      <c r="HR53">
        <f>LET(base,'DADOS_FORMAS'!$HO53,escada,'DADOS_FORMAS'!$HN53,medida,LEFT(base,MAX(0,LEN(base)-2)),valor,IFERROR(VALUE(SUBSTITUTE(medida,",",""))/10^IFERROR(LEN(medida)-FIND(",",medida),0),1E99),IF(OR(escada="Fixo",base="—"),base,IF(escada="alcance",IFERROR(MATCH(base,{"1,5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3">
        <f>'DADOS_FORMAS'!$AH14&amp;" · classe 7"</f>
        <v/>
      </c>
      <c r="HU53">
        <f>LET(trecho,IF(OR('DADOS_FORMAS'!$AH14="",'DADOS_FORMAS'!$HM24="",'DADOS_FORMAS'!$HO24=""),"",IF('DADOS_FORMAS'!$HO24="—","—",'DADOS_FORMAS'!$HP24&amp;'DADOS_FORMAS'!$HO24&amp;SUBSTITUTE('DADOS_FORMAS'!$HQ24,"em você","nela"))),UPPER(LEFT(trecho,1))&amp;MID(trecho,2,LEN(trecho)))</f>
        <v/>
      </c>
      <c r="HV53">
        <f>LET(trecho,IF(OR('DADOS_FORMAS'!$AH14="",'DADOS_FORMAS'!$HM24="",'DADOS_FORMAS'!$HO24=""),"",IF('DADOS_FORMAS'!$HO24="—","—",'DADOS_FORMAS'!$HP24&amp;IF('DADOS_FORMAS'!$HN24="alcance",INDEX('DADOS_FORMAS'!$GL$2:$GL$7,MIN(6,'DADOS_FORMAS'!$HR24+1)),IF('DADOS_FORMAS'!$HN24="raio",INDEX('DADOS_FORMAS'!$GN$2:$GN$6,MIN(5,'DADOS_FORMAS'!$HR24+1)),IF('DADOS_FORMAS'!$HN24="comprimento",INDEX('DADOS_FORMAS'!$GP$2:$GP$6,MIN(5,'DADOS_FORMAS'!$HR24+1)),'DADOS_FORMAS'!$HO24)))&amp;SUBSTITUTE('DADOS_FORMAS'!$HQ24,"em você","nela"))),UPPER(LEFT(trecho,1))&amp;MID(trecho,2,LEN(trecho)))</f>
        <v/>
      </c>
      <c r="HW53">
        <f>LET(trecho,IF(OR('DADOS_FORMAS'!$AH14="",'DADOS_FORMAS'!$HM24="",'DADOS_FORMAS'!$HO24=""),"",IF('DADOS_FORMAS'!$HO24="—","—",'DADOS_FORMAS'!$HP24&amp;IF('DADOS_FORMAS'!$HN24="alcance",INDEX('DADOS_FORMAS'!$GL$2:$GL$7,MIN(6,'DADOS_FORMAS'!$HR24+2)),IF('DADOS_FORMAS'!$HN24="raio",INDEX('DADOS_FORMAS'!$GN$2:$GN$6,MIN(5,'DADOS_FORMAS'!$HR24+2)),IF('DADOS_FORMAS'!$HN24="comprimento",INDEX('DADOS_FORMAS'!$GP$2:$GP$6,MIN(5,'DADOS_FORMAS'!$HR24+2)),'DADOS_FORMAS'!$HO24)))&amp;SUBSTITUTE('DADOS_FORMAS'!$HQ24,"em você","nela"))),UPPER(LEFT(trecho,1))&amp;MID(trecho,2,LEN(trecho)))</f>
        <v/>
      </c>
      <c r="HX53">
        <f>LET(trecho,IF(OR('DADOS_FORMAS'!$AH14="",'DADOS_FORMAS'!$HM24="",'DADOS_FORMAS'!$HO24=""),"",IF('DADOS_FORMAS'!$HO24="—","—",'DADOS_FORMAS'!$HP24&amp;IF('DADOS_FORMAS'!$HN24="alcance",INDEX('DADOS_FORMAS'!$GL$2:$GL$7,MIN(6,'DADOS_FORMAS'!$HR24+3)),IF('DADOS_FORMAS'!$HN24="raio",INDEX('DADOS_FORMAS'!$GN$2:$GN$6,MIN(5,'DADOS_FORMAS'!$HR24+3)),IF('DADOS_FORMAS'!$HN24="comprimento",INDEX('DADOS_FORMAS'!$GP$2:$GP$6,MIN(5,'DADOS_FORMAS'!$HR24+3)),'DADOS_FORMAS'!$HO24)))&amp;SUBSTITUTE('DADOS_FORMAS'!$HQ24,"em você","nela"))),UPPER(LEFT(trecho,1))&amp;MID(trecho,2,LEN(trecho)))</f>
        <v/>
      </c>
      <c r="HY53">
        <f>LET(trecho,IF(OR('DADOS_FORMAS'!$AH14="",'DADOS_FORMAS'!$HM24="",'DADOS_FORMAS'!$HO24=""),"",IF('DADOS_FORMAS'!$HO24="—","—",'DADOS_FORMAS'!$HP24&amp;IF('DADOS_FORMAS'!$HN24="alcance",INDEX('DADOS_FORMAS'!$GL$2:$GL$7,MIN(6,'DADOS_FORMAS'!$HR24+4)),IF('DADOS_FORMAS'!$HN24="raio",INDEX('DADOS_FORMAS'!$GN$2:$GN$6,MIN(5,'DADOS_FORMAS'!$HR24+4)),IF('DADOS_FORMAS'!$HN24="comprimento",INDEX('DADOS_FORMAS'!$GP$2:$GP$6,MIN(5,'DADOS_FORMAS'!$HR24+4)),'DADOS_FORMAS'!$HO24)))&amp;SUBSTITUTE('DADOS_FORMAS'!$HQ24,"em você","nela"))),UPPER(LEFT(trecho,1))&amp;MID(trecho,2,LEN(trecho)))</f>
        <v/>
      </c>
      <c r="HZ53">
        <f>LET(trecho,IF(OR('DADOS_FORMAS'!$AH14="",'DADOS_FORMAS'!$HM24="",'DADOS_FORMAS'!$HO24=""),"",IF('DADOS_FORMAS'!$HO24="—","—",'DADOS_FORMAS'!$HP24&amp;IF('DADOS_FORMAS'!$HN24="alcance",INDEX('DADOS_FORMAS'!$GL$2:$GL$7,MIN(6,'DADOS_FORMAS'!$HR24+5)),IF('DADOS_FORMAS'!$HN24="raio",INDEX('DADOS_FORMAS'!$GN$2:$GN$6,MIN(5,'DADOS_FORMAS'!$HR24+5)),IF('DADOS_FORMAS'!$HN24="comprimento",INDEX('DADOS_FORMAS'!$GP$2:$GP$6,MIN(5,'DADOS_FORMAS'!$HR24+5)),'DADOS_FORMAS'!$HO24)))&amp;SUBSTITUTE('DADOS_FORMAS'!$HQ24,"em você","nela"))),UPPER(LEFT(trecho,1))&amp;MID(trecho,2,LEN(trecho)))</f>
        <v/>
      </c>
      <c r="IA53">
        <f>IF(OR('DADOS_FORMAS'!$AH14="",'DADOS_FORMAS'!$HM25="",'DADOS_FORMAS'!$HO25=""),"",IF('DADOS_FORMAS'!$HO25="—","—",'DADOS_FORMAS'!$HP25&amp;'DADOS_FORMAS'!$HO25&amp;SUBSTITUTE('DADOS_FORMAS'!$HQ25,"em você","nela")))</f>
        <v/>
      </c>
      <c r="IB53">
        <f>IF(OR('DADOS_FORMAS'!$AH14="",'DADOS_FORMAS'!$HM25="",'DADOS_FORMAS'!$HO25=""),"",IF('DADOS_FORMAS'!$HO25="—","—",'DADOS_FORMAS'!$HP25&amp;IF('DADOS_FORMAS'!$HN25="alcance",INDEX('DADOS_FORMAS'!$GL$2:$GL$7,MIN(6,'DADOS_FORMAS'!$HR25+1)),IF('DADOS_FORMAS'!$HN25="raio",INDEX('DADOS_FORMAS'!$GN$2:$GN$6,MIN(5,'DADOS_FORMAS'!$HR25+1)),IF('DADOS_FORMAS'!$HN25="comprimento",INDEX('DADOS_FORMAS'!$GP$2:$GP$6,MIN(5,'DADOS_FORMAS'!$HR25+1)),'DADOS_FORMAS'!$HO25)))&amp;SUBSTITUTE('DADOS_FORMAS'!$HQ25,"em você","nela")))</f>
        <v/>
      </c>
      <c r="IC53">
        <f>IF(OR('DADOS_FORMAS'!$AH14="",'DADOS_FORMAS'!$HM25="",'DADOS_FORMAS'!$HO25=""),"",IF('DADOS_FORMAS'!$HO25="—","—",'DADOS_FORMAS'!$HP25&amp;IF('DADOS_FORMAS'!$HN25="alcance",INDEX('DADOS_FORMAS'!$GL$2:$GL$7,MIN(6,'DADOS_FORMAS'!$HR25+2)),IF('DADOS_FORMAS'!$HN25="raio",INDEX('DADOS_FORMAS'!$GN$2:$GN$6,MIN(5,'DADOS_FORMAS'!$HR25+2)),IF('DADOS_FORMAS'!$HN25="comprimento",INDEX('DADOS_FORMAS'!$GP$2:$GP$6,MIN(5,'DADOS_FORMAS'!$HR25+2)),'DADOS_FORMAS'!$HO25)))&amp;SUBSTITUTE('DADOS_FORMAS'!$HQ25,"em você","nela")))</f>
        <v/>
      </c>
      <c r="ID53">
        <f>IF(OR('DADOS_FORMAS'!$AH14="",'DADOS_FORMAS'!$HM25="",'DADOS_FORMAS'!$HO25=""),"",IF('DADOS_FORMAS'!$HO25="—","—",'DADOS_FORMAS'!$HP25&amp;IF('DADOS_FORMAS'!$HN25="alcance",INDEX('DADOS_FORMAS'!$GL$2:$GL$7,MIN(6,'DADOS_FORMAS'!$HR25+3)),IF('DADOS_FORMAS'!$HN25="raio",INDEX('DADOS_FORMAS'!$GN$2:$GN$6,MIN(5,'DADOS_FORMAS'!$HR25+3)),IF('DADOS_FORMAS'!$HN25="comprimento",INDEX('DADOS_FORMAS'!$GP$2:$GP$6,MIN(5,'DADOS_FORMAS'!$HR25+3)),'DADOS_FORMAS'!$HO25)))&amp;SUBSTITUTE('DADOS_FORMAS'!$HQ25,"em você","nela")))</f>
        <v/>
      </c>
      <c r="IE53">
        <f>IF(OR('DADOS_FORMAS'!$AH14="",'DADOS_FORMAS'!$HM25="",'DADOS_FORMAS'!$HO25=""),"",IF('DADOS_FORMAS'!$HO25="—","—",'DADOS_FORMAS'!$HP25&amp;IF('DADOS_FORMAS'!$HN25="alcance",INDEX('DADOS_FORMAS'!$GL$2:$GL$7,MIN(6,'DADOS_FORMAS'!$HR25+4)),IF('DADOS_FORMAS'!$HN25="raio",INDEX('DADOS_FORMAS'!$GN$2:$GN$6,MIN(5,'DADOS_FORMAS'!$HR25+4)),IF('DADOS_FORMAS'!$HN25="comprimento",INDEX('DADOS_FORMAS'!$GP$2:$GP$6,MIN(5,'DADOS_FORMAS'!$HR25+4)),'DADOS_FORMAS'!$HO25)))&amp;SUBSTITUTE('DADOS_FORMAS'!$HQ25,"em você","nela")))</f>
        <v/>
      </c>
      <c r="IF53">
        <f>IF(OR('DADOS_FORMAS'!$AH14="",'DADOS_FORMAS'!$HM25="",'DADOS_FORMAS'!$HO25=""),"",IF('DADOS_FORMAS'!$HO25="—","—",'DADOS_FORMAS'!$HP25&amp;IF('DADOS_FORMAS'!$HN25="alcance",INDEX('DADOS_FORMAS'!$GL$2:$GL$7,MIN(6,'DADOS_FORMAS'!$HR25+5)),IF('DADOS_FORMAS'!$HN25="raio",INDEX('DADOS_FORMAS'!$GN$2:$GN$6,MIN(5,'DADOS_FORMAS'!$HR25+5)),IF('DADOS_FORMAS'!$HN25="comprimento",INDEX('DADOS_FORMAS'!$GP$2:$GP$6,MIN(5,'DADOS_FORMAS'!$HR25+5)),'DADOS_FORMAS'!$HO25)))&amp;SUBSTITUTE('DADOS_FORMAS'!$HQ25,"em você","nela")))</f>
        <v/>
      </c>
      <c r="KA53">
        <f>IFERROR(INDEX(INDEX('DADOS_RESTRICOES'!$M$2:$Q$54,0,1),51),"")</f>
        <v/>
      </c>
    </row>
    <row r="54">
      <c r="GR54">
        <f>'DADOS_FORMAS'!$BL20</f>
        <v/>
      </c>
      <c r="GS54">
        <f>IF('DADOS_FORMAS'!$BL20="area",'DADOS_FORMAS'!$AU20,'DADOS_FORMAS'!$AT20)</f>
        <v/>
      </c>
      <c r="GT54">
        <f>IF('DADOS_FORMAS'!$BL20="area",'DADOS_FORMAS'!$BE20,'DADOS_FORMAS'!$AX20)</f>
        <v/>
      </c>
      <c r="GU54">
        <f>'DADOS_FORMAS'!$BM20</f>
        <v/>
      </c>
      <c r="GV54">
        <f>'DADOS_FORMAS'!$BN20</f>
        <v/>
      </c>
      <c r="GW54">
        <f>LET(base,'DADOS_FORMAS'!$GT54,escada,'DADOS_FORMAS'!$GS54,medida,LEFT(base,MAX(0,LEN(base)-2)),valor,IFERROR(VALUE(SUBSTITUTE(medida,",",""))/10^IFERROR(LEN(medida)-FIND(",",medida),0),1E99),IF(OR(escada="Fixo",base="—"),base,IF(escada="alcance",IFERROR(MATCH(base,{"1,5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4">
        <f>'DADOS_FORMAS'!$AH19&amp;" · classes 1 a 5"</f>
        <v/>
      </c>
      <c r="GZ54">
        <f>LET(trecho,IF(OR('DADOS_FORMAS'!$AH19="",'DADOS_FORMAS'!$GR46="",'DADOS_FORMAS'!$GT46=""),"",IF('DADOS_FORMAS'!$GT46="—","—",'DADOS_FORMAS'!$GU46&amp;'DADOS_FORMAS'!$GT46&amp;'DADOS_FORMAS'!$GV46)),UPPER(LEFT(trecho,1))&amp;MID(trecho,2,LEN(trecho)))</f>
        <v/>
      </c>
      <c r="HA54">
        <f>LET(trecho,IF(OR('DADOS_FORMAS'!$AH19="",'DADOS_FORMAS'!$GR46="",'DADOS_FORMAS'!$GT46=""),"",IF('DADOS_FORMAS'!$GT46="—","—",'DADOS_FORMAS'!$GU46&amp;IF('DADOS_FORMAS'!$GS46="alcance",INDEX('DADOS_FORMAS'!$GL$2:$GL$7,MIN(6,'DADOS_FORMAS'!$GW46+1)),IF('DADOS_FORMAS'!$GS46="raio",INDEX('DADOS_FORMAS'!$GN$2:$GN$6,MIN(5,'DADOS_FORMAS'!$GW46+1)),IF('DADOS_FORMAS'!$GS46="comprimento",INDEX('DADOS_FORMAS'!$GP$2:$GP$6,MIN(5,'DADOS_FORMAS'!$GW46+1)),'DADOS_FORMAS'!$GT46)))&amp;'DADOS_FORMAS'!$GV46)),UPPER(LEFT(trecho,1))&amp;MID(trecho,2,LEN(trecho)))</f>
        <v/>
      </c>
      <c r="HB54">
        <f>LET(trecho,IF(OR('DADOS_FORMAS'!$AH19="",'DADOS_FORMAS'!$GR46="",'DADOS_FORMAS'!$GT46=""),"",IF('DADOS_FORMAS'!$GT46="—","—",'DADOS_FORMAS'!$GU46&amp;IF('DADOS_FORMAS'!$GS46="alcance",INDEX('DADOS_FORMAS'!$GL$2:$GL$7,MIN(6,'DADOS_FORMAS'!$GW46+2)),IF('DADOS_FORMAS'!$GS46="raio",INDEX('DADOS_FORMAS'!$GN$2:$GN$6,MIN(5,'DADOS_FORMAS'!$GW46+2)),IF('DADOS_FORMAS'!$GS46="comprimento",INDEX('DADOS_FORMAS'!$GP$2:$GP$6,MIN(5,'DADOS_FORMAS'!$GW46+2)),'DADOS_FORMAS'!$GT46)))&amp;'DADOS_FORMAS'!$GV46)),UPPER(LEFT(trecho,1))&amp;MID(trecho,2,LEN(trecho)))</f>
        <v/>
      </c>
      <c r="HC54">
        <f>LET(trecho,IF(OR('DADOS_FORMAS'!$AH19="",'DADOS_FORMAS'!$GR46="",'DADOS_FORMAS'!$GT46=""),"",IF('DADOS_FORMAS'!$GT46="—","—",'DADOS_FORMAS'!$GU46&amp;IF('DADOS_FORMAS'!$GS46="alcance",INDEX('DADOS_FORMAS'!$GL$2:$GL$7,MIN(6,'DADOS_FORMAS'!$GW46+3)),IF('DADOS_FORMAS'!$GS46="raio",INDEX('DADOS_FORMAS'!$GN$2:$GN$6,MIN(5,'DADOS_FORMAS'!$GW46+3)),IF('DADOS_FORMAS'!$GS46="comprimento",INDEX('DADOS_FORMAS'!$GP$2:$GP$6,MIN(5,'DADOS_FORMAS'!$GW46+3)),'DADOS_FORMAS'!$GT46)))&amp;'DADOS_FORMAS'!$GV46)),UPPER(LEFT(trecho,1))&amp;MID(trecho,2,LEN(trecho)))</f>
        <v/>
      </c>
      <c r="HD54">
        <f>LET(trecho,IF(OR('DADOS_FORMAS'!$AH19="",'DADOS_FORMAS'!$GR46="",'DADOS_FORMAS'!$GT46=""),"",IF('DADOS_FORMAS'!$GT46="—","—",'DADOS_FORMAS'!$GU46&amp;IF('DADOS_FORMAS'!$GS46="alcance",INDEX('DADOS_FORMAS'!$GL$2:$GL$7,MIN(6,'DADOS_FORMAS'!$GW46+4)),IF('DADOS_FORMAS'!$GS46="raio",INDEX('DADOS_FORMAS'!$GN$2:$GN$6,MIN(5,'DADOS_FORMAS'!$GW46+4)),IF('DADOS_FORMAS'!$GS46="comprimento",INDEX('DADOS_FORMAS'!$GP$2:$GP$6,MIN(5,'DADOS_FORMAS'!$GW46+4)),'DADOS_FORMAS'!$GT46)))&amp;'DADOS_FORMAS'!$GV46)),UPPER(LEFT(trecho,1))&amp;MID(trecho,2,LEN(trecho)))</f>
        <v/>
      </c>
      <c r="HE54">
        <f>LET(trecho,IF(OR('DADOS_FORMAS'!$AH19="",'DADOS_FORMAS'!$GR46="",'DADOS_FORMAS'!$GT46=""),"",IF('DADOS_FORMAS'!$GT46="—","—",'DADOS_FORMAS'!$GU46&amp;IF('DADOS_FORMAS'!$GS46="alcance",INDEX('DADOS_FORMAS'!$GL$2:$GL$7,MIN(6,'DADOS_FORMAS'!$GW46+5)),IF('DADOS_FORMAS'!$GS46="raio",INDEX('DADOS_FORMAS'!$GN$2:$GN$6,MIN(5,'DADOS_FORMAS'!$GW46+5)),IF('DADOS_FORMAS'!$GS46="comprimento",INDEX('DADOS_FORMAS'!$GP$2:$GP$6,MIN(5,'DADOS_FORMAS'!$GW46+5)),'DADOS_FORMAS'!$GT46)))&amp;'DADOS_FORMAS'!$GV46)),UPPER(LEFT(trecho,1))&amp;MID(trecho,2,LEN(trecho)))</f>
        <v/>
      </c>
      <c r="HF54">
        <f>IF(OR('DADOS_FORMAS'!$AH19="",'DADOS_FORMAS'!$GR47="",'DADOS_FORMAS'!$GT47=""),"",IF('DADOS_FORMAS'!$GT47="—","—",'DADOS_FORMAS'!$GU47&amp;'DADOS_FORMAS'!$GT47&amp;'DADOS_FORMAS'!$GV47))</f>
        <v/>
      </c>
      <c r="HG54">
        <f>IF(OR('DADOS_FORMAS'!$AH19="",'DADOS_FORMAS'!$GR47="",'DADOS_FORMAS'!$GT47=""),"",IF('DADOS_FORMAS'!$GT47="—","—",'DADOS_FORMAS'!$GU47&amp;IF('DADOS_FORMAS'!$GS47="alcance",INDEX('DADOS_FORMAS'!$GL$2:$GL$7,MIN(6,'DADOS_FORMAS'!$GW47+1)),IF('DADOS_FORMAS'!$GS47="raio",INDEX('DADOS_FORMAS'!$GN$2:$GN$6,MIN(5,'DADOS_FORMAS'!$GW47+1)),IF('DADOS_FORMAS'!$GS47="comprimento",INDEX('DADOS_FORMAS'!$GP$2:$GP$6,MIN(5,'DADOS_FORMAS'!$GW47+1)),'DADOS_FORMAS'!$GT47)))&amp;'DADOS_FORMAS'!$GV47))</f>
        <v/>
      </c>
      <c r="HH54">
        <f>IF(OR('DADOS_FORMAS'!$AH19="",'DADOS_FORMAS'!$GR47="",'DADOS_FORMAS'!$GT47=""),"",IF('DADOS_FORMAS'!$GT47="—","—",'DADOS_FORMAS'!$GU47&amp;IF('DADOS_FORMAS'!$GS47="alcance",INDEX('DADOS_FORMAS'!$GL$2:$GL$7,MIN(6,'DADOS_FORMAS'!$GW47+2)),IF('DADOS_FORMAS'!$GS47="raio",INDEX('DADOS_FORMAS'!$GN$2:$GN$6,MIN(5,'DADOS_FORMAS'!$GW47+2)),IF('DADOS_FORMAS'!$GS47="comprimento",INDEX('DADOS_FORMAS'!$GP$2:$GP$6,MIN(5,'DADOS_FORMAS'!$GW47+2)),'DADOS_FORMAS'!$GT47)))&amp;'DADOS_FORMAS'!$GV47))</f>
        <v/>
      </c>
      <c r="HI54">
        <f>IF(OR('DADOS_FORMAS'!$AH19="",'DADOS_FORMAS'!$GR47="",'DADOS_FORMAS'!$GT47=""),"",IF('DADOS_FORMAS'!$GT47="—","—",'DADOS_FORMAS'!$GU47&amp;IF('DADOS_FORMAS'!$GS47="alcance",INDEX('DADOS_FORMAS'!$GL$2:$GL$7,MIN(6,'DADOS_FORMAS'!$GW47+3)),IF('DADOS_FORMAS'!$GS47="raio",INDEX('DADOS_FORMAS'!$GN$2:$GN$6,MIN(5,'DADOS_FORMAS'!$GW47+3)),IF('DADOS_FORMAS'!$GS47="comprimento",INDEX('DADOS_FORMAS'!$GP$2:$GP$6,MIN(5,'DADOS_FORMAS'!$GW47+3)),'DADOS_FORMAS'!$GT47)))&amp;'DADOS_FORMAS'!$GV47))</f>
        <v/>
      </c>
      <c r="HJ54">
        <f>IF(OR('DADOS_FORMAS'!$AH19="",'DADOS_FORMAS'!$GR47="",'DADOS_FORMAS'!$GT47=""),"",IF('DADOS_FORMAS'!$GT47="—","—",'DADOS_FORMAS'!$GU47&amp;IF('DADOS_FORMAS'!$GS47="alcance",INDEX('DADOS_FORMAS'!$GL$2:$GL$7,MIN(6,'DADOS_FORMAS'!$GW47+4)),IF('DADOS_FORMAS'!$GS47="raio",INDEX('DADOS_FORMAS'!$GN$2:$GN$6,MIN(5,'DADOS_FORMAS'!$GW47+4)),IF('DADOS_FORMAS'!$GS47="comprimento",INDEX('DADOS_FORMAS'!$GP$2:$GP$6,MIN(5,'DADOS_FORMAS'!$GW47+4)),'DADOS_FORMAS'!$GT47)))&amp;'DADOS_FORMAS'!$GV47))</f>
        <v/>
      </c>
      <c r="HK54">
        <f>IF(OR('DADOS_FORMAS'!$AH19="",'DADOS_FORMAS'!$GR47="",'DADOS_FORMAS'!$GT47=""),"",IF('DADOS_FORMAS'!$GT47="—","—",'DADOS_FORMAS'!$GU47&amp;IF('DADOS_FORMAS'!$GS47="alcance",INDEX('DADOS_FORMAS'!$GL$2:$GL$7,MIN(6,'DADOS_FORMAS'!$GW47+5)),IF('DADOS_FORMAS'!$GS47="raio",INDEX('DADOS_FORMAS'!$GN$2:$GN$6,MIN(5,'DADOS_FORMAS'!$GW47+5)),IF('DADOS_FORMAS'!$GS47="comprimento",INDEX('DADOS_FORMAS'!$GP$2:$GP$6,MIN(5,'DADOS_FORMAS'!$GW47+5)),'DADOS_FORMAS'!$GT47)))&amp;'DADOS_FORMAS'!$GV47))</f>
        <v/>
      </c>
      <c r="HM54">
        <f>'DADOS_FORMAS'!$BL18</f>
        <v/>
      </c>
      <c r="HN54">
        <f>IF('DADOS_FORMAS'!$BL18="area",'DADOS_FORMAS'!$AU18,'DADOS_FORMAS'!$AT18)</f>
        <v/>
      </c>
      <c r="HO54">
        <f>IF('DADOS_FORMAS'!$BL18="area",'DADOS_FORMAS'!$BH18,'DADOS_FORMAS'!$BA18)</f>
        <v/>
      </c>
      <c r="HP54">
        <f>'DADOS_FORMAS'!$BM18</f>
        <v/>
      </c>
      <c r="HQ54">
        <f>'DADOS_FORMAS'!$BN18</f>
        <v/>
      </c>
      <c r="HR54">
        <f>LET(base,'DADOS_FORMAS'!$HO54,escada,'DADOS_FORMAS'!$HN54,medida,LEFT(base,MAX(0,LEN(base)-2)),valor,IFERROR(VALUE(SUBSTITUTE(medida,",",""))/10^IFERROR(LEN(medida)-FIND(",",medida),0),1E99),IF(OR(escada="Fixo",base="—"),base,IF(escada="alcance",IFERROR(MATCH(base,{"1,5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4">
        <f>'DADOS_FORMAS'!$AH15&amp;" · classe 0"</f>
        <v/>
      </c>
      <c r="HU54">
        <f>LET(trecho,IF(OR('DADOS_FORMAS'!$AH15="",'DADOS_FORMAS'!$HM26="",'DADOS_FORMAS'!$HO26=""),"",IF('DADOS_FORMAS'!$HO26="—","—",'DADOS_FORMAS'!$HP26&amp;'DADOS_FORMAS'!$HO26&amp;SUBSTITUTE('DADOS_FORMAS'!$HQ26,"em você","nela"))),UPPER(LEFT(trecho,1))&amp;MID(trecho,2,LEN(trecho)))</f>
        <v/>
      </c>
      <c r="HV54">
        <f>LET(trecho,IF(OR('DADOS_FORMAS'!$AH15="",'DADOS_FORMAS'!$HM26="",'DADOS_FORMAS'!$HO26=""),"",IF('DADOS_FORMAS'!$HO26="—","—",'DADOS_FORMAS'!$HP26&amp;IF('DADOS_FORMAS'!$HN26="alcance",INDEX('DADOS_FORMAS'!$GL$2:$GL$7,MIN(6,'DADOS_FORMAS'!$HR26+1)),IF('DADOS_FORMAS'!$HN26="raio",INDEX('DADOS_FORMAS'!$GN$2:$GN$6,MIN(5,'DADOS_FORMAS'!$HR26+1)),IF('DADOS_FORMAS'!$HN26="comprimento",INDEX('DADOS_FORMAS'!$GP$2:$GP$6,MIN(5,'DADOS_FORMAS'!$HR26+1)),'DADOS_FORMAS'!$HO26)))&amp;SUBSTITUTE('DADOS_FORMAS'!$HQ26,"em você","nela"))),UPPER(LEFT(trecho,1))&amp;MID(trecho,2,LEN(trecho)))</f>
        <v/>
      </c>
      <c r="HW54">
        <f>LET(trecho,IF(OR('DADOS_FORMAS'!$AH15="",'DADOS_FORMAS'!$HM26="",'DADOS_FORMAS'!$HO26=""),"",IF('DADOS_FORMAS'!$HO26="—","—",'DADOS_FORMAS'!$HP26&amp;IF('DADOS_FORMAS'!$HN26="alcance",INDEX('DADOS_FORMAS'!$GL$2:$GL$7,MIN(6,'DADOS_FORMAS'!$HR26+2)),IF('DADOS_FORMAS'!$HN26="raio",INDEX('DADOS_FORMAS'!$GN$2:$GN$6,MIN(5,'DADOS_FORMAS'!$HR26+2)),IF('DADOS_FORMAS'!$HN26="comprimento",INDEX('DADOS_FORMAS'!$GP$2:$GP$6,MIN(5,'DADOS_FORMAS'!$HR26+2)),'DADOS_FORMAS'!$HO26)))&amp;SUBSTITUTE('DADOS_FORMAS'!$HQ26,"em você","nela"))),UPPER(LEFT(trecho,1))&amp;MID(trecho,2,LEN(trecho)))</f>
        <v/>
      </c>
      <c r="HX54">
        <f>LET(trecho,IF(OR('DADOS_FORMAS'!$AH15="",'DADOS_FORMAS'!$HM26="",'DADOS_FORMAS'!$HO26=""),"",IF('DADOS_FORMAS'!$HO26="—","—",'DADOS_FORMAS'!$HP26&amp;IF('DADOS_FORMAS'!$HN26="alcance",INDEX('DADOS_FORMAS'!$GL$2:$GL$7,MIN(6,'DADOS_FORMAS'!$HR26+3)),IF('DADOS_FORMAS'!$HN26="raio",INDEX('DADOS_FORMAS'!$GN$2:$GN$6,MIN(5,'DADOS_FORMAS'!$HR26+3)),IF('DADOS_FORMAS'!$HN26="comprimento",INDEX('DADOS_FORMAS'!$GP$2:$GP$6,MIN(5,'DADOS_FORMAS'!$HR26+3)),'DADOS_FORMAS'!$HO26)))&amp;SUBSTITUTE('DADOS_FORMAS'!$HQ26,"em você","nela"))),UPPER(LEFT(trecho,1))&amp;MID(trecho,2,LEN(trecho)))</f>
        <v/>
      </c>
      <c r="HY54">
        <f>LET(trecho,IF(OR('DADOS_FORMAS'!$AH15="",'DADOS_FORMAS'!$HM26="",'DADOS_FORMAS'!$HO26=""),"",IF('DADOS_FORMAS'!$HO26="—","—",'DADOS_FORMAS'!$HP26&amp;IF('DADOS_FORMAS'!$HN26="alcance",INDEX('DADOS_FORMAS'!$GL$2:$GL$7,MIN(6,'DADOS_FORMAS'!$HR26+4)),IF('DADOS_FORMAS'!$HN26="raio",INDEX('DADOS_FORMAS'!$GN$2:$GN$6,MIN(5,'DADOS_FORMAS'!$HR26+4)),IF('DADOS_FORMAS'!$HN26="comprimento",INDEX('DADOS_FORMAS'!$GP$2:$GP$6,MIN(5,'DADOS_FORMAS'!$HR26+4)),'DADOS_FORMAS'!$HO26)))&amp;SUBSTITUTE('DADOS_FORMAS'!$HQ26,"em você","nela"))),UPPER(LEFT(trecho,1))&amp;MID(trecho,2,LEN(trecho)))</f>
        <v/>
      </c>
      <c r="HZ54">
        <f>LET(trecho,IF(OR('DADOS_FORMAS'!$AH15="",'DADOS_FORMAS'!$HM26="",'DADOS_FORMAS'!$HO26=""),"",IF('DADOS_FORMAS'!$HO26="—","—",'DADOS_FORMAS'!$HP26&amp;IF('DADOS_FORMAS'!$HN26="alcance",INDEX('DADOS_FORMAS'!$GL$2:$GL$7,MIN(6,'DADOS_FORMAS'!$HR26+5)),IF('DADOS_FORMAS'!$HN26="raio",INDEX('DADOS_FORMAS'!$GN$2:$GN$6,MIN(5,'DADOS_FORMAS'!$HR26+5)),IF('DADOS_FORMAS'!$HN26="comprimento",INDEX('DADOS_FORMAS'!$GP$2:$GP$6,MIN(5,'DADOS_FORMAS'!$HR26+5)),'DADOS_FORMAS'!$HO26)))&amp;SUBSTITUTE('DADOS_FORMAS'!$HQ26,"em você","nela"))),UPPER(LEFT(trecho,1))&amp;MID(trecho,2,LEN(trecho)))</f>
        <v/>
      </c>
      <c r="IA54">
        <f>IF(OR('DADOS_FORMAS'!$AH15="",'DADOS_FORMAS'!$HM27="",'DADOS_FORMAS'!$HO27=""),"",IF('DADOS_FORMAS'!$HO27="—","—",'DADOS_FORMAS'!$HP27&amp;'DADOS_FORMAS'!$HO27&amp;SUBSTITUTE('DADOS_FORMAS'!$HQ27,"em você","nela")))</f>
        <v/>
      </c>
      <c r="IB54">
        <f>IF(OR('DADOS_FORMAS'!$AH15="",'DADOS_FORMAS'!$HM27="",'DADOS_FORMAS'!$HO27=""),"",IF('DADOS_FORMAS'!$HO27="—","—",'DADOS_FORMAS'!$HP27&amp;IF('DADOS_FORMAS'!$HN27="alcance",INDEX('DADOS_FORMAS'!$GL$2:$GL$7,MIN(6,'DADOS_FORMAS'!$HR27+1)),IF('DADOS_FORMAS'!$HN27="raio",INDEX('DADOS_FORMAS'!$GN$2:$GN$6,MIN(5,'DADOS_FORMAS'!$HR27+1)),IF('DADOS_FORMAS'!$HN27="comprimento",INDEX('DADOS_FORMAS'!$GP$2:$GP$6,MIN(5,'DADOS_FORMAS'!$HR27+1)),'DADOS_FORMAS'!$HO27)))&amp;SUBSTITUTE('DADOS_FORMAS'!$HQ27,"em você","nela")))</f>
        <v/>
      </c>
      <c r="IC54">
        <f>IF(OR('DADOS_FORMAS'!$AH15="",'DADOS_FORMAS'!$HM27="",'DADOS_FORMAS'!$HO27=""),"",IF('DADOS_FORMAS'!$HO27="—","—",'DADOS_FORMAS'!$HP27&amp;IF('DADOS_FORMAS'!$HN27="alcance",INDEX('DADOS_FORMAS'!$GL$2:$GL$7,MIN(6,'DADOS_FORMAS'!$HR27+2)),IF('DADOS_FORMAS'!$HN27="raio",INDEX('DADOS_FORMAS'!$GN$2:$GN$6,MIN(5,'DADOS_FORMAS'!$HR27+2)),IF('DADOS_FORMAS'!$HN27="comprimento",INDEX('DADOS_FORMAS'!$GP$2:$GP$6,MIN(5,'DADOS_FORMAS'!$HR27+2)),'DADOS_FORMAS'!$HO27)))&amp;SUBSTITUTE('DADOS_FORMAS'!$HQ27,"em você","nela")))</f>
        <v/>
      </c>
      <c r="ID54">
        <f>IF(OR('DADOS_FORMAS'!$AH15="",'DADOS_FORMAS'!$HM27="",'DADOS_FORMAS'!$HO27=""),"",IF('DADOS_FORMAS'!$HO27="—","—",'DADOS_FORMAS'!$HP27&amp;IF('DADOS_FORMAS'!$HN27="alcance",INDEX('DADOS_FORMAS'!$GL$2:$GL$7,MIN(6,'DADOS_FORMAS'!$HR27+3)),IF('DADOS_FORMAS'!$HN27="raio",INDEX('DADOS_FORMAS'!$GN$2:$GN$6,MIN(5,'DADOS_FORMAS'!$HR27+3)),IF('DADOS_FORMAS'!$HN27="comprimento",INDEX('DADOS_FORMAS'!$GP$2:$GP$6,MIN(5,'DADOS_FORMAS'!$HR27+3)),'DADOS_FORMAS'!$HO27)))&amp;SUBSTITUTE('DADOS_FORMAS'!$HQ27,"em você","nela")))</f>
        <v/>
      </c>
      <c r="IE54">
        <f>IF(OR('DADOS_FORMAS'!$AH15="",'DADOS_FORMAS'!$HM27="",'DADOS_FORMAS'!$HO27=""),"",IF('DADOS_FORMAS'!$HO27="—","—",'DADOS_FORMAS'!$HP27&amp;IF('DADOS_FORMAS'!$HN27="alcance",INDEX('DADOS_FORMAS'!$GL$2:$GL$7,MIN(6,'DADOS_FORMAS'!$HR27+4)),IF('DADOS_FORMAS'!$HN27="raio",INDEX('DADOS_FORMAS'!$GN$2:$GN$6,MIN(5,'DADOS_FORMAS'!$HR27+4)),IF('DADOS_FORMAS'!$HN27="comprimento",INDEX('DADOS_FORMAS'!$GP$2:$GP$6,MIN(5,'DADOS_FORMAS'!$HR27+4)),'DADOS_FORMAS'!$HO27)))&amp;SUBSTITUTE('DADOS_FORMAS'!$HQ27,"em você","nela")))</f>
        <v/>
      </c>
      <c r="IF54">
        <f>IF(OR('DADOS_FORMAS'!$AH15="",'DADOS_FORMAS'!$HM27="",'DADOS_FORMAS'!$HO27=""),"",IF('DADOS_FORMAS'!$HO27="—","—",'DADOS_FORMAS'!$HP27&amp;IF('DADOS_FORMAS'!$HN27="alcance",INDEX('DADOS_FORMAS'!$GL$2:$GL$7,MIN(6,'DADOS_FORMAS'!$HR27+5)),IF('DADOS_FORMAS'!$HN27="raio",INDEX('DADOS_FORMAS'!$GN$2:$GN$6,MIN(5,'DADOS_FORMAS'!$HR27+5)),IF('DADOS_FORMAS'!$HN27="comprimento",INDEX('DADOS_FORMAS'!$GP$2:$GP$6,MIN(5,'DADOS_FORMAS'!$HR27+5)),'DADOS_FORMAS'!$HO27)))&amp;SUBSTITUTE('DADOS_FORMAS'!$HQ27,"em você","nela")))</f>
        <v/>
      </c>
      <c r="KA54">
        <f>IFERROR(INDEX(INDEX('DADOS_RESTRICOES'!$M$2:$Q$54,0,1),52),"")</f>
        <v/>
      </c>
    </row>
    <row r="55">
      <c r="GR55">
        <f>'DADOS_FORMAS'!$BP20</f>
        <v/>
      </c>
      <c r="GS55">
        <f>IF('DADOS_FORMAS'!$BP20="area",'DADOS_FORMAS'!$AU20,'DADOS_FORMAS'!$AT20)</f>
        <v/>
      </c>
      <c r="GT55">
        <f>IF('DADOS_FORMAS'!$BP20="area",'DADOS_FORMAS'!$BE20,'DADOS_FORMAS'!$AX20)</f>
        <v/>
      </c>
      <c r="GU55">
        <f>'DADOS_FORMAS'!$BQ20</f>
        <v/>
      </c>
      <c r="GV55">
        <f>'DADOS_FORMAS'!$BR20</f>
        <v/>
      </c>
      <c r="GW55">
        <f>LET(base,'DADOS_FORMAS'!$GT55,escada,'DADOS_FORMAS'!$GS55,medida,LEFT(base,MAX(0,LEN(base)-2)),valor,IFERROR(VALUE(SUBSTITUTE(medida,",",""))/10^IFERROR(LEN(medida)-FIND(",",medida),0),1E99),IF(OR(escada="Fixo",base="—"),base,IF(escada="alcance",IFERROR(MATCH(base,{"1,5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5">
        <f>'DADOS_FORMAS'!$AH19&amp;" · classes 6 e 7"</f>
        <v/>
      </c>
      <c r="GZ55">
        <f>LET(trecho,IF(OR('DADOS_FORMAS'!$AH19="",'DADOS_FORMAS'!$GR48="",'DADOS_FORMAS'!$GT48=""),"",IF('DADOS_FORMAS'!$GT48="—","—",'DADOS_FORMAS'!$GU48&amp;'DADOS_FORMAS'!$GT48&amp;'DADOS_FORMAS'!$GV48)),UPPER(LEFT(trecho,1))&amp;MID(trecho,2,LEN(trecho)))</f>
        <v/>
      </c>
      <c r="HA55">
        <f>LET(trecho,IF(OR('DADOS_FORMAS'!$AH19="",'DADOS_FORMAS'!$GR48="",'DADOS_FORMAS'!$GT48=""),"",IF('DADOS_FORMAS'!$GT48="—","—",'DADOS_FORMAS'!$GU48&amp;IF('DADOS_FORMAS'!$GS48="alcance",INDEX('DADOS_FORMAS'!$GL$2:$GL$7,MIN(6,'DADOS_FORMAS'!$GW48+1)),IF('DADOS_FORMAS'!$GS48="raio",INDEX('DADOS_FORMAS'!$GN$2:$GN$6,MIN(5,'DADOS_FORMAS'!$GW48+1)),IF('DADOS_FORMAS'!$GS48="comprimento",INDEX('DADOS_FORMAS'!$GP$2:$GP$6,MIN(5,'DADOS_FORMAS'!$GW48+1)),'DADOS_FORMAS'!$GT48)))&amp;'DADOS_FORMAS'!$GV48)),UPPER(LEFT(trecho,1))&amp;MID(trecho,2,LEN(trecho)))</f>
        <v/>
      </c>
      <c r="HB55">
        <f>LET(trecho,IF(OR('DADOS_FORMAS'!$AH19="",'DADOS_FORMAS'!$GR48="",'DADOS_FORMAS'!$GT48=""),"",IF('DADOS_FORMAS'!$GT48="—","—",'DADOS_FORMAS'!$GU48&amp;IF('DADOS_FORMAS'!$GS48="alcance",INDEX('DADOS_FORMAS'!$GL$2:$GL$7,MIN(6,'DADOS_FORMAS'!$GW48+2)),IF('DADOS_FORMAS'!$GS48="raio",INDEX('DADOS_FORMAS'!$GN$2:$GN$6,MIN(5,'DADOS_FORMAS'!$GW48+2)),IF('DADOS_FORMAS'!$GS48="comprimento",INDEX('DADOS_FORMAS'!$GP$2:$GP$6,MIN(5,'DADOS_FORMAS'!$GW48+2)),'DADOS_FORMAS'!$GT48)))&amp;'DADOS_FORMAS'!$GV48)),UPPER(LEFT(trecho,1))&amp;MID(trecho,2,LEN(trecho)))</f>
        <v/>
      </c>
      <c r="HC55">
        <f>LET(trecho,IF(OR('DADOS_FORMAS'!$AH19="",'DADOS_FORMAS'!$GR48="",'DADOS_FORMAS'!$GT48=""),"",IF('DADOS_FORMAS'!$GT48="—","—",'DADOS_FORMAS'!$GU48&amp;IF('DADOS_FORMAS'!$GS48="alcance",INDEX('DADOS_FORMAS'!$GL$2:$GL$7,MIN(6,'DADOS_FORMAS'!$GW48+3)),IF('DADOS_FORMAS'!$GS48="raio",INDEX('DADOS_FORMAS'!$GN$2:$GN$6,MIN(5,'DADOS_FORMAS'!$GW48+3)),IF('DADOS_FORMAS'!$GS48="comprimento",INDEX('DADOS_FORMAS'!$GP$2:$GP$6,MIN(5,'DADOS_FORMAS'!$GW48+3)),'DADOS_FORMAS'!$GT48)))&amp;'DADOS_FORMAS'!$GV48)),UPPER(LEFT(trecho,1))&amp;MID(trecho,2,LEN(trecho)))</f>
        <v/>
      </c>
      <c r="HD55">
        <f>LET(trecho,IF(OR('DADOS_FORMAS'!$AH19="",'DADOS_FORMAS'!$GR48="",'DADOS_FORMAS'!$GT48=""),"",IF('DADOS_FORMAS'!$GT48="—","—",'DADOS_FORMAS'!$GU48&amp;IF('DADOS_FORMAS'!$GS48="alcance",INDEX('DADOS_FORMAS'!$GL$2:$GL$7,MIN(6,'DADOS_FORMAS'!$GW48+4)),IF('DADOS_FORMAS'!$GS48="raio",INDEX('DADOS_FORMAS'!$GN$2:$GN$6,MIN(5,'DADOS_FORMAS'!$GW48+4)),IF('DADOS_FORMAS'!$GS48="comprimento",INDEX('DADOS_FORMAS'!$GP$2:$GP$6,MIN(5,'DADOS_FORMAS'!$GW48+4)),'DADOS_FORMAS'!$GT48)))&amp;'DADOS_FORMAS'!$GV48)),UPPER(LEFT(trecho,1))&amp;MID(trecho,2,LEN(trecho)))</f>
        <v/>
      </c>
      <c r="HE55">
        <f>LET(trecho,IF(OR('DADOS_FORMAS'!$AH19="",'DADOS_FORMAS'!$GR48="",'DADOS_FORMAS'!$GT48=""),"",IF('DADOS_FORMAS'!$GT48="—","—",'DADOS_FORMAS'!$GU48&amp;IF('DADOS_FORMAS'!$GS48="alcance",INDEX('DADOS_FORMAS'!$GL$2:$GL$7,MIN(6,'DADOS_FORMAS'!$GW48+5)),IF('DADOS_FORMAS'!$GS48="raio",INDEX('DADOS_FORMAS'!$GN$2:$GN$6,MIN(5,'DADOS_FORMAS'!$GW48+5)),IF('DADOS_FORMAS'!$GS48="comprimento",INDEX('DADOS_FORMAS'!$GP$2:$GP$6,MIN(5,'DADOS_FORMAS'!$GW48+5)),'DADOS_FORMAS'!$GT48)))&amp;'DADOS_FORMAS'!$GV48)),UPPER(LEFT(trecho,1))&amp;MID(trecho,2,LEN(trecho)))</f>
        <v/>
      </c>
      <c r="HF55">
        <f>IF(OR('DADOS_FORMAS'!$AH19="",'DADOS_FORMAS'!$GR49="",'DADOS_FORMAS'!$GT49=""),"",IF('DADOS_FORMAS'!$GT49="—","—",'DADOS_FORMAS'!$GU49&amp;'DADOS_FORMAS'!$GT49&amp;'DADOS_FORMAS'!$GV49))</f>
        <v/>
      </c>
      <c r="HG55">
        <f>IF(OR('DADOS_FORMAS'!$AH19="",'DADOS_FORMAS'!$GR49="",'DADOS_FORMAS'!$GT49=""),"",IF('DADOS_FORMAS'!$GT49="—","—",'DADOS_FORMAS'!$GU49&amp;IF('DADOS_FORMAS'!$GS49="alcance",INDEX('DADOS_FORMAS'!$GL$2:$GL$7,MIN(6,'DADOS_FORMAS'!$GW49+1)),IF('DADOS_FORMAS'!$GS49="raio",INDEX('DADOS_FORMAS'!$GN$2:$GN$6,MIN(5,'DADOS_FORMAS'!$GW49+1)),IF('DADOS_FORMAS'!$GS49="comprimento",INDEX('DADOS_FORMAS'!$GP$2:$GP$6,MIN(5,'DADOS_FORMAS'!$GW49+1)),'DADOS_FORMAS'!$GT49)))&amp;'DADOS_FORMAS'!$GV49))</f>
        <v/>
      </c>
      <c r="HH55">
        <f>IF(OR('DADOS_FORMAS'!$AH19="",'DADOS_FORMAS'!$GR49="",'DADOS_FORMAS'!$GT49=""),"",IF('DADOS_FORMAS'!$GT49="—","—",'DADOS_FORMAS'!$GU49&amp;IF('DADOS_FORMAS'!$GS49="alcance",INDEX('DADOS_FORMAS'!$GL$2:$GL$7,MIN(6,'DADOS_FORMAS'!$GW49+2)),IF('DADOS_FORMAS'!$GS49="raio",INDEX('DADOS_FORMAS'!$GN$2:$GN$6,MIN(5,'DADOS_FORMAS'!$GW49+2)),IF('DADOS_FORMAS'!$GS49="comprimento",INDEX('DADOS_FORMAS'!$GP$2:$GP$6,MIN(5,'DADOS_FORMAS'!$GW49+2)),'DADOS_FORMAS'!$GT49)))&amp;'DADOS_FORMAS'!$GV49))</f>
        <v/>
      </c>
      <c r="HI55">
        <f>IF(OR('DADOS_FORMAS'!$AH19="",'DADOS_FORMAS'!$GR49="",'DADOS_FORMAS'!$GT49=""),"",IF('DADOS_FORMAS'!$GT49="—","—",'DADOS_FORMAS'!$GU49&amp;IF('DADOS_FORMAS'!$GS49="alcance",INDEX('DADOS_FORMAS'!$GL$2:$GL$7,MIN(6,'DADOS_FORMAS'!$GW49+3)),IF('DADOS_FORMAS'!$GS49="raio",INDEX('DADOS_FORMAS'!$GN$2:$GN$6,MIN(5,'DADOS_FORMAS'!$GW49+3)),IF('DADOS_FORMAS'!$GS49="comprimento",INDEX('DADOS_FORMAS'!$GP$2:$GP$6,MIN(5,'DADOS_FORMAS'!$GW49+3)),'DADOS_FORMAS'!$GT49)))&amp;'DADOS_FORMAS'!$GV49))</f>
        <v/>
      </c>
      <c r="HJ55">
        <f>IF(OR('DADOS_FORMAS'!$AH19="",'DADOS_FORMAS'!$GR49="",'DADOS_FORMAS'!$GT49=""),"",IF('DADOS_FORMAS'!$GT49="—","—",'DADOS_FORMAS'!$GU49&amp;IF('DADOS_FORMAS'!$GS49="alcance",INDEX('DADOS_FORMAS'!$GL$2:$GL$7,MIN(6,'DADOS_FORMAS'!$GW49+4)),IF('DADOS_FORMAS'!$GS49="raio",INDEX('DADOS_FORMAS'!$GN$2:$GN$6,MIN(5,'DADOS_FORMAS'!$GW49+4)),IF('DADOS_FORMAS'!$GS49="comprimento",INDEX('DADOS_FORMAS'!$GP$2:$GP$6,MIN(5,'DADOS_FORMAS'!$GW49+4)),'DADOS_FORMAS'!$GT49)))&amp;'DADOS_FORMAS'!$GV49))</f>
        <v/>
      </c>
      <c r="HK55">
        <f>IF(OR('DADOS_FORMAS'!$AH19="",'DADOS_FORMAS'!$GR49="",'DADOS_FORMAS'!$GT49=""),"",IF('DADOS_FORMAS'!$GT49="—","—",'DADOS_FORMAS'!$GU49&amp;IF('DADOS_FORMAS'!$GS49="alcance",INDEX('DADOS_FORMAS'!$GL$2:$GL$7,MIN(6,'DADOS_FORMAS'!$GW49+5)),IF('DADOS_FORMAS'!$GS49="raio",INDEX('DADOS_FORMAS'!$GN$2:$GN$6,MIN(5,'DADOS_FORMAS'!$GW49+5)),IF('DADOS_FORMAS'!$GS49="comprimento",INDEX('DADOS_FORMAS'!$GP$2:$GP$6,MIN(5,'DADOS_FORMAS'!$GW49+5)),'DADOS_FORMAS'!$GT49)))&amp;'DADOS_FORMAS'!$GV49))</f>
        <v/>
      </c>
      <c r="HM55">
        <f>'DADOS_FORMAS'!$BP18</f>
        <v/>
      </c>
      <c r="HN55">
        <f>IF('DADOS_FORMAS'!$BP18="area",'DADOS_FORMAS'!$AU18,'DADOS_FORMAS'!$AT18)</f>
        <v/>
      </c>
      <c r="HO55">
        <f>IF('DADOS_FORMAS'!$BP18="area",'DADOS_FORMAS'!$BH18,'DADOS_FORMAS'!$BA18)</f>
        <v/>
      </c>
      <c r="HP55">
        <f>'DADOS_FORMAS'!$BQ18</f>
        <v/>
      </c>
      <c r="HQ55">
        <f>'DADOS_FORMAS'!$BR18</f>
        <v/>
      </c>
      <c r="HR55">
        <f>LET(base,'DADOS_FORMAS'!$HO55,escada,'DADOS_FORMAS'!$HN55,medida,LEFT(base,MAX(0,LEN(base)-2)),valor,IFERROR(VALUE(SUBSTITUTE(medida,",",""))/10^IFERROR(LEN(medida)-FIND(",",medida),0),1E99),IF(OR(escada="Fixo",base="—"),base,IF(escada="alcance",IFERROR(MATCH(base,{"1,5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5">
        <f>'DADOS_FORMAS'!$AH15&amp;" · classes 1 a 5"</f>
        <v/>
      </c>
      <c r="HU55">
        <f>LET(trecho,IF(OR('DADOS_FORMAS'!$AH15="",'DADOS_FORMAS'!$HM28="",'DADOS_FORMAS'!$HO28=""),"",IF('DADOS_FORMAS'!$HO28="—","—",'DADOS_FORMAS'!$HP28&amp;'DADOS_FORMAS'!$HO28&amp;SUBSTITUTE('DADOS_FORMAS'!$HQ28,"em você","nela"))),UPPER(LEFT(trecho,1))&amp;MID(trecho,2,LEN(trecho)))</f>
        <v/>
      </c>
      <c r="HV55">
        <f>LET(trecho,IF(OR('DADOS_FORMAS'!$AH15="",'DADOS_FORMAS'!$HM28="",'DADOS_FORMAS'!$HO28=""),"",IF('DADOS_FORMAS'!$HO28="—","—",'DADOS_FORMAS'!$HP28&amp;IF('DADOS_FORMAS'!$HN28="alcance",INDEX('DADOS_FORMAS'!$GL$2:$GL$7,MIN(6,'DADOS_FORMAS'!$HR28+1)),IF('DADOS_FORMAS'!$HN28="raio",INDEX('DADOS_FORMAS'!$GN$2:$GN$6,MIN(5,'DADOS_FORMAS'!$HR28+1)),IF('DADOS_FORMAS'!$HN28="comprimento",INDEX('DADOS_FORMAS'!$GP$2:$GP$6,MIN(5,'DADOS_FORMAS'!$HR28+1)),'DADOS_FORMAS'!$HO28)))&amp;SUBSTITUTE('DADOS_FORMAS'!$HQ28,"em você","nela"))),UPPER(LEFT(trecho,1))&amp;MID(trecho,2,LEN(trecho)))</f>
        <v/>
      </c>
      <c r="HW55">
        <f>LET(trecho,IF(OR('DADOS_FORMAS'!$AH15="",'DADOS_FORMAS'!$HM28="",'DADOS_FORMAS'!$HO28=""),"",IF('DADOS_FORMAS'!$HO28="—","—",'DADOS_FORMAS'!$HP28&amp;IF('DADOS_FORMAS'!$HN28="alcance",INDEX('DADOS_FORMAS'!$GL$2:$GL$7,MIN(6,'DADOS_FORMAS'!$HR28+2)),IF('DADOS_FORMAS'!$HN28="raio",INDEX('DADOS_FORMAS'!$GN$2:$GN$6,MIN(5,'DADOS_FORMAS'!$HR28+2)),IF('DADOS_FORMAS'!$HN28="comprimento",INDEX('DADOS_FORMAS'!$GP$2:$GP$6,MIN(5,'DADOS_FORMAS'!$HR28+2)),'DADOS_FORMAS'!$HO28)))&amp;SUBSTITUTE('DADOS_FORMAS'!$HQ28,"em você","nela"))),UPPER(LEFT(trecho,1))&amp;MID(trecho,2,LEN(trecho)))</f>
        <v/>
      </c>
      <c r="HX55">
        <f>LET(trecho,IF(OR('DADOS_FORMAS'!$AH15="",'DADOS_FORMAS'!$HM28="",'DADOS_FORMAS'!$HO28=""),"",IF('DADOS_FORMAS'!$HO28="—","—",'DADOS_FORMAS'!$HP28&amp;IF('DADOS_FORMAS'!$HN28="alcance",INDEX('DADOS_FORMAS'!$GL$2:$GL$7,MIN(6,'DADOS_FORMAS'!$HR28+3)),IF('DADOS_FORMAS'!$HN28="raio",INDEX('DADOS_FORMAS'!$GN$2:$GN$6,MIN(5,'DADOS_FORMAS'!$HR28+3)),IF('DADOS_FORMAS'!$HN28="comprimento",INDEX('DADOS_FORMAS'!$GP$2:$GP$6,MIN(5,'DADOS_FORMAS'!$HR28+3)),'DADOS_FORMAS'!$HO28)))&amp;SUBSTITUTE('DADOS_FORMAS'!$HQ28,"em você","nela"))),UPPER(LEFT(trecho,1))&amp;MID(trecho,2,LEN(trecho)))</f>
        <v/>
      </c>
      <c r="HY55">
        <f>LET(trecho,IF(OR('DADOS_FORMAS'!$AH15="",'DADOS_FORMAS'!$HM28="",'DADOS_FORMAS'!$HO28=""),"",IF('DADOS_FORMAS'!$HO28="—","—",'DADOS_FORMAS'!$HP28&amp;IF('DADOS_FORMAS'!$HN28="alcance",INDEX('DADOS_FORMAS'!$GL$2:$GL$7,MIN(6,'DADOS_FORMAS'!$HR28+4)),IF('DADOS_FORMAS'!$HN28="raio",INDEX('DADOS_FORMAS'!$GN$2:$GN$6,MIN(5,'DADOS_FORMAS'!$HR28+4)),IF('DADOS_FORMAS'!$HN28="comprimento",INDEX('DADOS_FORMAS'!$GP$2:$GP$6,MIN(5,'DADOS_FORMAS'!$HR28+4)),'DADOS_FORMAS'!$HO28)))&amp;SUBSTITUTE('DADOS_FORMAS'!$HQ28,"em você","nela"))),UPPER(LEFT(trecho,1))&amp;MID(trecho,2,LEN(trecho)))</f>
        <v/>
      </c>
      <c r="HZ55">
        <f>LET(trecho,IF(OR('DADOS_FORMAS'!$AH15="",'DADOS_FORMAS'!$HM28="",'DADOS_FORMAS'!$HO28=""),"",IF('DADOS_FORMAS'!$HO28="—","—",'DADOS_FORMAS'!$HP28&amp;IF('DADOS_FORMAS'!$HN28="alcance",INDEX('DADOS_FORMAS'!$GL$2:$GL$7,MIN(6,'DADOS_FORMAS'!$HR28+5)),IF('DADOS_FORMAS'!$HN28="raio",INDEX('DADOS_FORMAS'!$GN$2:$GN$6,MIN(5,'DADOS_FORMAS'!$HR28+5)),IF('DADOS_FORMAS'!$HN28="comprimento",INDEX('DADOS_FORMAS'!$GP$2:$GP$6,MIN(5,'DADOS_FORMAS'!$HR28+5)),'DADOS_FORMAS'!$HO28)))&amp;SUBSTITUTE('DADOS_FORMAS'!$HQ28,"em você","nela"))),UPPER(LEFT(trecho,1))&amp;MID(trecho,2,LEN(trecho)))</f>
        <v/>
      </c>
      <c r="IA55">
        <f>IF(OR('DADOS_FORMAS'!$AH15="",'DADOS_FORMAS'!$HM29="",'DADOS_FORMAS'!$HO29=""),"",IF('DADOS_FORMAS'!$HO29="—","—",'DADOS_FORMAS'!$HP29&amp;'DADOS_FORMAS'!$HO29&amp;SUBSTITUTE('DADOS_FORMAS'!$HQ29,"em você","nela")))</f>
        <v/>
      </c>
      <c r="IB55">
        <f>IF(OR('DADOS_FORMAS'!$AH15="",'DADOS_FORMAS'!$HM29="",'DADOS_FORMAS'!$HO29=""),"",IF('DADOS_FORMAS'!$HO29="—","—",'DADOS_FORMAS'!$HP29&amp;IF('DADOS_FORMAS'!$HN29="alcance",INDEX('DADOS_FORMAS'!$GL$2:$GL$7,MIN(6,'DADOS_FORMAS'!$HR29+1)),IF('DADOS_FORMAS'!$HN29="raio",INDEX('DADOS_FORMAS'!$GN$2:$GN$6,MIN(5,'DADOS_FORMAS'!$HR29+1)),IF('DADOS_FORMAS'!$HN29="comprimento",INDEX('DADOS_FORMAS'!$GP$2:$GP$6,MIN(5,'DADOS_FORMAS'!$HR29+1)),'DADOS_FORMAS'!$HO29)))&amp;SUBSTITUTE('DADOS_FORMAS'!$HQ29,"em você","nela")))</f>
        <v/>
      </c>
      <c r="IC55">
        <f>IF(OR('DADOS_FORMAS'!$AH15="",'DADOS_FORMAS'!$HM29="",'DADOS_FORMAS'!$HO29=""),"",IF('DADOS_FORMAS'!$HO29="—","—",'DADOS_FORMAS'!$HP29&amp;IF('DADOS_FORMAS'!$HN29="alcance",INDEX('DADOS_FORMAS'!$GL$2:$GL$7,MIN(6,'DADOS_FORMAS'!$HR29+2)),IF('DADOS_FORMAS'!$HN29="raio",INDEX('DADOS_FORMAS'!$GN$2:$GN$6,MIN(5,'DADOS_FORMAS'!$HR29+2)),IF('DADOS_FORMAS'!$HN29="comprimento",INDEX('DADOS_FORMAS'!$GP$2:$GP$6,MIN(5,'DADOS_FORMAS'!$HR29+2)),'DADOS_FORMAS'!$HO29)))&amp;SUBSTITUTE('DADOS_FORMAS'!$HQ29,"em você","nela")))</f>
        <v/>
      </c>
      <c r="ID55">
        <f>IF(OR('DADOS_FORMAS'!$AH15="",'DADOS_FORMAS'!$HM29="",'DADOS_FORMAS'!$HO29=""),"",IF('DADOS_FORMAS'!$HO29="—","—",'DADOS_FORMAS'!$HP29&amp;IF('DADOS_FORMAS'!$HN29="alcance",INDEX('DADOS_FORMAS'!$GL$2:$GL$7,MIN(6,'DADOS_FORMAS'!$HR29+3)),IF('DADOS_FORMAS'!$HN29="raio",INDEX('DADOS_FORMAS'!$GN$2:$GN$6,MIN(5,'DADOS_FORMAS'!$HR29+3)),IF('DADOS_FORMAS'!$HN29="comprimento",INDEX('DADOS_FORMAS'!$GP$2:$GP$6,MIN(5,'DADOS_FORMAS'!$HR29+3)),'DADOS_FORMAS'!$HO29)))&amp;SUBSTITUTE('DADOS_FORMAS'!$HQ29,"em você","nela")))</f>
        <v/>
      </c>
      <c r="IE55">
        <f>IF(OR('DADOS_FORMAS'!$AH15="",'DADOS_FORMAS'!$HM29="",'DADOS_FORMAS'!$HO29=""),"",IF('DADOS_FORMAS'!$HO29="—","—",'DADOS_FORMAS'!$HP29&amp;IF('DADOS_FORMAS'!$HN29="alcance",INDEX('DADOS_FORMAS'!$GL$2:$GL$7,MIN(6,'DADOS_FORMAS'!$HR29+4)),IF('DADOS_FORMAS'!$HN29="raio",INDEX('DADOS_FORMAS'!$GN$2:$GN$6,MIN(5,'DADOS_FORMAS'!$HR29+4)),IF('DADOS_FORMAS'!$HN29="comprimento",INDEX('DADOS_FORMAS'!$GP$2:$GP$6,MIN(5,'DADOS_FORMAS'!$HR29+4)),'DADOS_FORMAS'!$HO29)))&amp;SUBSTITUTE('DADOS_FORMAS'!$HQ29,"em você","nela")))</f>
        <v/>
      </c>
      <c r="IF55">
        <f>IF(OR('DADOS_FORMAS'!$AH15="",'DADOS_FORMAS'!$HM29="",'DADOS_FORMAS'!$HO29=""),"",IF('DADOS_FORMAS'!$HO29="—","—",'DADOS_FORMAS'!$HP29&amp;IF('DADOS_FORMAS'!$HN29="alcance",INDEX('DADOS_FORMAS'!$GL$2:$GL$7,MIN(6,'DADOS_FORMAS'!$HR29+5)),IF('DADOS_FORMAS'!$HN29="raio",INDEX('DADOS_FORMAS'!$GN$2:$GN$6,MIN(5,'DADOS_FORMAS'!$HR29+5)),IF('DADOS_FORMAS'!$HN29="comprimento",INDEX('DADOS_FORMAS'!$GP$2:$GP$6,MIN(5,'DADOS_FORMAS'!$HR29+5)),'DADOS_FORMAS'!$HO29)))&amp;SUBSTITUTE('DADOS_FORMAS'!$HQ29,"em você","nela")))</f>
        <v/>
      </c>
      <c r="KA55">
        <f>IFERROR(INDEX(INDEX('DADOS_RESTRICOES'!$M$2:$Q$54,0,1),53),"")</f>
        <v/>
      </c>
    </row>
    <row r="56">
      <c r="GR56">
        <f>'DADOS_FORMAS'!$BL21</f>
        <v/>
      </c>
      <c r="GS56">
        <f>IF('DADOS_FORMAS'!$BL21="area",'DADOS_FORMAS'!$AU21,'DADOS_FORMAS'!$AT21)</f>
        <v/>
      </c>
      <c r="GT56">
        <f>IF('DADOS_FORMAS'!$BL21="area",'DADOS_FORMAS'!$BC21,'DADOS_FORMAS'!$AV21)</f>
        <v/>
      </c>
      <c r="GU56">
        <f>'DADOS_FORMAS'!$BM21</f>
        <v/>
      </c>
      <c r="GV56">
        <f>'DADOS_FORMAS'!$BN21</f>
        <v/>
      </c>
      <c r="GW56">
        <f>LET(base,'DADOS_FORMAS'!$GT56,escada,'DADOS_FORMAS'!$GS56,medida,LEFT(base,MAX(0,LEN(base)-2)),valor,IFERROR(VALUE(SUBSTITUTE(medida,",",""))/10^IFERROR(LEN(medida)-FIND(",",medida),0),1E99),IF(OR(escada="Fixo",base="—"),base,IF(escada="alcance",IFERROR(MATCH(base,{"1,5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6">
        <f>'DADOS_FORMAS'!$AH20&amp;" · classe 0"</f>
        <v/>
      </c>
      <c r="GZ56">
        <f>LET(trecho,IF(OR('DADOS_FORMAS'!$AH20="",'DADOS_FORMAS'!$GR50="",'DADOS_FORMAS'!$GT50=""),"",IF('DADOS_FORMAS'!$GT50="—","—",'DADOS_FORMAS'!$GU50&amp;'DADOS_FORMAS'!$GT50&amp;'DADOS_FORMAS'!$GV50)),UPPER(LEFT(trecho,1))&amp;MID(trecho,2,LEN(trecho)))</f>
        <v/>
      </c>
      <c r="HA56">
        <f>LET(trecho,IF(OR('DADOS_FORMAS'!$AH20="",'DADOS_FORMAS'!$GR50="",'DADOS_FORMAS'!$GT50=""),"",IF('DADOS_FORMAS'!$GT50="—","—",'DADOS_FORMAS'!$GU50&amp;IF('DADOS_FORMAS'!$GS50="alcance",INDEX('DADOS_FORMAS'!$GL$2:$GL$7,MIN(6,'DADOS_FORMAS'!$GW50+1)),IF('DADOS_FORMAS'!$GS50="raio",INDEX('DADOS_FORMAS'!$GN$2:$GN$6,MIN(5,'DADOS_FORMAS'!$GW50+1)),IF('DADOS_FORMAS'!$GS50="comprimento",INDEX('DADOS_FORMAS'!$GP$2:$GP$6,MIN(5,'DADOS_FORMAS'!$GW50+1)),'DADOS_FORMAS'!$GT50)))&amp;'DADOS_FORMAS'!$GV50)),UPPER(LEFT(trecho,1))&amp;MID(trecho,2,LEN(trecho)))</f>
        <v/>
      </c>
      <c r="HB56">
        <f>LET(trecho,IF(OR('DADOS_FORMAS'!$AH20="",'DADOS_FORMAS'!$GR50="",'DADOS_FORMAS'!$GT50=""),"",IF('DADOS_FORMAS'!$GT50="—","—",'DADOS_FORMAS'!$GU50&amp;IF('DADOS_FORMAS'!$GS50="alcance",INDEX('DADOS_FORMAS'!$GL$2:$GL$7,MIN(6,'DADOS_FORMAS'!$GW50+2)),IF('DADOS_FORMAS'!$GS50="raio",INDEX('DADOS_FORMAS'!$GN$2:$GN$6,MIN(5,'DADOS_FORMAS'!$GW50+2)),IF('DADOS_FORMAS'!$GS50="comprimento",INDEX('DADOS_FORMAS'!$GP$2:$GP$6,MIN(5,'DADOS_FORMAS'!$GW50+2)),'DADOS_FORMAS'!$GT50)))&amp;'DADOS_FORMAS'!$GV50)),UPPER(LEFT(trecho,1))&amp;MID(trecho,2,LEN(trecho)))</f>
        <v/>
      </c>
      <c r="HC56">
        <f>LET(trecho,IF(OR('DADOS_FORMAS'!$AH20="",'DADOS_FORMAS'!$GR50="",'DADOS_FORMAS'!$GT50=""),"",IF('DADOS_FORMAS'!$GT50="—","—",'DADOS_FORMAS'!$GU50&amp;IF('DADOS_FORMAS'!$GS50="alcance",INDEX('DADOS_FORMAS'!$GL$2:$GL$7,MIN(6,'DADOS_FORMAS'!$GW50+3)),IF('DADOS_FORMAS'!$GS50="raio",INDEX('DADOS_FORMAS'!$GN$2:$GN$6,MIN(5,'DADOS_FORMAS'!$GW50+3)),IF('DADOS_FORMAS'!$GS50="comprimento",INDEX('DADOS_FORMAS'!$GP$2:$GP$6,MIN(5,'DADOS_FORMAS'!$GW50+3)),'DADOS_FORMAS'!$GT50)))&amp;'DADOS_FORMAS'!$GV50)),UPPER(LEFT(trecho,1))&amp;MID(trecho,2,LEN(trecho)))</f>
        <v/>
      </c>
      <c r="HD56">
        <f>LET(trecho,IF(OR('DADOS_FORMAS'!$AH20="",'DADOS_FORMAS'!$GR50="",'DADOS_FORMAS'!$GT50=""),"",IF('DADOS_FORMAS'!$GT50="—","—",'DADOS_FORMAS'!$GU50&amp;IF('DADOS_FORMAS'!$GS50="alcance",INDEX('DADOS_FORMAS'!$GL$2:$GL$7,MIN(6,'DADOS_FORMAS'!$GW50+4)),IF('DADOS_FORMAS'!$GS50="raio",INDEX('DADOS_FORMAS'!$GN$2:$GN$6,MIN(5,'DADOS_FORMAS'!$GW50+4)),IF('DADOS_FORMAS'!$GS50="comprimento",INDEX('DADOS_FORMAS'!$GP$2:$GP$6,MIN(5,'DADOS_FORMAS'!$GW50+4)),'DADOS_FORMAS'!$GT50)))&amp;'DADOS_FORMAS'!$GV50)),UPPER(LEFT(trecho,1))&amp;MID(trecho,2,LEN(trecho)))</f>
        <v/>
      </c>
      <c r="HE56">
        <f>LET(trecho,IF(OR('DADOS_FORMAS'!$AH20="",'DADOS_FORMAS'!$GR50="",'DADOS_FORMAS'!$GT50=""),"",IF('DADOS_FORMAS'!$GT50="—","—",'DADOS_FORMAS'!$GU50&amp;IF('DADOS_FORMAS'!$GS50="alcance",INDEX('DADOS_FORMAS'!$GL$2:$GL$7,MIN(6,'DADOS_FORMAS'!$GW50+5)),IF('DADOS_FORMAS'!$GS50="raio",INDEX('DADOS_FORMAS'!$GN$2:$GN$6,MIN(5,'DADOS_FORMAS'!$GW50+5)),IF('DADOS_FORMAS'!$GS50="comprimento",INDEX('DADOS_FORMAS'!$GP$2:$GP$6,MIN(5,'DADOS_FORMAS'!$GW50+5)),'DADOS_FORMAS'!$GT50)))&amp;'DADOS_FORMAS'!$GV50)),UPPER(LEFT(trecho,1))&amp;MID(trecho,2,LEN(trecho)))</f>
        <v/>
      </c>
      <c r="HF56">
        <f>IF(OR('DADOS_FORMAS'!$AH20="",'DADOS_FORMAS'!$GR51="",'DADOS_FORMAS'!$GT51=""),"",IF('DADOS_FORMAS'!$GT51="—","—",'DADOS_FORMAS'!$GU51&amp;'DADOS_FORMAS'!$GT51&amp;'DADOS_FORMAS'!$GV51))</f>
        <v/>
      </c>
      <c r="HG56">
        <f>IF(OR('DADOS_FORMAS'!$AH20="",'DADOS_FORMAS'!$GR51="",'DADOS_FORMAS'!$GT51=""),"",IF('DADOS_FORMAS'!$GT51="—","—",'DADOS_FORMAS'!$GU51&amp;IF('DADOS_FORMAS'!$GS51="alcance",INDEX('DADOS_FORMAS'!$GL$2:$GL$7,MIN(6,'DADOS_FORMAS'!$GW51+1)),IF('DADOS_FORMAS'!$GS51="raio",INDEX('DADOS_FORMAS'!$GN$2:$GN$6,MIN(5,'DADOS_FORMAS'!$GW51+1)),IF('DADOS_FORMAS'!$GS51="comprimento",INDEX('DADOS_FORMAS'!$GP$2:$GP$6,MIN(5,'DADOS_FORMAS'!$GW51+1)),'DADOS_FORMAS'!$GT51)))&amp;'DADOS_FORMAS'!$GV51))</f>
        <v/>
      </c>
      <c r="HH56">
        <f>IF(OR('DADOS_FORMAS'!$AH20="",'DADOS_FORMAS'!$GR51="",'DADOS_FORMAS'!$GT51=""),"",IF('DADOS_FORMAS'!$GT51="—","—",'DADOS_FORMAS'!$GU51&amp;IF('DADOS_FORMAS'!$GS51="alcance",INDEX('DADOS_FORMAS'!$GL$2:$GL$7,MIN(6,'DADOS_FORMAS'!$GW51+2)),IF('DADOS_FORMAS'!$GS51="raio",INDEX('DADOS_FORMAS'!$GN$2:$GN$6,MIN(5,'DADOS_FORMAS'!$GW51+2)),IF('DADOS_FORMAS'!$GS51="comprimento",INDEX('DADOS_FORMAS'!$GP$2:$GP$6,MIN(5,'DADOS_FORMAS'!$GW51+2)),'DADOS_FORMAS'!$GT51)))&amp;'DADOS_FORMAS'!$GV51))</f>
        <v/>
      </c>
      <c r="HI56">
        <f>IF(OR('DADOS_FORMAS'!$AH20="",'DADOS_FORMAS'!$GR51="",'DADOS_FORMAS'!$GT51=""),"",IF('DADOS_FORMAS'!$GT51="—","—",'DADOS_FORMAS'!$GU51&amp;IF('DADOS_FORMAS'!$GS51="alcance",INDEX('DADOS_FORMAS'!$GL$2:$GL$7,MIN(6,'DADOS_FORMAS'!$GW51+3)),IF('DADOS_FORMAS'!$GS51="raio",INDEX('DADOS_FORMAS'!$GN$2:$GN$6,MIN(5,'DADOS_FORMAS'!$GW51+3)),IF('DADOS_FORMAS'!$GS51="comprimento",INDEX('DADOS_FORMAS'!$GP$2:$GP$6,MIN(5,'DADOS_FORMAS'!$GW51+3)),'DADOS_FORMAS'!$GT51)))&amp;'DADOS_FORMAS'!$GV51))</f>
        <v/>
      </c>
      <c r="HJ56">
        <f>IF(OR('DADOS_FORMAS'!$AH20="",'DADOS_FORMAS'!$GR51="",'DADOS_FORMAS'!$GT51=""),"",IF('DADOS_FORMAS'!$GT51="—","—",'DADOS_FORMAS'!$GU51&amp;IF('DADOS_FORMAS'!$GS51="alcance",INDEX('DADOS_FORMAS'!$GL$2:$GL$7,MIN(6,'DADOS_FORMAS'!$GW51+4)),IF('DADOS_FORMAS'!$GS51="raio",INDEX('DADOS_FORMAS'!$GN$2:$GN$6,MIN(5,'DADOS_FORMAS'!$GW51+4)),IF('DADOS_FORMAS'!$GS51="comprimento",INDEX('DADOS_FORMAS'!$GP$2:$GP$6,MIN(5,'DADOS_FORMAS'!$GW51+4)),'DADOS_FORMAS'!$GT51)))&amp;'DADOS_FORMAS'!$GV51))</f>
        <v/>
      </c>
      <c r="HK56">
        <f>IF(OR('DADOS_FORMAS'!$AH20="",'DADOS_FORMAS'!$GR51="",'DADOS_FORMAS'!$GT51=""),"",IF('DADOS_FORMAS'!$GT51="—","—",'DADOS_FORMAS'!$GU51&amp;IF('DADOS_FORMAS'!$GS51="alcance",INDEX('DADOS_FORMAS'!$GL$2:$GL$7,MIN(6,'DADOS_FORMAS'!$GW51+5)),IF('DADOS_FORMAS'!$GS51="raio",INDEX('DADOS_FORMAS'!$GN$2:$GN$6,MIN(5,'DADOS_FORMAS'!$GW51+5)),IF('DADOS_FORMAS'!$GS51="comprimento",INDEX('DADOS_FORMAS'!$GP$2:$GP$6,MIN(5,'DADOS_FORMAS'!$GW51+5)),'DADOS_FORMAS'!$GT51)))&amp;'DADOS_FORMAS'!$GV51))</f>
        <v/>
      </c>
      <c r="HM56">
        <f>'DADOS_FORMAS'!$BL18</f>
        <v/>
      </c>
      <c r="HN56">
        <f>IF('DADOS_FORMAS'!$BL18="area",'DADOS_FORMAS'!$AU18,'DADOS_FORMAS'!$AT18)</f>
        <v/>
      </c>
      <c r="HO56">
        <f>IF('DADOS_FORMAS'!$BL18="area",'DADOS_FORMAS'!$BI18,'DADOS_FORMAS'!$BB18)</f>
        <v/>
      </c>
      <c r="HP56">
        <f>'DADOS_FORMAS'!$BM18</f>
        <v/>
      </c>
      <c r="HQ56">
        <f>'DADOS_FORMAS'!$BN18</f>
        <v/>
      </c>
      <c r="HR56">
        <f>LET(base,'DADOS_FORMAS'!$HO56,escada,'DADOS_FORMAS'!$HN56,medida,LEFT(base,MAX(0,LEN(base)-2)),valor,IFERROR(VALUE(SUBSTITUTE(medida,",",""))/10^IFERROR(LEN(medida)-FIND(",",medida),0),1E99),IF(OR(escada="Fixo",base="—"),base,IF(escada="alcance",IFERROR(MATCH(base,{"1,5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6">
        <f>'DADOS_FORMAS'!$AH15&amp;" · classe 6"</f>
        <v/>
      </c>
      <c r="HU56">
        <f>LET(trecho,IF(OR('DADOS_FORMAS'!$AH15="",'DADOS_FORMAS'!$HM30="",'DADOS_FORMAS'!$HO30=""),"",IF('DADOS_FORMAS'!$HO30="—","—",'DADOS_FORMAS'!$HP30&amp;'DADOS_FORMAS'!$HO30&amp;SUBSTITUTE('DADOS_FORMAS'!$HQ30,"em você","nela"))),UPPER(LEFT(trecho,1))&amp;MID(trecho,2,LEN(trecho)))</f>
        <v/>
      </c>
      <c r="HV56">
        <f>LET(trecho,IF(OR('DADOS_FORMAS'!$AH15="",'DADOS_FORMAS'!$HM30="",'DADOS_FORMAS'!$HO30=""),"",IF('DADOS_FORMAS'!$HO30="—","—",'DADOS_FORMAS'!$HP30&amp;IF('DADOS_FORMAS'!$HN30="alcance",INDEX('DADOS_FORMAS'!$GL$2:$GL$7,MIN(6,'DADOS_FORMAS'!$HR30+1)),IF('DADOS_FORMAS'!$HN30="raio",INDEX('DADOS_FORMAS'!$GN$2:$GN$6,MIN(5,'DADOS_FORMAS'!$HR30+1)),IF('DADOS_FORMAS'!$HN30="comprimento",INDEX('DADOS_FORMAS'!$GP$2:$GP$6,MIN(5,'DADOS_FORMAS'!$HR30+1)),'DADOS_FORMAS'!$HO30)))&amp;SUBSTITUTE('DADOS_FORMAS'!$HQ30,"em você","nela"))),UPPER(LEFT(trecho,1))&amp;MID(trecho,2,LEN(trecho)))</f>
        <v/>
      </c>
      <c r="HW56">
        <f>LET(trecho,IF(OR('DADOS_FORMAS'!$AH15="",'DADOS_FORMAS'!$HM30="",'DADOS_FORMAS'!$HO30=""),"",IF('DADOS_FORMAS'!$HO30="—","—",'DADOS_FORMAS'!$HP30&amp;IF('DADOS_FORMAS'!$HN30="alcance",INDEX('DADOS_FORMAS'!$GL$2:$GL$7,MIN(6,'DADOS_FORMAS'!$HR30+2)),IF('DADOS_FORMAS'!$HN30="raio",INDEX('DADOS_FORMAS'!$GN$2:$GN$6,MIN(5,'DADOS_FORMAS'!$HR30+2)),IF('DADOS_FORMAS'!$HN30="comprimento",INDEX('DADOS_FORMAS'!$GP$2:$GP$6,MIN(5,'DADOS_FORMAS'!$HR30+2)),'DADOS_FORMAS'!$HO30)))&amp;SUBSTITUTE('DADOS_FORMAS'!$HQ30,"em você","nela"))),UPPER(LEFT(trecho,1))&amp;MID(trecho,2,LEN(trecho)))</f>
        <v/>
      </c>
      <c r="HX56">
        <f>LET(trecho,IF(OR('DADOS_FORMAS'!$AH15="",'DADOS_FORMAS'!$HM30="",'DADOS_FORMAS'!$HO30=""),"",IF('DADOS_FORMAS'!$HO30="—","—",'DADOS_FORMAS'!$HP30&amp;IF('DADOS_FORMAS'!$HN30="alcance",INDEX('DADOS_FORMAS'!$GL$2:$GL$7,MIN(6,'DADOS_FORMAS'!$HR30+3)),IF('DADOS_FORMAS'!$HN30="raio",INDEX('DADOS_FORMAS'!$GN$2:$GN$6,MIN(5,'DADOS_FORMAS'!$HR30+3)),IF('DADOS_FORMAS'!$HN30="comprimento",INDEX('DADOS_FORMAS'!$GP$2:$GP$6,MIN(5,'DADOS_FORMAS'!$HR30+3)),'DADOS_FORMAS'!$HO30)))&amp;SUBSTITUTE('DADOS_FORMAS'!$HQ30,"em você","nela"))),UPPER(LEFT(trecho,1))&amp;MID(trecho,2,LEN(trecho)))</f>
        <v/>
      </c>
      <c r="HY56">
        <f>LET(trecho,IF(OR('DADOS_FORMAS'!$AH15="",'DADOS_FORMAS'!$HM30="",'DADOS_FORMAS'!$HO30=""),"",IF('DADOS_FORMAS'!$HO30="—","—",'DADOS_FORMAS'!$HP30&amp;IF('DADOS_FORMAS'!$HN30="alcance",INDEX('DADOS_FORMAS'!$GL$2:$GL$7,MIN(6,'DADOS_FORMAS'!$HR30+4)),IF('DADOS_FORMAS'!$HN30="raio",INDEX('DADOS_FORMAS'!$GN$2:$GN$6,MIN(5,'DADOS_FORMAS'!$HR30+4)),IF('DADOS_FORMAS'!$HN30="comprimento",INDEX('DADOS_FORMAS'!$GP$2:$GP$6,MIN(5,'DADOS_FORMAS'!$HR30+4)),'DADOS_FORMAS'!$HO30)))&amp;SUBSTITUTE('DADOS_FORMAS'!$HQ30,"em você","nela"))),UPPER(LEFT(trecho,1))&amp;MID(trecho,2,LEN(trecho)))</f>
        <v/>
      </c>
      <c r="HZ56">
        <f>LET(trecho,IF(OR('DADOS_FORMAS'!$AH15="",'DADOS_FORMAS'!$HM30="",'DADOS_FORMAS'!$HO30=""),"",IF('DADOS_FORMAS'!$HO30="—","—",'DADOS_FORMAS'!$HP30&amp;IF('DADOS_FORMAS'!$HN30="alcance",INDEX('DADOS_FORMAS'!$GL$2:$GL$7,MIN(6,'DADOS_FORMAS'!$HR30+5)),IF('DADOS_FORMAS'!$HN30="raio",INDEX('DADOS_FORMAS'!$GN$2:$GN$6,MIN(5,'DADOS_FORMAS'!$HR30+5)),IF('DADOS_FORMAS'!$HN30="comprimento",INDEX('DADOS_FORMAS'!$GP$2:$GP$6,MIN(5,'DADOS_FORMAS'!$HR30+5)),'DADOS_FORMAS'!$HO30)))&amp;SUBSTITUTE('DADOS_FORMAS'!$HQ30,"em você","nela"))),UPPER(LEFT(trecho,1))&amp;MID(trecho,2,LEN(trecho)))</f>
        <v/>
      </c>
      <c r="IA56">
        <f>IF(OR('DADOS_FORMAS'!$AH15="",'DADOS_FORMAS'!$HM31="",'DADOS_FORMAS'!$HO31=""),"",IF('DADOS_FORMAS'!$HO31="—","—",'DADOS_FORMAS'!$HP31&amp;'DADOS_FORMAS'!$HO31&amp;SUBSTITUTE('DADOS_FORMAS'!$HQ31,"em você","nela")))</f>
        <v/>
      </c>
      <c r="IB56">
        <f>IF(OR('DADOS_FORMAS'!$AH15="",'DADOS_FORMAS'!$HM31="",'DADOS_FORMAS'!$HO31=""),"",IF('DADOS_FORMAS'!$HO31="—","—",'DADOS_FORMAS'!$HP31&amp;IF('DADOS_FORMAS'!$HN31="alcance",INDEX('DADOS_FORMAS'!$GL$2:$GL$7,MIN(6,'DADOS_FORMAS'!$HR31+1)),IF('DADOS_FORMAS'!$HN31="raio",INDEX('DADOS_FORMAS'!$GN$2:$GN$6,MIN(5,'DADOS_FORMAS'!$HR31+1)),IF('DADOS_FORMAS'!$HN31="comprimento",INDEX('DADOS_FORMAS'!$GP$2:$GP$6,MIN(5,'DADOS_FORMAS'!$HR31+1)),'DADOS_FORMAS'!$HO31)))&amp;SUBSTITUTE('DADOS_FORMAS'!$HQ31,"em você","nela")))</f>
        <v/>
      </c>
      <c r="IC56">
        <f>IF(OR('DADOS_FORMAS'!$AH15="",'DADOS_FORMAS'!$HM31="",'DADOS_FORMAS'!$HO31=""),"",IF('DADOS_FORMAS'!$HO31="—","—",'DADOS_FORMAS'!$HP31&amp;IF('DADOS_FORMAS'!$HN31="alcance",INDEX('DADOS_FORMAS'!$GL$2:$GL$7,MIN(6,'DADOS_FORMAS'!$HR31+2)),IF('DADOS_FORMAS'!$HN31="raio",INDEX('DADOS_FORMAS'!$GN$2:$GN$6,MIN(5,'DADOS_FORMAS'!$HR31+2)),IF('DADOS_FORMAS'!$HN31="comprimento",INDEX('DADOS_FORMAS'!$GP$2:$GP$6,MIN(5,'DADOS_FORMAS'!$HR31+2)),'DADOS_FORMAS'!$HO31)))&amp;SUBSTITUTE('DADOS_FORMAS'!$HQ31,"em você","nela")))</f>
        <v/>
      </c>
      <c r="ID56">
        <f>IF(OR('DADOS_FORMAS'!$AH15="",'DADOS_FORMAS'!$HM31="",'DADOS_FORMAS'!$HO31=""),"",IF('DADOS_FORMAS'!$HO31="—","—",'DADOS_FORMAS'!$HP31&amp;IF('DADOS_FORMAS'!$HN31="alcance",INDEX('DADOS_FORMAS'!$GL$2:$GL$7,MIN(6,'DADOS_FORMAS'!$HR31+3)),IF('DADOS_FORMAS'!$HN31="raio",INDEX('DADOS_FORMAS'!$GN$2:$GN$6,MIN(5,'DADOS_FORMAS'!$HR31+3)),IF('DADOS_FORMAS'!$HN31="comprimento",INDEX('DADOS_FORMAS'!$GP$2:$GP$6,MIN(5,'DADOS_FORMAS'!$HR31+3)),'DADOS_FORMAS'!$HO31)))&amp;SUBSTITUTE('DADOS_FORMAS'!$HQ31,"em você","nela")))</f>
        <v/>
      </c>
      <c r="IE56">
        <f>IF(OR('DADOS_FORMAS'!$AH15="",'DADOS_FORMAS'!$HM31="",'DADOS_FORMAS'!$HO31=""),"",IF('DADOS_FORMAS'!$HO31="—","—",'DADOS_FORMAS'!$HP31&amp;IF('DADOS_FORMAS'!$HN31="alcance",INDEX('DADOS_FORMAS'!$GL$2:$GL$7,MIN(6,'DADOS_FORMAS'!$HR31+4)),IF('DADOS_FORMAS'!$HN31="raio",INDEX('DADOS_FORMAS'!$GN$2:$GN$6,MIN(5,'DADOS_FORMAS'!$HR31+4)),IF('DADOS_FORMAS'!$HN31="comprimento",INDEX('DADOS_FORMAS'!$GP$2:$GP$6,MIN(5,'DADOS_FORMAS'!$HR31+4)),'DADOS_FORMAS'!$HO31)))&amp;SUBSTITUTE('DADOS_FORMAS'!$HQ31,"em você","nela")))</f>
        <v/>
      </c>
      <c r="IF56">
        <f>IF(OR('DADOS_FORMAS'!$AH15="",'DADOS_FORMAS'!$HM31="",'DADOS_FORMAS'!$HO31=""),"",IF('DADOS_FORMAS'!$HO31="—","—",'DADOS_FORMAS'!$HP31&amp;IF('DADOS_FORMAS'!$HN31="alcance",INDEX('DADOS_FORMAS'!$GL$2:$GL$7,MIN(6,'DADOS_FORMAS'!$HR31+5)),IF('DADOS_FORMAS'!$HN31="raio",INDEX('DADOS_FORMAS'!$GN$2:$GN$6,MIN(5,'DADOS_FORMAS'!$HR31+5)),IF('DADOS_FORMAS'!$HN31="comprimento",INDEX('DADOS_FORMAS'!$GP$2:$GP$6,MIN(5,'DADOS_FORMAS'!$HR31+5)),'DADOS_FORMAS'!$HO31)))&amp;SUBSTITUTE('DADOS_FORMAS'!$HQ31,"em você","nela")))</f>
        <v/>
      </c>
    </row>
    <row r="57">
      <c r="GR57">
        <f>'DADOS_FORMAS'!$BP21</f>
        <v/>
      </c>
      <c r="GS57">
        <f>IF('DADOS_FORMAS'!$BP21="area",'DADOS_FORMAS'!$AU21,'DADOS_FORMAS'!$AT21)</f>
        <v/>
      </c>
      <c r="GT57">
        <f>IF('DADOS_FORMAS'!$BP21="area",'DADOS_FORMAS'!$BC21,'DADOS_FORMAS'!$AV21)</f>
        <v/>
      </c>
      <c r="GU57">
        <f>'DADOS_FORMAS'!$BQ21</f>
        <v/>
      </c>
      <c r="GV57">
        <f>'DADOS_FORMAS'!$BR21</f>
        <v/>
      </c>
      <c r="GW57">
        <f>LET(base,'DADOS_FORMAS'!$GT57,escada,'DADOS_FORMAS'!$GS57,medida,LEFT(base,MAX(0,LEN(base)-2)),valor,IFERROR(VALUE(SUBSTITUTE(medida,",",""))/10^IFERROR(LEN(medida)-FIND(",",medida),0),1E99),IF(OR(escada="Fixo",base="—"),base,IF(escada="alcance",IFERROR(MATCH(base,{"1,5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7">
        <f>'DADOS_FORMAS'!$AH20&amp;" · classes 1 a 5"</f>
        <v/>
      </c>
      <c r="GZ57">
        <f>LET(trecho,IF(OR('DADOS_FORMAS'!$AH20="",'DADOS_FORMAS'!$GR52="",'DADOS_FORMAS'!$GT52=""),"",IF('DADOS_FORMAS'!$GT52="—","—",'DADOS_FORMAS'!$GU52&amp;'DADOS_FORMAS'!$GT52&amp;'DADOS_FORMAS'!$GV52)),UPPER(LEFT(trecho,1))&amp;MID(trecho,2,LEN(trecho)))</f>
        <v/>
      </c>
      <c r="HA57">
        <f>LET(trecho,IF(OR('DADOS_FORMAS'!$AH20="",'DADOS_FORMAS'!$GR52="",'DADOS_FORMAS'!$GT52=""),"",IF('DADOS_FORMAS'!$GT52="—","—",'DADOS_FORMAS'!$GU52&amp;IF('DADOS_FORMAS'!$GS52="alcance",INDEX('DADOS_FORMAS'!$GL$2:$GL$7,MIN(6,'DADOS_FORMAS'!$GW52+1)),IF('DADOS_FORMAS'!$GS52="raio",INDEX('DADOS_FORMAS'!$GN$2:$GN$6,MIN(5,'DADOS_FORMAS'!$GW52+1)),IF('DADOS_FORMAS'!$GS52="comprimento",INDEX('DADOS_FORMAS'!$GP$2:$GP$6,MIN(5,'DADOS_FORMAS'!$GW52+1)),'DADOS_FORMAS'!$GT52)))&amp;'DADOS_FORMAS'!$GV52)),UPPER(LEFT(trecho,1))&amp;MID(trecho,2,LEN(trecho)))</f>
        <v/>
      </c>
      <c r="HB57">
        <f>LET(trecho,IF(OR('DADOS_FORMAS'!$AH20="",'DADOS_FORMAS'!$GR52="",'DADOS_FORMAS'!$GT52=""),"",IF('DADOS_FORMAS'!$GT52="—","—",'DADOS_FORMAS'!$GU52&amp;IF('DADOS_FORMAS'!$GS52="alcance",INDEX('DADOS_FORMAS'!$GL$2:$GL$7,MIN(6,'DADOS_FORMAS'!$GW52+2)),IF('DADOS_FORMAS'!$GS52="raio",INDEX('DADOS_FORMAS'!$GN$2:$GN$6,MIN(5,'DADOS_FORMAS'!$GW52+2)),IF('DADOS_FORMAS'!$GS52="comprimento",INDEX('DADOS_FORMAS'!$GP$2:$GP$6,MIN(5,'DADOS_FORMAS'!$GW52+2)),'DADOS_FORMAS'!$GT52)))&amp;'DADOS_FORMAS'!$GV52)),UPPER(LEFT(trecho,1))&amp;MID(trecho,2,LEN(trecho)))</f>
        <v/>
      </c>
      <c r="HC57">
        <f>LET(trecho,IF(OR('DADOS_FORMAS'!$AH20="",'DADOS_FORMAS'!$GR52="",'DADOS_FORMAS'!$GT52=""),"",IF('DADOS_FORMAS'!$GT52="—","—",'DADOS_FORMAS'!$GU52&amp;IF('DADOS_FORMAS'!$GS52="alcance",INDEX('DADOS_FORMAS'!$GL$2:$GL$7,MIN(6,'DADOS_FORMAS'!$GW52+3)),IF('DADOS_FORMAS'!$GS52="raio",INDEX('DADOS_FORMAS'!$GN$2:$GN$6,MIN(5,'DADOS_FORMAS'!$GW52+3)),IF('DADOS_FORMAS'!$GS52="comprimento",INDEX('DADOS_FORMAS'!$GP$2:$GP$6,MIN(5,'DADOS_FORMAS'!$GW52+3)),'DADOS_FORMAS'!$GT52)))&amp;'DADOS_FORMAS'!$GV52)),UPPER(LEFT(trecho,1))&amp;MID(trecho,2,LEN(trecho)))</f>
        <v/>
      </c>
      <c r="HD57">
        <f>LET(trecho,IF(OR('DADOS_FORMAS'!$AH20="",'DADOS_FORMAS'!$GR52="",'DADOS_FORMAS'!$GT52=""),"",IF('DADOS_FORMAS'!$GT52="—","—",'DADOS_FORMAS'!$GU52&amp;IF('DADOS_FORMAS'!$GS52="alcance",INDEX('DADOS_FORMAS'!$GL$2:$GL$7,MIN(6,'DADOS_FORMAS'!$GW52+4)),IF('DADOS_FORMAS'!$GS52="raio",INDEX('DADOS_FORMAS'!$GN$2:$GN$6,MIN(5,'DADOS_FORMAS'!$GW52+4)),IF('DADOS_FORMAS'!$GS52="comprimento",INDEX('DADOS_FORMAS'!$GP$2:$GP$6,MIN(5,'DADOS_FORMAS'!$GW52+4)),'DADOS_FORMAS'!$GT52)))&amp;'DADOS_FORMAS'!$GV52)),UPPER(LEFT(trecho,1))&amp;MID(trecho,2,LEN(trecho)))</f>
        <v/>
      </c>
      <c r="HE57">
        <f>LET(trecho,IF(OR('DADOS_FORMAS'!$AH20="",'DADOS_FORMAS'!$GR52="",'DADOS_FORMAS'!$GT52=""),"",IF('DADOS_FORMAS'!$GT52="—","—",'DADOS_FORMAS'!$GU52&amp;IF('DADOS_FORMAS'!$GS52="alcance",INDEX('DADOS_FORMAS'!$GL$2:$GL$7,MIN(6,'DADOS_FORMAS'!$GW52+5)),IF('DADOS_FORMAS'!$GS52="raio",INDEX('DADOS_FORMAS'!$GN$2:$GN$6,MIN(5,'DADOS_FORMAS'!$GW52+5)),IF('DADOS_FORMAS'!$GS52="comprimento",INDEX('DADOS_FORMAS'!$GP$2:$GP$6,MIN(5,'DADOS_FORMAS'!$GW52+5)),'DADOS_FORMAS'!$GT52)))&amp;'DADOS_FORMAS'!$GV52)),UPPER(LEFT(trecho,1))&amp;MID(trecho,2,LEN(trecho)))</f>
        <v/>
      </c>
      <c r="HF57">
        <f>IF(OR('DADOS_FORMAS'!$AH20="",'DADOS_FORMAS'!$GR53="",'DADOS_FORMAS'!$GT53=""),"",IF('DADOS_FORMAS'!$GT53="—","—",'DADOS_FORMAS'!$GU53&amp;'DADOS_FORMAS'!$GT53&amp;'DADOS_FORMAS'!$GV53))</f>
        <v/>
      </c>
      <c r="HG57">
        <f>IF(OR('DADOS_FORMAS'!$AH20="",'DADOS_FORMAS'!$GR53="",'DADOS_FORMAS'!$GT53=""),"",IF('DADOS_FORMAS'!$GT53="—","—",'DADOS_FORMAS'!$GU53&amp;IF('DADOS_FORMAS'!$GS53="alcance",INDEX('DADOS_FORMAS'!$GL$2:$GL$7,MIN(6,'DADOS_FORMAS'!$GW53+1)),IF('DADOS_FORMAS'!$GS53="raio",INDEX('DADOS_FORMAS'!$GN$2:$GN$6,MIN(5,'DADOS_FORMAS'!$GW53+1)),IF('DADOS_FORMAS'!$GS53="comprimento",INDEX('DADOS_FORMAS'!$GP$2:$GP$6,MIN(5,'DADOS_FORMAS'!$GW53+1)),'DADOS_FORMAS'!$GT53)))&amp;'DADOS_FORMAS'!$GV53))</f>
        <v/>
      </c>
      <c r="HH57">
        <f>IF(OR('DADOS_FORMAS'!$AH20="",'DADOS_FORMAS'!$GR53="",'DADOS_FORMAS'!$GT53=""),"",IF('DADOS_FORMAS'!$GT53="—","—",'DADOS_FORMAS'!$GU53&amp;IF('DADOS_FORMAS'!$GS53="alcance",INDEX('DADOS_FORMAS'!$GL$2:$GL$7,MIN(6,'DADOS_FORMAS'!$GW53+2)),IF('DADOS_FORMAS'!$GS53="raio",INDEX('DADOS_FORMAS'!$GN$2:$GN$6,MIN(5,'DADOS_FORMAS'!$GW53+2)),IF('DADOS_FORMAS'!$GS53="comprimento",INDEX('DADOS_FORMAS'!$GP$2:$GP$6,MIN(5,'DADOS_FORMAS'!$GW53+2)),'DADOS_FORMAS'!$GT53)))&amp;'DADOS_FORMAS'!$GV53))</f>
        <v/>
      </c>
      <c r="HI57">
        <f>IF(OR('DADOS_FORMAS'!$AH20="",'DADOS_FORMAS'!$GR53="",'DADOS_FORMAS'!$GT53=""),"",IF('DADOS_FORMAS'!$GT53="—","—",'DADOS_FORMAS'!$GU53&amp;IF('DADOS_FORMAS'!$GS53="alcance",INDEX('DADOS_FORMAS'!$GL$2:$GL$7,MIN(6,'DADOS_FORMAS'!$GW53+3)),IF('DADOS_FORMAS'!$GS53="raio",INDEX('DADOS_FORMAS'!$GN$2:$GN$6,MIN(5,'DADOS_FORMAS'!$GW53+3)),IF('DADOS_FORMAS'!$GS53="comprimento",INDEX('DADOS_FORMAS'!$GP$2:$GP$6,MIN(5,'DADOS_FORMAS'!$GW53+3)),'DADOS_FORMAS'!$GT53)))&amp;'DADOS_FORMAS'!$GV53))</f>
        <v/>
      </c>
      <c r="HJ57">
        <f>IF(OR('DADOS_FORMAS'!$AH20="",'DADOS_FORMAS'!$GR53="",'DADOS_FORMAS'!$GT53=""),"",IF('DADOS_FORMAS'!$GT53="—","—",'DADOS_FORMAS'!$GU53&amp;IF('DADOS_FORMAS'!$GS53="alcance",INDEX('DADOS_FORMAS'!$GL$2:$GL$7,MIN(6,'DADOS_FORMAS'!$GW53+4)),IF('DADOS_FORMAS'!$GS53="raio",INDEX('DADOS_FORMAS'!$GN$2:$GN$6,MIN(5,'DADOS_FORMAS'!$GW53+4)),IF('DADOS_FORMAS'!$GS53="comprimento",INDEX('DADOS_FORMAS'!$GP$2:$GP$6,MIN(5,'DADOS_FORMAS'!$GW53+4)),'DADOS_FORMAS'!$GT53)))&amp;'DADOS_FORMAS'!$GV53))</f>
        <v/>
      </c>
      <c r="HK57">
        <f>IF(OR('DADOS_FORMAS'!$AH20="",'DADOS_FORMAS'!$GR53="",'DADOS_FORMAS'!$GT53=""),"",IF('DADOS_FORMAS'!$GT53="—","—",'DADOS_FORMAS'!$GU53&amp;IF('DADOS_FORMAS'!$GS53="alcance",INDEX('DADOS_FORMAS'!$GL$2:$GL$7,MIN(6,'DADOS_FORMAS'!$GW53+5)),IF('DADOS_FORMAS'!$GS53="raio",INDEX('DADOS_FORMAS'!$GN$2:$GN$6,MIN(5,'DADOS_FORMAS'!$GW53+5)),IF('DADOS_FORMAS'!$GS53="comprimento",INDEX('DADOS_FORMAS'!$GP$2:$GP$6,MIN(5,'DADOS_FORMAS'!$GW53+5)),'DADOS_FORMAS'!$GT53)))&amp;'DADOS_FORMAS'!$GV53))</f>
        <v/>
      </c>
      <c r="HM57">
        <f>'DADOS_FORMAS'!$BP18</f>
        <v/>
      </c>
      <c r="HN57">
        <f>IF('DADOS_FORMAS'!$BP18="area",'DADOS_FORMAS'!$AU18,'DADOS_FORMAS'!$AT18)</f>
        <v/>
      </c>
      <c r="HO57">
        <f>IF('DADOS_FORMAS'!$BP18="area",'DADOS_FORMAS'!$BI18,'DADOS_FORMAS'!$BB18)</f>
        <v/>
      </c>
      <c r="HP57">
        <f>'DADOS_FORMAS'!$BQ18</f>
        <v/>
      </c>
      <c r="HQ57">
        <f>'DADOS_FORMAS'!$BR18</f>
        <v/>
      </c>
      <c r="HR57">
        <f>LET(base,'DADOS_FORMAS'!$HO57,escada,'DADOS_FORMAS'!$HN57,medida,LEFT(base,MAX(0,LEN(base)-2)),valor,IFERROR(VALUE(SUBSTITUTE(medida,",",""))/10^IFERROR(LEN(medida)-FIND(",",medida),0),1E99),IF(OR(escada="Fixo",base="—"),base,IF(escada="alcance",IFERROR(MATCH(base,{"1,5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7">
        <f>'DADOS_FORMAS'!$AH15&amp;" · classe 7"</f>
        <v/>
      </c>
      <c r="HU57">
        <f>LET(trecho,IF(OR('DADOS_FORMAS'!$AH15="",'DADOS_FORMAS'!$HM32="",'DADOS_FORMAS'!$HO32=""),"",IF('DADOS_FORMAS'!$HO32="—","—",'DADOS_FORMAS'!$HP32&amp;'DADOS_FORMAS'!$HO32&amp;SUBSTITUTE('DADOS_FORMAS'!$HQ32,"em você","nela"))),UPPER(LEFT(trecho,1))&amp;MID(trecho,2,LEN(trecho)))</f>
        <v/>
      </c>
      <c r="HV57">
        <f>LET(trecho,IF(OR('DADOS_FORMAS'!$AH15="",'DADOS_FORMAS'!$HM32="",'DADOS_FORMAS'!$HO32=""),"",IF('DADOS_FORMAS'!$HO32="—","—",'DADOS_FORMAS'!$HP32&amp;IF('DADOS_FORMAS'!$HN32="alcance",INDEX('DADOS_FORMAS'!$GL$2:$GL$7,MIN(6,'DADOS_FORMAS'!$HR32+1)),IF('DADOS_FORMAS'!$HN32="raio",INDEX('DADOS_FORMAS'!$GN$2:$GN$6,MIN(5,'DADOS_FORMAS'!$HR32+1)),IF('DADOS_FORMAS'!$HN32="comprimento",INDEX('DADOS_FORMAS'!$GP$2:$GP$6,MIN(5,'DADOS_FORMAS'!$HR32+1)),'DADOS_FORMAS'!$HO32)))&amp;SUBSTITUTE('DADOS_FORMAS'!$HQ32,"em você","nela"))),UPPER(LEFT(trecho,1))&amp;MID(trecho,2,LEN(trecho)))</f>
        <v/>
      </c>
      <c r="HW57">
        <f>LET(trecho,IF(OR('DADOS_FORMAS'!$AH15="",'DADOS_FORMAS'!$HM32="",'DADOS_FORMAS'!$HO32=""),"",IF('DADOS_FORMAS'!$HO32="—","—",'DADOS_FORMAS'!$HP32&amp;IF('DADOS_FORMAS'!$HN32="alcance",INDEX('DADOS_FORMAS'!$GL$2:$GL$7,MIN(6,'DADOS_FORMAS'!$HR32+2)),IF('DADOS_FORMAS'!$HN32="raio",INDEX('DADOS_FORMAS'!$GN$2:$GN$6,MIN(5,'DADOS_FORMAS'!$HR32+2)),IF('DADOS_FORMAS'!$HN32="comprimento",INDEX('DADOS_FORMAS'!$GP$2:$GP$6,MIN(5,'DADOS_FORMAS'!$HR32+2)),'DADOS_FORMAS'!$HO32)))&amp;SUBSTITUTE('DADOS_FORMAS'!$HQ32,"em você","nela"))),UPPER(LEFT(trecho,1))&amp;MID(trecho,2,LEN(trecho)))</f>
        <v/>
      </c>
      <c r="HX57">
        <f>LET(trecho,IF(OR('DADOS_FORMAS'!$AH15="",'DADOS_FORMAS'!$HM32="",'DADOS_FORMAS'!$HO32=""),"",IF('DADOS_FORMAS'!$HO32="—","—",'DADOS_FORMAS'!$HP32&amp;IF('DADOS_FORMAS'!$HN32="alcance",INDEX('DADOS_FORMAS'!$GL$2:$GL$7,MIN(6,'DADOS_FORMAS'!$HR32+3)),IF('DADOS_FORMAS'!$HN32="raio",INDEX('DADOS_FORMAS'!$GN$2:$GN$6,MIN(5,'DADOS_FORMAS'!$HR32+3)),IF('DADOS_FORMAS'!$HN32="comprimento",INDEX('DADOS_FORMAS'!$GP$2:$GP$6,MIN(5,'DADOS_FORMAS'!$HR32+3)),'DADOS_FORMAS'!$HO32)))&amp;SUBSTITUTE('DADOS_FORMAS'!$HQ32,"em você","nela"))),UPPER(LEFT(trecho,1))&amp;MID(trecho,2,LEN(trecho)))</f>
        <v/>
      </c>
      <c r="HY57">
        <f>LET(trecho,IF(OR('DADOS_FORMAS'!$AH15="",'DADOS_FORMAS'!$HM32="",'DADOS_FORMAS'!$HO32=""),"",IF('DADOS_FORMAS'!$HO32="—","—",'DADOS_FORMAS'!$HP32&amp;IF('DADOS_FORMAS'!$HN32="alcance",INDEX('DADOS_FORMAS'!$GL$2:$GL$7,MIN(6,'DADOS_FORMAS'!$HR32+4)),IF('DADOS_FORMAS'!$HN32="raio",INDEX('DADOS_FORMAS'!$GN$2:$GN$6,MIN(5,'DADOS_FORMAS'!$HR32+4)),IF('DADOS_FORMAS'!$HN32="comprimento",INDEX('DADOS_FORMAS'!$GP$2:$GP$6,MIN(5,'DADOS_FORMAS'!$HR32+4)),'DADOS_FORMAS'!$HO32)))&amp;SUBSTITUTE('DADOS_FORMAS'!$HQ32,"em você","nela"))),UPPER(LEFT(trecho,1))&amp;MID(trecho,2,LEN(trecho)))</f>
        <v/>
      </c>
      <c r="HZ57">
        <f>LET(trecho,IF(OR('DADOS_FORMAS'!$AH15="",'DADOS_FORMAS'!$HM32="",'DADOS_FORMAS'!$HO32=""),"",IF('DADOS_FORMAS'!$HO32="—","—",'DADOS_FORMAS'!$HP32&amp;IF('DADOS_FORMAS'!$HN32="alcance",INDEX('DADOS_FORMAS'!$GL$2:$GL$7,MIN(6,'DADOS_FORMAS'!$HR32+5)),IF('DADOS_FORMAS'!$HN32="raio",INDEX('DADOS_FORMAS'!$GN$2:$GN$6,MIN(5,'DADOS_FORMAS'!$HR32+5)),IF('DADOS_FORMAS'!$HN32="comprimento",INDEX('DADOS_FORMAS'!$GP$2:$GP$6,MIN(5,'DADOS_FORMAS'!$HR32+5)),'DADOS_FORMAS'!$HO32)))&amp;SUBSTITUTE('DADOS_FORMAS'!$HQ32,"em você","nela"))),UPPER(LEFT(trecho,1))&amp;MID(trecho,2,LEN(trecho)))</f>
        <v/>
      </c>
      <c r="IA57">
        <f>IF(OR('DADOS_FORMAS'!$AH15="",'DADOS_FORMAS'!$HM33="",'DADOS_FORMAS'!$HO33=""),"",IF('DADOS_FORMAS'!$HO33="—","—",'DADOS_FORMAS'!$HP33&amp;'DADOS_FORMAS'!$HO33&amp;SUBSTITUTE('DADOS_FORMAS'!$HQ33,"em você","nela")))</f>
        <v/>
      </c>
      <c r="IB57">
        <f>IF(OR('DADOS_FORMAS'!$AH15="",'DADOS_FORMAS'!$HM33="",'DADOS_FORMAS'!$HO33=""),"",IF('DADOS_FORMAS'!$HO33="—","—",'DADOS_FORMAS'!$HP33&amp;IF('DADOS_FORMAS'!$HN33="alcance",INDEX('DADOS_FORMAS'!$GL$2:$GL$7,MIN(6,'DADOS_FORMAS'!$HR33+1)),IF('DADOS_FORMAS'!$HN33="raio",INDEX('DADOS_FORMAS'!$GN$2:$GN$6,MIN(5,'DADOS_FORMAS'!$HR33+1)),IF('DADOS_FORMAS'!$HN33="comprimento",INDEX('DADOS_FORMAS'!$GP$2:$GP$6,MIN(5,'DADOS_FORMAS'!$HR33+1)),'DADOS_FORMAS'!$HO33)))&amp;SUBSTITUTE('DADOS_FORMAS'!$HQ33,"em você","nela")))</f>
        <v/>
      </c>
      <c r="IC57">
        <f>IF(OR('DADOS_FORMAS'!$AH15="",'DADOS_FORMAS'!$HM33="",'DADOS_FORMAS'!$HO33=""),"",IF('DADOS_FORMAS'!$HO33="—","—",'DADOS_FORMAS'!$HP33&amp;IF('DADOS_FORMAS'!$HN33="alcance",INDEX('DADOS_FORMAS'!$GL$2:$GL$7,MIN(6,'DADOS_FORMAS'!$HR33+2)),IF('DADOS_FORMAS'!$HN33="raio",INDEX('DADOS_FORMAS'!$GN$2:$GN$6,MIN(5,'DADOS_FORMAS'!$HR33+2)),IF('DADOS_FORMAS'!$HN33="comprimento",INDEX('DADOS_FORMAS'!$GP$2:$GP$6,MIN(5,'DADOS_FORMAS'!$HR33+2)),'DADOS_FORMAS'!$HO33)))&amp;SUBSTITUTE('DADOS_FORMAS'!$HQ33,"em você","nela")))</f>
        <v/>
      </c>
      <c r="ID57">
        <f>IF(OR('DADOS_FORMAS'!$AH15="",'DADOS_FORMAS'!$HM33="",'DADOS_FORMAS'!$HO33=""),"",IF('DADOS_FORMAS'!$HO33="—","—",'DADOS_FORMAS'!$HP33&amp;IF('DADOS_FORMAS'!$HN33="alcance",INDEX('DADOS_FORMAS'!$GL$2:$GL$7,MIN(6,'DADOS_FORMAS'!$HR33+3)),IF('DADOS_FORMAS'!$HN33="raio",INDEX('DADOS_FORMAS'!$GN$2:$GN$6,MIN(5,'DADOS_FORMAS'!$HR33+3)),IF('DADOS_FORMAS'!$HN33="comprimento",INDEX('DADOS_FORMAS'!$GP$2:$GP$6,MIN(5,'DADOS_FORMAS'!$HR33+3)),'DADOS_FORMAS'!$HO33)))&amp;SUBSTITUTE('DADOS_FORMAS'!$HQ33,"em você","nela")))</f>
        <v/>
      </c>
      <c r="IE57">
        <f>IF(OR('DADOS_FORMAS'!$AH15="",'DADOS_FORMAS'!$HM33="",'DADOS_FORMAS'!$HO33=""),"",IF('DADOS_FORMAS'!$HO33="—","—",'DADOS_FORMAS'!$HP33&amp;IF('DADOS_FORMAS'!$HN33="alcance",INDEX('DADOS_FORMAS'!$GL$2:$GL$7,MIN(6,'DADOS_FORMAS'!$HR33+4)),IF('DADOS_FORMAS'!$HN33="raio",INDEX('DADOS_FORMAS'!$GN$2:$GN$6,MIN(5,'DADOS_FORMAS'!$HR33+4)),IF('DADOS_FORMAS'!$HN33="comprimento",INDEX('DADOS_FORMAS'!$GP$2:$GP$6,MIN(5,'DADOS_FORMAS'!$HR33+4)),'DADOS_FORMAS'!$HO33)))&amp;SUBSTITUTE('DADOS_FORMAS'!$HQ33,"em você","nela")))</f>
        <v/>
      </c>
      <c r="IF57">
        <f>IF(OR('DADOS_FORMAS'!$AH15="",'DADOS_FORMAS'!$HM33="",'DADOS_FORMAS'!$HO33=""),"",IF('DADOS_FORMAS'!$HO33="—","—",'DADOS_FORMAS'!$HP33&amp;IF('DADOS_FORMAS'!$HN33="alcance",INDEX('DADOS_FORMAS'!$GL$2:$GL$7,MIN(6,'DADOS_FORMAS'!$HR33+5)),IF('DADOS_FORMAS'!$HN33="raio",INDEX('DADOS_FORMAS'!$GN$2:$GN$6,MIN(5,'DADOS_FORMAS'!$HR33+5)),IF('DADOS_FORMAS'!$HN33="comprimento",INDEX('DADOS_FORMAS'!$GP$2:$GP$6,MIN(5,'DADOS_FORMAS'!$HR33+5)),'DADOS_FORMAS'!$HO33)))&amp;SUBSTITUTE('DADOS_FORMAS'!$HQ33,"em você","nela")))</f>
        <v/>
      </c>
    </row>
    <row r="58">
      <c r="GR58">
        <f>'DADOS_FORMAS'!$BL21</f>
        <v/>
      </c>
      <c r="GS58">
        <f>IF('DADOS_FORMAS'!$BL21="area",'DADOS_FORMAS'!$AU21,'DADOS_FORMAS'!$AT21)</f>
        <v/>
      </c>
      <c r="GT58">
        <f>IF('DADOS_FORMAS'!$BL21="area",'DADOS_FORMAS'!$BD21,'DADOS_FORMAS'!$AW21)</f>
        <v/>
      </c>
      <c r="GU58">
        <f>'DADOS_FORMAS'!$BM21</f>
        <v/>
      </c>
      <c r="GV58">
        <f>'DADOS_FORMAS'!$BN21</f>
        <v/>
      </c>
      <c r="GW58">
        <f>LET(base,'DADOS_FORMAS'!$GT58,escada,'DADOS_FORMAS'!$GS58,medida,LEFT(base,MAX(0,LEN(base)-2)),valor,IFERROR(VALUE(SUBSTITUTE(medida,",",""))/10^IFERROR(LEN(medida)-FIND(",",medida),0),1E99),IF(OR(escada="Fixo",base="—"),base,IF(escada="alcance",IFERROR(MATCH(base,{"1,5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8">
        <f>'DADOS_FORMAS'!$AH20&amp;" · classes 6 e 7"</f>
        <v/>
      </c>
      <c r="GZ58">
        <f>LET(trecho,IF(OR('DADOS_FORMAS'!$AH20="",'DADOS_FORMAS'!$GR54="",'DADOS_FORMAS'!$GT54=""),"",IF('DADOS_FORMAS'!$GT54="—","—",'DADOS_FORMAS'!$GU54&amp;'DADOS_FORMAS'!$GT54&amp;'DADOS_FORMAS'!$GV54)),UPPER(LEFT(trecho,1))&amp;MID(trecho,2,LEN(trecho)))</f>
        <v/>
      </c>
      <c r="HA58">
        <f>LET(trecho,IF(OR('DADOS_FORMAS'!$AH20="",'DADOS_FORMAS'!$GR54="",'DADOS_FORMAS'!$GT54=""),"",IF('DADOS_FORMAS'!$GT54="—","—",'DADOS_FORMAS'!$GU54&amp;IF('DADOS_FORMAS'!$GS54="alcance",INDEX('DADOS_FORMAS'!$GL$2:$GL$7,MIN(6,'DADOS_FORMAS'!$GW54+1)),IF('DADOS_FORMAS'!$GS54="raio",INDEX('DADOS_FORMAS'!$GN$2:$GN$6,MIN(5,'DADOS_FORMAS'!$GW54+1)),IF('DADOS_FORMAS'!$GS54="comprimento",INDEX('DADOS_FORMAS'!$GP$2:$GP$6,MIN(5,'DADOS_FORMAS'!$GW54+1)),'DADOS_FORMAS'!$GT54)))&amp;'DADOS_FORMAS'!$GV54)),UPPER(LEFT(trecho,1))&amp;MID(trecho,2,LEN(trecho)))</f>
        <v/>
      </c>
      <c r="HB58">
        <f>LET(trecho,IF(OR('DADOS_FORMAS'!$AH20="",'DADOS_FORMAS'!$GR54="",'DADOS_FORMAS'!$GT54=""),"",IF('DADOS_FORMAS'!$GT54="—","—",'DADOS_FORMAS'!$GU54&amp;IF('DADOS_FORMAS'!$GS54="alcance",INDEX('DADOS_FORMAS'!$GL$2:$GL$7,MIN(6,'DADOS_FORMAS'!$GW54+2)),IF('DADOS_FORMAS'!$GS54="raio",INDEX('DADOS_FORMAS'!$GN$2:$GN$6,MIN(5,'DADOS_FORMAS'!$GW54+2)),IF('DADOS_FORMAS'!$GS54="comprimento",INDEX('DADOS_FORMAS'!$GP$2:$GP$6,MIN(5,'DADOS_FORMAS'!$GW54+2)),'DADOS_FORMAS'!$GT54)))&amp;'DADOS_FORMAS'!$GV54)),UPPER(LEFT(trecho,1))&amp;MID(trecho,2,LEN(trecho)))</f>
        <v/>
      </c>
      <c r="HC58">
        <f>LET(trecho,IF(OR('DADOS_FORMAS'!$AH20="",'DADOS_FORMAS'!$GR54="",'DADOS_FORMAS'!$GT54=""),"",IF('DADOS_FORMAS'!$GT54="—","—",'DADOS_FORMAS'!$GU54&amp;IF('DADOS_FORMAS'!$GS54="alcance",INDEX('DADOS_FORMAS'!$GL$2:$GL$7,MIN(6,'DADOS_FORMAS'!$GW54+3)),IF('DADOS_FORMAS'!$GS54="raio",INDEX('DADOS_FORMAS'!$GN$2:$GN$6,MIN(5,'DADOS_FORMAS'!$GW54+3)),IF('DADOS_FORMAS'!$GS54="comprimento",INDEX('DADOS_FORMAS'!$GP$2:$GP$6,MIN(5,'DADOS_FORMAS'!$GW54+3)),'DADOS_FORMAS'!$GT54)))&amp;'DADOS_FORMAS'!$GV54)),UPPER(LEFT(trecho,1))&amp;MID(trecho,2,LEN(trecho)))</f>
        <v/>
      </c>
      <c r="HD58">
        <f>LET(trecho,IF(OR('DADOS_FORMAS'!$AH20="",'DADOS_FORMAS'!$GR54="",'DADOS_FORMAS'!$GT54=""),"",IF('DADOS_FORMAS'!$GT54="—","—",'DADOS_FORMAS'!$GU54&amp;IF('DADOS_FORMAS'!$GS54="alcance",INDEX('DADOS_FORMAS'!$GL$2:$GL$7,MIN(6,'DADOS_FORMAS'!$GW54+4)),IF('DADOS_FORMAS'!$GS54="raio",INDEX('DADOS_FORMAS'!$GN$2:$GN$6,MIN(5,'DADOS_FORMAS'!$GW54+4)),IF('DADOS_FORMAS'!$GS54="comprimento",INDEX('DADOS_FORMAS'!$GP$2:$GP$6,MIN(5,'DADOS_FORMAS'!$GW54+4)),'DADOS_FORMAS'!$GT54)))&amp;'DADOS_FORMAS'!$GV54)),UPPER(LEFT(trecho,1))&amp;MID(trecho,2,LEN(trecho)))</f>
        <v/>
      </c>
      <c r="HE58">
        <f>LET(trecho,IF(OR('DADOS_FORMAS'!$AH20="",'DADOS_FORMAS'!$GR54="",'DADOS_FORMAS'!$GT54=""),"",IF('DADOS_FORMAS'!$GT54="—","—",'DADOS_FORMAS'!$GU54&amp;IF('DADOS_FORMAS'!$GS54="alcance",INDEX('DADOS_FORMAS'!$GL$2:$GL$7,MIN(6,'DADOS_FORMAS'!$GW54+5)),IF('DADOS_FORMAS'!$GS54="raio",INDEX('DADOS_FORMAS'!$GN$2:$GN$6,MIN(5,'DADOS_FORMAS'!$GW54+5)),IF('DADOS_FORMAS'!$GS54="comprimento",INDEX('DADOS_FORMAS'!$GP$2:$GP$6,MIN(5,'DADOS_FORMAS'!$GW54+5)),'DADOS_FORMAS'!$GT54)))&amp;'DADOS_FORMAS'!$GV54)),UPPER(LEFT(trecho,1))&amp;MID(trecho,2,LEN(trecho)))</f>
        <v/>
      </c>
      <c r="HF58">
        <f>IF(OR('DADOS_FORMAS'!$AH20="",'DADOS_FORMAS'!$GR55="",'DADOS_FORMAS'!$GT55=""),"",IF('DADOS_FORMAS'!$GT55="—","—",'DADOS_FORMAS'!$GU55&amp;'DADOS_FORMAS'!$GT55&amp;'DADOS_FORMAS'!$GV55))</f>
        <v/>
      </c>
      <c r="HG58">
        <f>IF(OR('DADOS_FORMAS'!$AH20="",'DADOS_FORMAS'!$GR55="",'DADOS_FORMAS'!$GT55=""),"",IF('DADOS_FORMAS'!$GT55="—","—",'DADOS_FORMAS'!$GU55&amp;IF('DADOS_FORMAS'!$GS55="alcance",INDEX('DADOS_FORMAS'!$GL$2:$GL$7,MIN(6,'DADOS_FORMAS'!$GW55+1)),IF('DADOS_FORMAS'!$GS55="raio",INDEX('DADOS_FORMAS'!$GN$2:$GN$6,MIN(5,'DADOS_FORMAS'!$GW55+1)),IF('DADOS_FORMAS'!$GS55="comprimento",INDEX('DADOS_FORMAS'!$GP$2:$GP$6,MIN(5,'DADOS_FORMAS'!$GW55+1)),'DADOS_FORMAS'!$GT55)))&amp;'DADOS_FORMAS'!$GV55))</f>
        <v/>
      </c>
      <c r="HH58">
        <f>IF(OR('DADOS_FORMAS'!$AH20="",'DADOS_FORMAS'!$GR55="",'DADOS_FORMAS'!$GT55=""),"",IF('DADOS_FORMAS'!$GT55="—","—",'DADOS_FORMAS'!$GU55&amp;IF('DADOS_FORMAS'!$GS55="alcance",INDEX('DADOS_FORMAS'!$GL$2:$GL$7,MIN(6,'DADOS_FORMAS'!$GW55+2)),IF('DADOS_FORMAS'!$GS55="raio",INDEX('DADOS_FORMAS'!$GN$2:$GN$6,MIN(5,'DADOS_FORMAS'!$GW55+2)),IF('DADOS_FORMAS'!$GS55="comprimento",INDEX('DADOS_FORMAS'!$GP$2:$GP$6,MIN(5,'DADOS_FORMAS'!$GW55+2)),'DADOS_FORMAS'!$GT55)))&amp;'DADOS_FORMAS'!$GV55))</f>
        <v/>
      </c>
      <c r="HI58">
        <f>IF(OR('DADOS_FORMAS'!$AH20="",'DADOS_FORMAS'!$GR55="",'DADOS_FORMAS'!$GT55=""),"",IF('DADOS_FORMAS'!$GT55="—","—",'DADOS_FORMAS'!$GU55&amp;IF('DADOS_FORMAS'!$GS55="alcance",INDEX('DADOS_FORMAS'!$GL$2:$GL$7,MIN(6,'DADOS_FORMAS'!$GW55+3)),IF('DADOS_FORMAS'!$GS55="raio",INDEX('DADOS_FORMAS'!$GN$2:$GN$6,MIN(5,'DADOS_FORMAS'!$GW55+3)),IF('DADOS_FORMAS'!$GS55="comprimento",INDEX('DADOS_FORMAS'!$GP$2:$GP$6,MIN(5,'DADOS_FORMAS'!$GW55+3)),'DADOS_FORMAS'!$GT55)))&amp;'DADOS_FORMAS'!$GV55))</f>
        <v/>
      </c>
      <c r="HJ58">
        <f>IF(OR('DADOS_FORMAS'!$AH20="",'DADOS_FORMAS'!$GR55="",'DADOS_FORMAS'!$GT55=""),"",IF('DADOS_FORMAS'!$GT55="—","—",'DADOS_FORMAS'!$GU55&amp;IF('DADOS_FORMAS'!$GS55="alcance",INDEX('DADOS_FORMAS'!$GL$2:$GL$7,MIN(6,'DADOS_FORMAS'!$GW55+4)),IF('DADOS_FORMAS'!$GS55="raio",INDEX('DADOS_FORMAS'!$GN$2:$GN$6,MIN(5,'DADOS_FORMAS'!$GW55+4)),IF('DADOS_FORMAS'!$GS55="comprimento",INDEX('DADOS_FORMAS'!$GP$2:$GP$6,MIN(5,'DADOS_FORMAS'!$GW55+4)),'DADOS_FORMAS'!$GT55)))&amp;'DADOS_FORMAS'!$GV55))</f>
        <v/>
      </c>
      <c r="HK58">
        <f>IF(OR('DADOS_FORMAS'!$AH20="",'DADOS_FORMAS'!$GR55="",'DADOS_FORMAS'!$GT55=""),"",IF('DADOS_FORMAS'!$GT55="—","—",'DADOS_FORMAS'!$GU55&amp;IF('DADOS_FORMAS'!$GS55="alcance",INDEX('DADOS_FORMAS'!$GL$2:$GL$7,MIN(6,'DADOS_FORMAS'!$GW55+5)),IF('DADOS_FORMAS'!$GS55="raio",INDEX('DADOS_FORMAS'!$GN$2:$GN$6,MIN(5,'DADOS_FORMAS'!$GW55+5)),IF('DADOS_FORMAS'!$GS55="comprimento",INDEX('DADOS_FORMAS'!$GP$2:$GP$6,MIN(5,'DADOS_FORMAS'!$GW55+5)),'DADOS_FORMAS'!$GT55)))&amp;'DADOS_FORMAS'!$GV55))</f>
        <v/>
      </c>
      <c r="HM58">
        <f>'DADOS_FORMAS'!$BL19</f>
        <v/>
      </c>
      <c r="HN58">
        <f>IF('DADOS_FORMAS'!$BL19="area",'DADOS_FORMAS'!$AU19,'DADOS_FORMAS'!$AT19)</f>
        <v/>
      </c>
      <c r="HO58">
        <f>IF('DADOS_FORMAS'!$BL19="area",'DADOS_FORMAS'!$BF19,'DADOS_FORMAS'!$AY19)</f>
        <v/>
      </c>
      <c r="HP58">
        <f>'DADOS_FORMAS'!$BM19</f>
        <v/>
      </c>
      <c r="HQ58">
        <f>'DADOS_FORMAS'!$BN19</f>
        <v/>
      </c>
      <c r="HR58">
        <f>LET(base,'DADOS_FORMAS'!$HO58,escada,'DADOS_FORMAS'!$HN58,medida,LEFT(base,MAX(0,LEN(base)-2)),valor,IFERROR(VALUE(SUBSTITUTE(medida,",",""))/10^IFERROR(LEN(medida)-FIND(",",medida),0),1E99),IF(OR(escada="Fixo",base="—"),base,IF(escada="alcance",IFERROR(MATCH(base,{"1,5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8">
        <f>'DADOS_FORMAS'!$AH16&amp;" · classe 0"</f>
        <v/>
      </c>
      <c r="HU58">
        <f>LET(trecho,IF(OR('DADOS_FORMAS'!$AH16="",'DADOS_FORMAS'!$HM34="",'DADOS_FORMAS'!$HO34=""),"",IF('DADOS_FORMAS'!$HO34="—","—",'DADOS_FORMAS'!$HP34&amp;'DADOS_FORMAS'!$HO34&amp;SUBSTITUTE('DADOS_FORMAS'!$HQ34,"em você","nela"))),UPPER(LEFT(trecho,1))&amp;MID(trecho,2,LEN(trecho)))</f>
        <v/>
      </c>
      <c r="HV58">
        <f>LET(trecho,IF(OR('DADOS_FORMAS'!$AH16="",'DADOS_FORMAS'!$HM34="",'DADOS_FORMAS'!$HO34=""),"",IF('DADOS_FORMAS'!$HO34="—","—",'DADOS_FORMAS'!$HP34&amp;IF('DADOS_FORMAS'!$HN34="alcance",INDEX('DADOS_FORMAS'!$GL$2:$GL$7,MIN(6,'DADOS_FORMAS'!$HR34+1)),IF('DADOS_FORMAS'!$HN34="raio",INDEX('DADOS_FORMAS'!$GN$2:$GN$6,MIN(5,'DADOS_FORMAS'!$HR34+1)),IF('DADOS_FORMAS'!$HN34="comprimento",INDEX('DADOS_FORMAS'!$GP$2:$GP$6,MIN(5,'DADOS_FORMAS'!$HR34+1)),'DADOS_FORMAS'!$HO34)))&amp;SUBSTITUTE('DADOS_FORMAS'!$HQ34,"em você","nela"))),UPPER(LEFT(trecho,1))&amp;MID(trecho,2,LEN(trecho)))</f>
        <v/>
      </c>
      <c r="HW58">
        <f>LET(trecho,IF(OR('DADOS_FORMAS'!$AH16="",'DADOS_FORMAS'!$HM34="",'DADOS_FORMAS'!$HO34=""),"",IF('DADOS_FORMAS'!$HO34="—","—",'DADOS_FORMAS'!$HP34&amp;IF('DADOS_FORMAS'!$HN34="alcance",INDEX('DADOS_FORMAS'!$GL$2:$GL$7,MIN(6,'DADOS_FORMAS'!$HR34+2)),IF('DADOS_FORMAS'!$HN34="raio",INDEX('DADOS_FORMAS'!$GN$2:$GN$6,MIN(5,'DADOS_FORMAS'!$HR34+2)),IF('DADOS_FORMAS'!$HN34="comprimento",INDEX('DADOS_FORMAS'!$GP$2:$GP$6,MIN(5,'DADOS_FORMAS'!$HR34+2)),'DADOS_FORMAS'!$HO34)))&amp;SUBSTITUTE('DADOS_FORMAS'!$HQ34,"em você","nela"))),UPPER(LEFT(trecho,1))&amp;MID(trecho,2,LEN(trecho)))</f>
        <v/>
      </c>
      <c r="HX58">
        <f>LET(trecho,IF(OR('DADOS_FORMAS'!$AH16="",'DADOS_FORMAS'!$HM34="",'DADOS_FORMAS'!$HO34=""),"",IF('DADOS_FORMAS'!$HO34="—","—",'DADOS_FORMAS'!$HP34&amp;IF('DADOS_FORMAS'!$HN34="alcance",INDEX('DADOS_FORMAS'!$GL$2:$GL$7,MIN(6,'DADOS_FORMAS'!$HR34+3)),IF('DADOS_FORMAS'!$HN34="raio",INDEX('DADOS_FORMAS'!$GN$2:$GN$6,MIN(5,'DADOS_FORMAS'!$HR34+3)),IF('DADOS_FORMAS'!$HN34="comprimento",INDEX('DADOS_FORMAS'!$GP$2:$GP$6,MIN(5,'DADOS_FORMAS'!$HR34+3)),'DADOS_FORMAS'!$HO34)))&amp;SUBSTITUTE('DADOS_FORMAS'!$HQ34,"em você","nela"))),UPPER(LEFT(trecho,1))&amp;MID(trecho,2,LEN(trecho)))</f>
        <v/>
      </c>
      <c r="HY58">
        <f>LET(trecho,IF(OR('DADOS_FORMAS'!$AH16="",'DADOS_FORMAS'!$HM34="",'DADOS_FORMAS'!$HO34=""),"",IF('DADOS_FORMAS'!$HO34="—","—",'DADOS_FORMAS'!$HP34&amp;IF('DADOS_FORMAS'!$HN34="alcance",INDEX('DADOS_FORMAS'!$GL$2:$GL$7,MIN(6,'DADOS_FORMAS'!$HR34+4)),IF('DADOS_FORMAS'!$HN34="raio",INDEX('DADOS_FORMAS'!$GN$2:$GN$6,MIN(5,'DADOS_FORMAS'!$HR34+4)),IF('DADOS_FORMAS'!$HN34="comprimento",INDEX('DADOS_FORMAS'!$GP$2:$GP$6,MIN(5,'DADOS_FORMAS'!$HR34+4)),'DADOS_FORMAS'!$HO34)))&amp;SUBSTITUTE('DADOS_FORMAS'!$HQ34,"em você","nela"))),UPPER(LEFT(trecho,1))&amp;MID(trecho,2,LEN(trecho)))</f>
        <v/>
      </c>
      <c r="HZ58">
        <f>LET(trecho,IF(OR('DADOS_FORMAS'!$AH16="",'DADOS_FORMAS'!$HM34="",'DADOS_FORMAS'!$HO34=""),"",IF('DADOS_FORMAS'!$HO34="—","—",'DADOS_FORMAS'!$HP34&amp;IF('DADOS_FORMAS'!$HN34="alcance",INDEX('DADOS_FORMAS'!$GL$2:$GL$7,MIN(6,'DADOS_FORMAS'!$HR34+5)),IF('DADOS_FORMAS'!$HN34="raio",INDEX('DADOS_FORMAS'!$GN$2:$GN$6,MIN(5,'DADOS_FORMAS'!$HR34+5)),IF('DADOS_FORMAS'!$HN34="comprimento",INDEX('DADOS_FORMAS'!$GP$2:$GP$6,MIN(5,'DADOS_FORMAS'!$HR34+5)),'DADOS_FORMAS'!$HO34)))&amp;SUBSTITUTE('DADOS_FORMAS'!$HQ34,"em você","nela"))),UPPER(LEFT(trecho,1))&amp;MID(trecho,2,LEN(trecho)))</f>
        <v/>
      </c>
      <c r="IA58">
        <f>IF(OR('DADOS_FORMAS'!$AH16="",'DADOS_FORMAS'!$HM35="",'DADOS_FORMAS'!$HO35=""),"",IF('DADOS_FORMAS'!$HO35="—","—",'DADOS_FORMAS'!$HP35&amp;'DADOS_FORMAS'!$HO35&amp;SUBSTITUTE('DADOS_FORMAS'!$HQ35,"em você","nela")))</f>
        <v/>
      </c>
      <c r="IB58">
        <f>IF(OR('DADOS_FORMAS'!$AH16="",'DADOS_FORMAS'!$HM35="",'DADOS_FORMAS'!$HO35=""),"",IF('DADOS_FORMAS'!$HO35="—","—",'DADOS_FORMAS'!$HP35&amp;IF('DADOS_FORMAS'!$HN35="alcance",INDEX('DADOS_FORMAS'!$GL$2:$GL$7,MIN(6,'DADOS_FORMAS'!$HR35+1)),IF('DADOS_FORMAS'!$HN35="raio",INDEX('DADOS_FORMAS'!$GN$2:$GN$6,MIN(5,'DADOS_FORMAS'!$HR35+1)),IF('DADOS_FORMAS'!$HN35="comprimento",INDEX('DADOS_FORMAS'!$GP$2:$GP$6,MIN(5,'DADOS_FORMAS'!$HR35+1)),'DADOS_FORMAS'!$HO35)))&amp;SUBSTITUTE('DADOS_FORMAS'!$HQ35,"em você","nela")))</f>
        <v/>
      </c>
      <c r="IC58">
        <f>IF(OR('DADOS_FORMAS'!$AH16="",'DADOS_FORMAS'!$HM35="",'DADOS_FORMAS'!$HO35=""),"",IF('DADOS_FORMAS'!$HO35="—","—",'DADOS_FORMAS'!$HP35&amp;IF('DADOS_FORMAS'!$HN35="alcance",INDEX('DADOS_FORMAS'!$GL$2:$GL$7,MIN(6,'DADOS_FORMAS'!$HR35+2)),IF('DADOS_FORMAS'!$HN35="raio",INDEX('DADOS_FORMAS'!$GN$2:$GN$6,MIN(5,'DADOS_FORMAS'!$HR35+2)),IF('DADOS_FORMAS'!$HN35="comprimento",INDEX('DADOS_FORMAS'!$GP$2:$GP$6,MIN(5,'DADOS_FORMAS'!$HR35+2)),'DADOS_FORMAS'!$HO35)))&amp;SUBSTITUTE('DADOS_FORMAS'!$HQ35,"em você","nela")))</f>
        <v/>
      </c>
      <c r="ID58">
        <f>IF(OR('DADOS_FORMAS'!$AH16="",'DADOS_FORMAS'!$HM35="",'DADOS_FORMAS'!$HO35=""),"",IF('DADOS_FORMAS'!$HO35="—","—",'DADOS_FORMAS'!$HP35&amp;IF('DADOS_FORMAS'!$HN35="alcance",INDEX('DADOS_FORMAS'!$GL$2:$GL$7,MIN(6,'DADOS_FORMAS'!$HR35+3)),IF('DADOS_FORMAS'!$HN35="raio",INDEX('DADOS_FORMAS'!$GN$2:$GN$6,MIN(5,'DADOS_FORMAS'!$HR35+3)),IF('DADOS_FORMAS'!$HN35="comprimento",INDEX('DADOS_FORMAS'!$GP$2:$GP$6,MIN(5,'DADOS_FORMAS'!$HR35+3)),'DADOS_FORMAS'!$HO35)))&amp;SUBSTITUTE('DADOS_FORMAS'!$HQ35,"em você","nela")))</f>
        <v/>
      </c>
      <c r="IE58">
        <f>IF(OR('DADOS_FORMAS'!$AH16="",'DADOS_FORMAS'!$HM35="",'DADOS_FORMAS'!$HO35=""),"",IF('DADOS_FORMAS'!$HO35="—","—",'DADOS_FORMAS'!$HP35&amp;IF('DADOS_FORMAS'!$HN35="alcance",INDEX('DADOS_FORMAS'!$GL$2:$GL$7,MIN(6,'DADOS_FORMAS'!$HR35+4)),IF('DADOS_FORMAS'!$HN35="raio",INDEX('DADOS_FORMAS'!$GN$2:$GN$6,MIN(5,'DADOS_FORMAS'!$HR35+4)),IF('DADOS_FORMAS'!$HN35="comprimento",INDEX('DADOS_FORMAS'!$GP$2:$GP$6,MIN(5,'DADOS_FORMAS'!$HR35+4)),'DADOS_FORMAS'!$HO35)))&amp;SUBSTITUTE('DADOS_FORMAS'!$HQ35,"em você","nela")))</f>
        <v/>
      </c>
      <c r="IF58">
        <f>IF(OR('DADOS_FORMAS'!$AH16="",'DADOS_FORMAS'!$HM35="",'DADOS_FORMAS'!$HO35=""),"",IF('DADOS_FORMAS'!$HO35="—","—",'DADOS_FORMAS'!$HP35&amp;IF('DADOS_FORMAS'!$HN35="alcance",INDEX('DADOS_FORMAS'!$GL$2:$GL$7,MIN(6,'DADOS_FORMAS'!$HR35+5)),IF('DADOS_FORMAS'!$HN35="raio",INDEX('DADOS_FORMAS'!$GN$2:$GN$6,MIN(5,'DADOS_FORMAS'!$HR35+5)),IF('DADOS_FORMAS'!$HN35="comprimento",INDEX('DADOS_FORMAS'!$GP$2:$GP$6,MIN(5,'DADOS_FORMAS'!$HR35+5)),'DADOS_FORMAS'!$HO35)))&amp;SUBSTITUTE('DADOS_FORMAS'!$HQ35,"em você","nela")))</f>
        <v/>
      </c>
    </row>
    <row r="59">
      <c r="GR59">
        <f>'DADOS_FORMAS'!$BP21</f>
        <v/>
      </c>
      <c r="GS59">
        <f>IF('DADOS_FORMAS'!$BP21="area",'DADOS_FORMAS'!$AU21,'DADOS_FORMAS'!$AT21)</f>
        <v/>
      </c>
      <c r="GT59">
        <f>IF('DADOS_FORMAS'!$BP21="area",'DADOS_FORMAS'!$BD21,'DADOS_FORMAS'!$AW21)</f>
        <v/>
      </c>
      <c r="GU59">
        <f>'DADOS_FORMAS'!$BQ21</f>
        <v/>
      </c>
      <c r="GV59">
        <f>'DADOS_FORMAS'!$BR21</f>
        <v/>
      </c>
      <c r="GW59">
        <f>LET(base,'DADOS_FORMAS'!$GT59,escada,'DADOS_FORMAS'!$GS59,medida,LEFT(base,MAX(0,LEN(base)-2)),valor,IFERROR(VALUE(SUBSTITUTE(medida,",",""))/10^IFERROR(LEN(medida)-FIND(",",medida),0),1E99),IF(OR(escada="Fixo",base="—"),base,IF(escada="alcance",IFERROR(MATCH(base,{"1,5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9">
        <f>'DADOS_FORMAS'!$AH21&amp;" · classe 0"</f>
        <v/>
      </c>
      <c r="GZ59">
        <f>LET(trecho,IF(OR('DADOS_FORMAS'!$AH21="",'DADOS_FORMAS'!$GR56="",'DADOS_FORMAS'!$GT56=""),"",IF('DADOS_FORMAS'!$GT56="—","—",'DADOS_FORMAS'!$GU56&amp;'DADOS_FORMAS'!$GT56&amp;'DADOS_FORMAS'!$GV56)),UPPER(LEFT(trecho,1))&amp;MID(trecho,2,LEN(trecho)))</f>
        <v/>
      </c>
      <c r="HA59">
        <f>LET(trecho,IF(OR('DADOS_FORMAS'!$AH21="",'DADOS_FORMAS'!$GR56="",'DADOS_FORMAS'!$GT56=""),"",IF('DADOS_FORMAS'!$GT56="—","—",'DADOS_FORMAS'!$GU56&amp;IF('DADOS_FORMAS'!$GS56="alcance",INDEX('DADOS_FORMAS'!$GL$2:$GL$7,MIN(6,'DADOS_FORMAS'!$GW56+1)),IF('DADOS_FORMAS'!$GS56="raio",INDEX('DADOS_FORMAS'!$GN$2:$GN$6,MIN(5,'DADOS_FORMAS'!$GW56+1)),IF('DADOS_FORMAS'!$GS56="comprimento",INDEX('DADOS_FORMAS'!$GP$2:$GP$6,MIN(5,'DADOS_FORMAS'!$GW56+1)),'DADOS_FORMAS'!$GT56)))&amp;'DADOS_FORMAS'!$GV56)),UPPER(LEFT(trecho,1))&amp;MID(trecho,2,LEN(trecho)))</f>
        <v/>
      </c>
      <c r="HB59">
        <f>LET(trecho,IF(OR('DADOS_FORMAS'!$AH21="",'DADOS_FORMAS'!$GR56="",'DADOS_FORMAS'!$GT56=""),"",IF('DADOS_FORMAS'!$GT56="—","—",'DADOS_FORMAS'!$GU56&amp;IF('DADOS_FORMAS'!$GS56="alcance",INDEX('DADOS_FORMAS'!$GL$2:$GL$7,MIN(6,'DADOS_FORMAS'!$GW56+2)),IF('DADOS_FORMAS'!$GS56="raio",INDEX('DADOS_FORMAS'!$GN$2:$GN$6,MIN(5,'DADOS_FORMAS'!$GW56+2)),IF('DADOS_FORMAS'!$GS56="comprimento",INDEX('DADOS_FORMAS'!$GP$2:$GP$6,MIN(5,'DADOS_FORMAS'!$GW56+2)),'DADOS_FORMAS'!$GT56)))&amp;'DADOS_FORMAS'!$GV56)),UPPER(LEFT(trecho,1))&amp;MID(trecho,2,LEN(trecho)))</f>
        <v/>
      </c>
      <c r="HC59">
        <f>LET(trecho,IF(OR('DADOS_FORMAS'!$AH21="",'DADOS_FORMAS'!$GR56="",'DADOS_FORMAS'!$GT56=""),"",IF('DADOS_FORMAS'!$GT56="—","—",'DADOS_FORMAS'!$GU56&amp;IF('DADOS_FORMAS'!$GS56="alcance",INDEX('DADOS_FORMAS'!$GL$2:$GL$7,MIN(6,'DADOS_FORMAS'!$GW56+3)),IF('DADOS_FORMAS'!$GS56="raio",INDEX('DADOS_FORMAS'!$GN$2:$GN$6,MIN(5,'DADOS_FORMAS'!$GW56+3)),IF('DADOS_FORMAS'!$GS56="comprimento",INDEX('DADOS_FORMAS'!$GP$2:$GP$6,MIN(5,'DADOS_FORMAS'!$GW56+3)),'DADOS_FORMAS'!$GT56)))&amp;'DADOS_FORMAS'!$GV56)),UPPER(LEFT(trecho,1))&amp;MID(trecho,2,LEN(trecho)))</f>
        <v/>
      </c>
      <c r="HD59">
        <f>LET(trecho,IF(OR('DADOS_FORMAS'!$AH21="",'DADOS_FORMAS'!$GR56="",'DADOS_FORMAS'!$GT56=""),"",IF('DADOS_FORMAS'!$GT56="—","—",'DADOS_FORMAS'!$GU56&amp;IF('DADOS_FORMAS'!$GS56="alcance",INDEX('DADOS_FORMAS'!$GL$2:$GL$7,MIN(6,'DADOS_FORMAS'!$GW56+4)),IF('DADOS_FORMAS'!$GS56="raio",INDEX('DADOS_FORMAS'!$GN$2:$GN$6,MIN(5,'DADOS_FORMAS'!$GW56+4)),IF('DADOS_FORMAS'!$GS56="comprimento",INDEX('DADOS_FORMAS'!$GP$2:$GP$6,MIN(5,'DADOS_FORMAS'!$GW56+4)),'DADOS_FORMAS'!$GT56)))&amp;'DADOS_FORMAS'!$GV56)),UPPER(LEFT(trecho,1))&amp;MID(trecho,2,LEN(trecho)))</f>
        <v/>
      </c>
      <c r="HE59">
        <f>LET(trecho,IF(OR('DADOS_FORMAS'!$AH21="",'DADOS_FORMAS'!$GR56="",'DADOS_FORMAS'!$GT56=""),"",IF('DADOS_FORMAS'!$GT56="—","—",'DADOS_FORMAS'!$GU56&amp;IF('DADOS_FORMAS'!$GS56="alcance",INDEX('DADOS_FORMAS'!$GL$2:$GL$7,MIN(6,'DADOS_FORMAS'!$GW56+5)),IF('DADOS_FORMAS'!$GS56="raio",INDEX('DADOS_FORMAS'!$GN$2:$GN$6,MIN(5,'DADOS_FORMAS'!$GW56+5)),IF('DADOS_FORMAS'!$GS56="comprimento",INDEX('DADOS_FORMAS'!$GP$2:$GP$6,MIN(5,'DADOS_FORMAS'!$GW56+5)),'DADOS_FORMAS'!$GT56)))&amp;'DADOS_FORMAS'!$GV56)),UPPER(LEFT(trecho,1))&amp;MID(trecho,2,LEN(trecho)))</f>
        <v/>
      </c>
      <c r="HF59">
        <f>IF(OR('DADOS_FORMAS'!$AH21="",'DADOS_FORMAS'!$GR57="",'DADOS_FORMAS'!$GT57=""),"",IF('DADOS_FORMAS'!$GT57="—","—",'DADOS_FORMAS'!$GU57&amp;'DADOS_FORMAS'!$GT57&amp;'DADOS_FORMAS'!$GV57))</f>
        <v/>
      </c>
      <c r="HG59">
        <f>IF(OR('DADOS_FORMAS'!$AH21="",'DADOS_FORMAS'!$GR57="",'DADOS_FORMAS'!$GT57=""),"",IF('DADOS_FORMAS'!$GT57="—","—",'DADOS_FORMAS'!$GU57&amp;IF('DADOS_FORMAS'!$GS57="alcance",INDEX('DADOS_FORMAS'!$GL$2:$GL$7,MIN(6,'DADOS_FORMAS'!$GW57+1)),IF('DADOS_FORMAS'!$GS57="raio",INDEX('DADOS_FORMAS'!$GN$2:$GN$6,MIN(5,'DADOS_FORMAS'!$GW57+1)),IF('DADOS_FORMAS'!$GS57="comprimento",INDEX('DADOS_FORMAS'!$GP$2:$GP$6,MIN(5,'DADOS_FORMAS'!$GW57+1)),'DADOS_FORMAS'!$GT57)))&amp;'DADOS_FORMAS'!$GV57))</f>
        <v/>
      </c>
      <c r="HH59">
        <f>IF(OR('DADOS_FORMAS'!$AH21="",'DADOS_FORMAS'!$GR57="",'DADOS_FORMAS'!$GT57=""),"",IF('DADOS_FORMAS'!$GT57="—","—",'DADOS_FORMAS'!$GU57&amp;IF('DADOS_FORMAS'!$GS57="alcance",INDEX('DADOS_FORMAS'!$GL$2:$GL$7,MIN(6,'DADOS_FORMAS'!$GW57+2)),IF('DADOS_FORMAS'!$GS57="raio",INDEX('DADOS_FORMAS'!$GN$2:$GN$6,MIN(5,'DADOS_FORMAS'!$GW57+2)),IF('DADOS_FORMAS'!$GS57="comprimento",INDEX('DADOS_FORMAS'!$GP$2:$GP$6,MIN(5,'DADOS_FORMAS'!$GW57+2)),'DADOS_FORMAS'!$GT57)))&amp;'DADOS_FORMAS'!$GV57))</f>
        <v/>
      </c>
      <c r="HI59">
        <f>IF(OR('DADOS_FORMAS'!$AH21="",'DADOS_FORMAS'!$GR57="",'DADOS_FORMAS'!$GT57=""),"",IF('DADOS_FORMAS'!$GT57="—","—",'DADOS_FORMAS'!$GU57&amp;IF('DADOS_FORMAS'!$GS57="alcance",INDEX('DADOS_FORMAS'!$GL$2:$GL$7,MIN(6,'DADOS_FORMAS'!$GW57+3)),IF('DADOS_FORMAS'!$GS57="raio",INDEX('DADOS_FORMAS'!$GN$2:$GN$6,MIN(5,'DADOS_FORMAS'!$GW57+3)),IF('DADOS_FORMAS'!$GS57="comprimento",INDEX('DADOS_FORMAS'!$GP$2:$GP$6,MIN(5,'DADOS_FORMAS'!$GW57+3)),'DADOS_FORMAS'!$GT57)))&amp;'DADOS_FORMAS'!$GV57))</f>
        <v/>
      </c>
      <c r="HJ59">
        <f>IF(OR('DADOS_FORMAS'!$AH21="",'DADOS_FORMAS'!$GR57="",'DADOS_FORMAS'!$GT57=""),"",IF('DADOS_FORMAS'!$GT57="—","—",'DADOS_FORMAS'!$GU57&amp;IF('DADOS_FORMAS'!$GS57="alcance",INDEX('DADOS_FORMAS'!$GL$2:$GL$7,MIN(6,'DADOS_FORMAS'!$GW57+4)),IF('DADOS_FORMAS'!$GS57="raio",INDEX('DADOS_FORMAS'!$GN$2:$GN$6,MIN(5,'DADOS_FORMAS'!$GW57+4)),IF('DADOS_FORMAS'!$GS57="comprimento",INDEX('DADOS_FORMAS'!$GP$2:$GP$6,MIN(5,'DADOS_FORMAS'!$GW57+4)),'DADOS_FORMAS'!$GT57)))&amp;'DADOS_FORMAS'!$GV57))</f>
        <v/>
      </c>
      <c r="HK59">
        <f>IF(OR('DADOS_FORMAS'!$AH21="",'DADOS_FORMAS'!$GR57="",'DADOS_FORMAS'!$GT57=""),"",IF('DADOS_FORMAS'!$GT57="—","—",'DADOS_FORMAS'!$GU57&amp;IF('DADOS_FORMAS'!$GS57="alcance",INDEX('DADOS_FORMAS'!$GL$2:$GL$7,MIN(6,'DADOS_FORMAS'!$GW57+5)),IF('DADOS_FORMAS'!$GS57="raio",INDEX('DADOS_FORMAS'!$GN$2:$GN$6,MIN(5,'DADOS_FORMAS'!$GW57+5)),IF('DADOS_FORMAS'!$GS57="comprimento",INDEX('DADOS_FORMAS'!$GP$2:$GP$6,MIN(5,'DADOS_FORMAS'!$GW57+5)),'DADOS_FORMAS'!$GT57)))&amp;'DADOS_FORMAS'!$GV57))</f>
        <v/>
      </c>
      <c r="HM59">
        <f>'DADOS_FORMAS'!$BP19</f>
        <v/>
      </c>
      <c r="HN59">
        <f>IF('DADOS_FORMAS'!$BP19="area",'DADOS_FORMAS'!$AU19,'DADOS_FORMAS'!$AT19)</f>
        <v/>
      </c>
      <c r="HO59">
        <f>IF('DADOS_FORMAS'!$BP19="area",'DADOS_FORMAS'!$BF19,'DADOS_FORMAS'!$AY19)</f>
        <v/>
      </c>
      <c r="HP59">
        <f>'DADOS_FORMAS'!$BQ19</f>
        <v/>
      </c>
      <c r="HQ59">
        <f>'DADOS_FORMAS'!$BR19</f>
        <v/>
      </c>
      <c r="HR59">
        <f>LET(base,'DADOS_FORMAS'!$HO59,escada,'DADOS_FORMAS'!$HN59,medida,LEFT(base,MAX(0,LEN(base)-2)),valor,IFERROR(VALUE(SUBSTITUTE(medida,",",""))/10^IFERROR(LEN(medida)-FIND(",",medida),0),1E99),IF(OR(escada="Fixo",base="—"),base,IF(escada="alcance",IFERROR(MATCH(base,{"1,5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9">
        <f>'DADOS_FORMAS'!$AH16&amp;" · classes 1 a 5"</f>
        <v/>
      </c>
      <c r="HU59">
        <f>LET(trecho,IF(OR('DADOS_FORMAS'!$AH16="",'DADOS_FORMAS'!$HM36="",'DADOS_FORMAS'!$HO36=""),"",IF('DADOS_FORMAS'!$HO36="—","—",'DADOS_FORMAS'!$HP36&amp;'DADOS_FORMAS'!$HO36&amp;SUBSTITUTE('DADOS_FORMAS'!$HQ36,"em você","nela"))),UPPER(LEFT(trecho,1))&amp;MID(trecho,2,LEN(trecho)))</f>
        <v/>
      </c>
      <c r="HV59">
        <f>LET(trecho,IF(OR('DADOS_FORMAS'!$AH16="",'DADOS_FORMAS'!$HM36="",'DADOS_FORMAS'!$HO36=""),"",IF('DADOS_FORMAS'!$HO36="—","—",'DADOS_FORMAS'!$HP36&amp;IF('DADOS_FORMAS'!$HN36="alcance",INDEX('DADOS_FORMAS'!$GL$2:$GL$7,MIN(6,'DADOS_FORMAS'!$HR36+1)),IF('DADOS_FORMAS'!$HN36="raio",INDEX('DADOS_FORMAS'!$GN$2:$GN$6,MIN(5,'DADOS_FORMAS'!$HR36+1)),IF('DADOS_FORMAS'!$HN36="comprimento",INDEX('DADOS_FORMAS'!$GP$2:$GP$6,MIN(5,'DADOS_FORMAS'!$HR36+1)),'DADOS_FORMAS'!$HO36)))&amp;SUBSTITUTE('DADOS_FORMAS'!$HQ36,"em você","nela"))),UPPER(LEFT(trecho,1))&amp;MID(trecho,2,LEN(trecho)))</f>
        <v/>
      </c>
      <c r="HW59">
        <f>LET(trecho,IF(OR('DADOS_FORMAS'!$AH16="",'DADOS_FORMAS'!$HM36="",'DADOS_FORMAS'!$HO36=""),"",IF('DADOS_FORMAS'!$HO36="—","—",'DADOS_FORMAS'!$HP36&amp;IF('DADOS_FORMAS'!$HN36="alcance",INDEX('DADOS_FORMAS'!$GL$2:$GL$7,MIN(6,'DADOS_FORMAS'!$HR36+2)),IF('DADOS_FORMAS'!$HN36="raio",INDEX('DADOS_FORMAS'!$GN$2:$GN$6,MIN(5,'DADOS_FORMAS'!$HR36+2)),IF('DADOS_FORMAS'!$HN36="comprimento",INDEX('DADOS_FORMAS'!$GP$2:$GP$6,MIN(5,'DADOS_FORMAS'!$HR36+2)),'DADOS_FORMAS'!$HO36)))&amp;SUBSTITUTE('DADOS_FORMAS'!$HQ36,"em você","nela"))),UPPER(LEFT(trecho,1))&amp;MID(trecho,2,LEN(trecho)))</f>
        <v/>
      </c>
      <c r="HX59">
        <f>LET(trecho,IF(OR('DADOS_FORMAS'!$AH16="",'DADOS_FORMAS'!$HM36="",'DADOS_FORMAS'!$HO36=""),"",IF('DADOS_FORMAS'!$HO36="—","—",'DADOS_FORMAS'!$HP36&amp;IF('DADOS_FORMAS'!$HN36="alcance",INDEX('DADOS_FORMAS'!$GL$2:$GL$7,MIN(6,'DADOS_FORMAS'!$HR36+3)),IF('DADOS_FORMAS'!$HN36="raio",INDEX('DADOS_FORMAS'!$GN$2:$GN$6,MIN(5,'DADOS_FORMAS'!$HR36+3)),IF('DADOS_FORMAS'!$HN36="comprimento",INDEX('DADOS_FORMAS'!$GP$2:$GP$6,MIN(5,'DADOS_FORMAS'!$HR36+3)),'DADOS_FORMAS'!$HO36)))&amp;SUBSTITUTE('DADOS_FORMAS'!$HQ36,"em você","nela"))),UPPER(LEFT(trecho,1))&amp;MID(trecho,2,LEN(trecho)))</f>
        <v/>
      </c>
      <c r="HY59">
        <f>LET(trecho,IF(OR('DADOS_FORMAS'!$AH16="",'DADOS_FORMAS'!$HM36="",'DADOS_FORMAS'!$HO36=""),"",IF('DADOS_FORMAS'!$HO36="—","—",'DADOS_FORMAS'!$HP36&amp;IF('DADOS_FORMAS'!$HN36="alcance",INDEX('DADOS_FORMAS'!$GL$2:$GL$7,MIN(6,'DADOS_FORMAS'!$HR36+4)),IF('DADOS_FORMAS'!$HN36="raio",INDEX('DADOS_FORMAS'!$GN$2:$GN$6,MIN(5,'DADOS_FORMAS'!$HR36+4)),IF('DADOS_FORMAS'!$HN36="comprimento",INDEX('DADOS_FORMAS'!$GP$2:$GP$6,MIN(5,'DADOS_FORMAS'!$HR36+4)),'DADOS_FORMAS'!$HO36)))&amp;SUBSTITUTE('DADOS_FORMAS'!$HQ36,"em você","nela"))),UPPER(LEFT(trecho,1))&amp;MID(trecho,2,LEN(trecho)))</f>
        <v/>
      </c>
      <c r="HZ59">
        <f>LET(trecho,IF(OR('DADOS_FORMAS'!$AH16="",'DADOS_FORMAS'!$HM36="",'DADOS_FORMAS'!$HO36=""),"",IF('DADOS_FORMAS'!$HO36="—","—",'DADOS_FORMAS'!$HP36&amp;IF('DADOS_FORMAS'!$HN36="alcance",INDEX('DADOS_FORMAS'!$GL$2:$GL$7,MIN(6,'DADOS_FORMAS'!$HR36+5)),IF('DADOS_FORMAS'!$HN36="raio",INDEX('DADOS_FORMAS'!$GN$2:$GN$6,MIN(5,'DADOS_FORMAS'!$HR36+5)),IF('DADOS_FORMAS'!$HN36="comprimento",INDEX('DADOS_FORMAS'!$GP$2:$GP$6,MIN(5,'DADOS_FORMAS'!$HR36+5)),'DADOS_FORMAS'!$HO36)))&amp;SUBSTITUTE('DADOS_FORMAS'!$HQ36,"em você","nela"))),UPPER(LEFT(trecho,1))&amp;MID(trecho,2,LEN(trecho)))</f>
        <v/>
      </c>
      <c r="IA59">
        <f>IF(OR('DADOS_FORMAS'!$AH16="",'DADOS_FORMAS'!$HM37="",'DADOS_FORMAS'!$HO37=""),"",IF('DADOS_FORMAS'!$HO37="—","—",'DADOS_FORMAS'!$HP37&amp;'DADOS_FORMAS'!$HO37&amp;SUBSTITUTE('DADOS_FORMAS'!$HQ37,"em você","nela")))</f>
        <v/>
      </c>
      <c r="IB59">
        <f>IF(OR('DADOS_FORMAS'!$AH16="",'DADOS_FORMAS'!$HM37="",'DADOS_FORMAS'!$HO37=""),"",IF('DADOS_FORMAS'!$HO37="—","—",'DADOS_FORMAS'!$HP37&amp;IF('DADOS_FORMAS'!$HN37="alcance",INDEX('DADOS_FORMAS'!$GL$2:$GL$7,MIN(6,'DADOS_FORMAS'!$HR37+1)),IF('DADOS_FORMAS'!$HN37="raio",INDEX('DADOS_FORMAS'!$GN$2:$GN$6,MIN(5,'DADOS_FORMAS'!$HR37+1)),IF('DADOS_FORMAS'!$HN37="comprimento",INDEX('DADOS_FORMAS'!$GP$2:$GP$6,MIN(5,'DADOS_FORMAS'!$HR37+1)),'DADOS_FORMAS'!$HO37)))&amp;SUBSTITUTE('DADOS_FORMAS'!$HQ37,"em você","nela")))</f>
        <v/>
      </c>
      <c r="IC59">
        <f>IF(OR('DADOS_FORMAS'!$AH16="",'DADOS_FORMAS'!$HM37="",'DADOS_FORMAS'!$HO37=""),"",IF('DADOS_FORMAS'!$HO37="—","—",'DADOS_FORMAS'!$HP37&amp;IF('DADOS_FORMAS'!$HN37="alcance",INDEX('DADOS_FORMAS'!$GL$2:$GL$7,MIN(6,'DADOS_FORMAS'!$HR37+2)),IF('DADOS_FORMAS'!$HN37="raio",INDEX('DADOS_FORMAS'!$GN$2:$GN$6,MIN(5,'DADOS_FORMAS'!$HR37+2)),IF('DADOS_FORMAS'!$HN37="comprimento",INDEX('DADOS_FORMAS'!$GP$2:$GP$6,MIN(5,'DADOS_FORMAS'!$HR37+2)),'DADOS_FORMAS'!$HO37)))&amp;SUBSTITUTE('DADOS_FORMAS'!$HQ37,"em você","nela")))</f>
        <v/>
      </c>
      <c r="ID59">
        <f>IF(OR('DADOS_FORMAS'!$AH16="",'DADOS_FORMAS'!$HM37="",'DADOS_FORMAS'!$HO37=""),"",IF('DADOS_FORMAS'!$HO37="—","—",'DADOS_FORMAS'!$HP37&amp;IF('DADOS_FORMAS'!$HN37="alcance",INDEX('DADOS_FORMAS'!$GL$2:$GL$7,MIN(6,'DADOS_FORMAS'!$HR37+3)),IF('DADOS_FORMAS'!$HN37="raio",INDEX('DADOS_FORMAS'!$GN$2:$GN$6,MIN(5,'DADOS_FORMAS'!$HR37+3)),IF('DADOS_FORMAS'!$HN37="comprimento",INDEX('DADOS_FORMAS'!$GP$2:$GP$6,MIN(5,'DADOS_FORMAS'!$HR37+3)),'DADOS_FORMAS'!$HO37)))&amp;SUBSTITUTE('DADOS_FORMAS'!$HQ37,"em você","nela")))</f>
        <v/>
      </c>
      <c r="IE59">
        <f>IF(OR('DADOS_FORMAS'!$AH16="",'DADOS_FORMAS'!$HM37="",'DADOS_FORMAS'!$HO37=""),"",IF('DADOS_FORMAS'!$HO37="—","—",'DADOS_FORMAS'!$HP37&amp;IF('DADOS_FORMAS'!$HN37="alcance",INDEX('DADOS_FORMAS'!$GL$2:$GL$7,MIN(6,'DADOS_FORMAS'!$HR37+4)),IF('DADOS_FORMAS'!$HN37="raio",INDEX('DADOS_FORMAS'!$GN$2:$GN$6,MIN(5,'DADOS_FORMAS'!$HR37+4)),IF('DADOS_FORMAS'!$HN37="comprimento",INDEX('DADOS_FORMAS'!$GP$2:$GP$6,MIN(5,'DADOS_FORMAS'!$HR37+4)),'DADOS_FORMAS'!$HO37)))&amp;SUBSTITUTE('DADOS_FORMAS'!$HQ37,"em você","nela")))</f>
        <v/>
      </c>
      <c r="IF59">
        <f>IF(OR('DADOS_FORMAS'!$AH16="",'DADOS_FORMAS'!$HM37="",'DADOS_FORMAS'!$HO37=""),"",IF('DADOS_FORMAS'!$HO37="—","—",'DADOS_FORMAS'!$HP37&amp;IF('DADOS_FORMAS'!$HN37="alcance",INDEX('DADOS_FORMAS'!$GL$2:$GL$7,MIN(6,'DADOS_FORMAS'!$HR37+5)),IF('DADOS_FORMAS'!$HN37="raio",INDEX('DADOS_FORMAS'!$GN$2:$GN$6,MIN(5,'DADOS_FORMAS'!$HR37+5)),IF('DADOS_FORMAS'!$HN37="comprimento",INDEX('DADOS_FORMAS'!$GP$2:$GP$6,MIN(5,'DADOS_FORMAS'!$HR37+5)),'DADOS_FORMAS'!$HO37)))&amp;SUBSTITUTE('DADOS_FORMAS'!$HQ37,"em você","nela")))</f>
        <v/>
      </c>
    </row>
    <row r="60">
      <c r="GR60">
        <f>'DADOS_FORMAS'!$BL21</f>
        <v/>
      </c>
      <c r="GS60">
        <f>IF('DADOS_FORMAS'!$BL21="area",'DADOS_FORMAS'!$AU21,'DADOS_FORMAS'!$AT21)</f>
        <v/>
      </c>
      <c r="GT60">
        <f>IF('DADOS_FORMAS'!$BL21="area",'DADOS_FORMAS'!$BE21,'DADOS_FORMAS'!$AX21)</f>
        <v/>
      </c>
      <c r="GU60">
        <f>'DADOS_FORMAS'!$BM21</f>
        <v/>
      </c>
      <c r="GV60">
        <f>'DADOS_FORMAS'!$BN21</f>
        <v/>
      </c>
      <c r="GW60">
        <f>LET(base,'DADOS_FORMAS'!$GT60,escada,'DADOS_FORMAS'!$GS60,medida,LEFT(base,MAX(0,LEN(base)-2)),valor,IFERROR(VALUE(SUBSTITUTE(medida,",",""))/10^IFERROR(LEN(medida)-FIND(",",medida),0),1E99),IF(OR(escada="Fixo",base="—"),base,IF(escada="alcance",IFERROR(MATCH(base,{"1,5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0">
        <f>'DADOS_FORMAS'!$AH21&amp;" · classes 1 a 5"</f>
        <v/>
      </c>
      <c r="GZ60">
        <f>LET(trecho,IF(OR('DADOS_FORMAS'!$AH21="",'DADOS_FORMAS'!$GR58="",'DADOS_FORMAS'!$GT58=""),"",IF('DADOS_FORMAS'!$GT58="—","—",'DADOS_FORMAS'!$GU58&amp;'DADOS_FORMAS'!$GT58&amp;'DADOS_FORMAS'!$GV58)),UPPER(LEFT(trecho,1))&amp;MID(trecho,2,LEN(trecho)))</f>
        <v/>
      </c>
      <c r="HA60">
        <f>LET(trecho,IF(OR('DADOS_FORMAS'!$AH21="",'DADOS_FORMAS'!$GR58="",'DADOS_FORMAS'!$GT58=""),"",IF('DADOS_FORMAS'!$GT58="—","—",'DADOS_FORMAS'!$GU58&amp;IF('DADOS_FORMAS'!$GS58="alcance",INDEX('DADOS_FORMAS'!$GL$2:$GL$7,MIN(6,'DADOS_FORMAS'!$GW58+1)),IF('DADOS_FORMAS'!$GS58="raio",INDEX('DADOS_FORMAS'!$GN$2:$GN$6,MIN(5,'DADOS_FORMAS'!$GW58+1)),IF('DADOS_FORMAS'!$GS58="comprimento",INDEX('DADOS_FORMAS'!$GP$2:$GP$6,MIN(5,'DADOS_FORMAS'!$GW58+1)),'DADOS_FORMAS'!$GT58)))&amp;'DADOS_FORMAS'!$GV58)),UPPER(LEFT(trecho,1))&amp;MID(trecho,2,LEN(trecho)))</f>
        <v/>
      </c>
      <c r="HB60">
        <f>LET(trecho,IF(OR('DADOS_FORMAS'!$AH21="",'DADOS_FORMAS'!$GR58="",'DADOS_FORMAS'!$GT58=""),"",IF('DADOS_FORMAS'!$GT58="—","—",'DADOS_FORMAS'!$GU58&amp;IF('DADOS_FORMAS'!$GS58="alcance",INDEX('DADOS_FORMAS'!$GL$2:$GL$7,MIN(6,'DADOS_FORMAS'!$GW58+2)),IF('DADOS_FORMAS'!$GS58="raio",INDEX('DADOS_FORMAS'!$GN$2:$GN$6,MIN(5,'DADOS_FORMAS'!$GW58+2)),IF('DADOS_FORMAS'!$GS58="comprimento",INDEX('DADOS_FORMAS'!$GP$2:$GP$6,MIN(5,'DADOS_FORMAS'!$GW58+2)),'DADOS_FORMAS'!$GT58)))&amp;'DADOS_FORMAS'!$GV58)),UPPER(LEFT(trecho,1))&amp;MID(trecho,2,LEN(trecho)))</f>
        <v/>
      </c>
      <c r="HC60">
        <f>LET(trecho,IF(OR('DADOS_FORMAS'!$AH21="",'DADOS_FORMAS'!$GR58="",'DADOS_FORMAS'!$GT58=""),"",IF('DADOS_FORMAS'!$GT58="—","—",'DADOS_FORMAS'!$GU58&amp;IF('DADOS_FORMAS'!$GS58="alcance",INDEX('DADOS_FORMAS'!$GL$2:$GL$7,MIN(6,'DADOS_FORMAS'!$GW58+3)),IF('DADOS_FORMAS'!$GS58="raio",INDEX('DADOS_FORMAS'!$GN$2:$GN$6,MIN(5,'DADOS_FORMAS'!$GW58+3)),IF('DADOS_FORMAS'!$GS58="comprimento",INDEX('DADOS_FORMAS'!$GP$2:$GP$6,MIN(5,'DADOS_FORMAS'!$GW58+3)),'DADOS_FORMAS'!$GT58)))&amp;'DADOS_FORMAS'!$GV58)),UPPER(LEFT(trecho,1))&amp;MID(trecho,2,LEN(trecho)))</f>
        <v/>
      </c>
      <c r="HD60">
        <f>LET(trecho,IF(OR('DADOS_FORMAS'!$AH21="",'DADOS_FORMAS'!$GR58="",'DADOS_FORMAS'!$GT58=""),"",IF('DADOS_FORMAS'!$GT58="—","—",'DADOS_FORMAS'!$GU58&amp;IF('DADOS_FORMAS'!$GS58="alcance",INDEX('DADOS_FORMAS'!$GL$2:$GL$7,MIN(6,'DADOS_FORMAS'!$GW58+4)),IF('DADOS_FORMAS'!$GS58="raio",INDEX('DADOS_FORMAS'!$GN$2:$GN$6,MIN(5,'DADOS_FORMAS'!$GW58+4)),IF('DADOS_FORMAS'!$GS58="comprimento",INDEX('DADOS_FORMAS'!$GP$2:$GP$6,MIN(5,'DADOS_FORMAS'!$GW58+4)),'DADOS_FORMAS'!$GT58)))&amp;'DADOS_FORMAS'!$GV58)),UPPER(LEFT(trecho,1))&amp;MID(trecho,2,LEN(trecho)))</f>
        <v/>
      </c>
      <c r="HE60">
        <f>LET(trecho,IF(OR('DADOS_FORMAS'!$AH21="",'DADOS_FORMAS'!$GR58="",'DADOS_FORMAS'!$GT58=""),"",IF('DADOS_FORMAS'!$GT58="—","—",'DADOS_FORMAS'!$GU58&amp;IF('DADOS_FORMAS'!$GS58="alcance",INDEX('DADOS_FORMAS'!$GL$2:$GL$7,MIN(6,'DADOS_FORMAS'!$GW58+5)),IF('DADOS_FORMAS'!$GS58="raio",INDEX('DADOS_FORMAS'!$GN$2:$GN$6,MIN(5,'DADOS_FORMAS'!$GW58+5)),IF('DADOS_FORMAS'!$GS58="comprimento",INDEX('DADOS_FORMAS'!$GP$2:$GP$6,MIN(5,'DADOS_FORMAS'!$GW58+5)),'DADOS_FORMAS'!$GT58)))&amp;'DADOS_FORMAS'!$GV58)),UPPER(LEFT(trecho,1))&amp;MID(trecho,2,LEN(trecho)))</f>
        <v/>
      </c>
      <c r="HF60">
        <f>IF(OR('DADOS_FORMAS'!$AH21="",'DADOS_FORMAS'!$GR59="",'DADOS_FORMAS'!$GT59=""),"",IF('DADOS_FORMAS'!$GT59="—","—",'DADOS_FORMAS'!$GU59&amp;'DADOS_FORMAS'!$GT59&amp;'DADOS_FORMAS'!$GV59))</f>
        <v/>
      </c>
      <c r="HG60">
        <f>IF(OR('DADOS_FORMAS'!$AH21="",'DADOS_FORMAS'!$GR59="",'DADOS_FORMAS'!$GT59=""),"",IF('DADOS_FORMAS'!$GT59="—","—",'DADOS_FORMAS'!$GU59&amp;IF('DADOS_FORMAS'!$GS59="alcance",INDEX('DADOS_FORMAS'!$GL$2:$GL$7,MIN(6,'DADOS_FORMAS'!$GW59+1)),IF('DADOS_FORMAS'!$GS59="raio",INDEX('DADOS_FORMAS'!$GN$2:$GN$6,MIN(5,'DADOS_FORMAS'!$GW59+1)),IF('DADOS_FORMAS'!$GS59="comprimento",INDEX('DADOS_FORMAS'!$GP$2:$GP$6,MIN(5,'DADOS_FORMAS'!$GW59+1)),'DADOS_FORMAS'!$GT59)))&amp;'DADOS_FORMAS'!$GV59))</f>
        <v/>
      </c>
      <c r="HH60">
        <f>IF(OR('DADOS_FORMAS'!$AH21="",'DADOS_FORMAS'!$GR59="",'DADOS_FORMAS'!$GT59=""),"",IF('DADOS_FORMAS'!$GT59="—","—",'DADOS_FORMAS'!$GU59&amp;IF('DADOS_FORMAS'!$GS59="alcance",INDEX('DADOS_FORMAS'!$GL$2:$GL$7,MIN(6,'DADOS_FORMAS'!$GW59+2)),IF('DADOS_FORMAS'!$GS59="raio",INDEX('DADOS_FORMAS'!$GN$2:$GN$6,MIN(5,'DADOS_FORMAS'!$GW59+2)),IF('DADOS_FORMAS'!$GS59="comprimento",INDEX('DADOS_FORMAS'!$GP$2:$GP$6,MIN(5,'DADOS_FORMAS'!$GW59+2)),'DADOS_FORMAS'!$GT59)))&amp;'DADOS_FORMAS'!$GV59))</f>
        <v/>
      </c>
      <c r="HI60">
        <f>IF(OR('DADOS_FORMAS'!$AH21="",'DADOS_FORMAS'!$GR59="",'DADOS_FORMAS'!$GT59=""),"",IF('DADOS_FORMAS'!$GT59="—","—",'DADOS_FORMAS'!$GU59&amp;IF('DADOS_FORMAS'!$GS59="alcance",INDEX('DADOS_FORMAS'!$GL$2:$GL$7,MIN(6,'DADOS_FORMAS'!$GW59+3)),IF('DADOS_FORMAS'!$GS59="raio",INDEX('DADOS_FORMAS'!$GN$2:$GN$6,MIN(5,'DADOS_FORMAS'!$GW59+3)),IF('DADOS_FORMAS'!$GS59="comprimento",INDEX('DADOS_FORMAS'!$GP$2:$GP$6,MIN(5,'DADOS_FORMAS'!$GW59+3)),'DADOS_FORMAS'!$GT59)))&amp;'DADOS_FORMAS'!$GV59))</f>
        <v/>
      </c>
      <c r="HJ60">
        <f>IF(OR('DADOS_FORMAS'!$AH21="",'DADOS_FORMAS'!$GR59="",'DADOS_FORMAS'!$GT59=""),"",IF('DADOS_FORMAS'!$GT59="—","—",'DADOS_FORMAS'!$GU59&amp;IF('DADOS_FORMAS'!$GS59="alcance",INDEX('DADOS_FORMAS'!$GL$2:$GL$7,MIN(6,'DADOS_FORMAS'!$GW59+4)),IF('DADOS_FORMAS'!$GS59="raio",INDEX('DADOS_FORMAS'!$GN$2:$GN$6,MIN(5,'DADOS_FORMAS'!$GW59+4)),IF('DADOS_FORMAS'!$GS59="comprimento",INDEX('DADOS_FORMAS'!$GP$2:$GP$6,MIN(5,'DADOS_FORMAS'!$GW59+4)),'DADOS_FORMAS'!$GT59)))&amp;'DADOS_FORMAS'!$GV59))</f>
        <v/>
      </c>
      <c r="HK60">
        <f>IF(OR('DADOS_FORMAS'!$AH21="",'DADOS_FORMAS'!$GR59="",'DADOS_FORMAS'!$GT59=""),"",IF('DADOS_FORMAS'!$GT59="—","—",'DADOS_FORMAS'!$GU59&amp;IF('DADOS_FORMAS'!$GS59="alcance",INDEX('DADOS_FORMAS'!$GL$2:$GL$7,MIN(6,'DADOS_FORMAS'!$GW59+5)),IF('DADOS_FORMAS'!$GS59="raio",INDEX('DADOS_FORMAS'!$GN$2:$GN$6,MIN(5,'DADOS_FORMAS'!$GW59+5)),IF('DADOS_FORMAS'!$GS59="comprimento",INDEX('DADOS_FORMAS'!$GP$2:$GP$6,MIN(5,'DADOS_FORMAS'!$GW59+5)),'DADOS_FORMAS'!$GT59)))&amp;'DADOS_FORMAS'!$GV59))</f>
        <v/>
      </c>
      <c r="HM60">
        <f>'DADOS_FORMAS'!$BL19</f>
        <v/>
      </c>
      <c r="HN60">
        <f>IF('DADOS_FORMAS'!$BL19="area",'DADOS_FORMAS'!$AU19,'DADOS_FORMAS'!$AT19)</f>
        <v/>
      </c>
      <c r="HO60">
        <f>IF('DADOS_FORMAS'!$BL19="area",'DADOS_FORMAS'!$BG19,'DADOS_FORMAS'!$AZ19)</f>
        <v/>
      </c>
      <c r="HP60">
        <f>'DADOS_FORMAS'!$BM19</f>
        <v/>
      </c>
      <c r="HQ60">
        <f>'DADOS_FORMAS'!$BN19</f>
        <v/>
      </c>
      <c r="HR60">
        <f>LET(base,'DADOS_FORMAS'!$HO60,escada,'DADOS_FORMAS'!$HN60,medida,LEFT(base,MAX(0,LEN(base)-2)),valor,IFERROR(VALUE(SUBSTITUTE(medida,",",""))/10^IFERROR(LEN(medida)-FIND(",",medida),0),1E99),IF(OR(escada="Fixo",base="—"),base,IF(escada="alcance",IFERROR(MATCH(base,{"1,5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0">
        <f>'DADOS_FORMAS'!$AH16&amp;" · classe 6"</f>
        <v/>
      </c>
      <c r="HU60">
        <f>LET(trecho,IF(OR('DADOS_FORMAS'!$AH16="",'DADOS_FORMAS'!$HM38="",'DADOS_FORMAS'!$HO38=""),"",IF('DADOS_FORMAS'!$HO38="—","—",'DADOS_FORMAS'!$HP38&amp;'DADOS_FORMAS'!$HO38&amp;SUBSTITUTE('DADOS_FORMAS'!$HQ38,"em você","nela"))),UPPER(LEFT(trecho,1))&amp;MID(trecho,2,LEN(trecho)))</f>
        <v/>
      </c>
      <c r="HV60">
        <f>LET(trecho,IF(OR('DADOS_FORMAS'!$AH16="",'DADOS_FORMAS'!$HM38="",'DADOS_FORMAS'!$HO38=""),"",IF('DADOS_FORMAS'!$HO38="—","—",'DADOS_FORMAS'!$HP38&amp;IF('DADOS_FORMAS'!$HN38="alcance",INDEX('DADOS_FORMAS'!$GL$2:$GL$7,MIN(6,'DADOS_FORMAS'!$HR38+1)),IF('DADOS_FORMAS'!$HN38="raio",INDEX('DADOS_FORMAS'!$GN$2:$GN$6,MIN(5,'DADOS_FORMAS'!$HR38+1)),IF('DADOS_FORMAS'!$HN38="comprimento",INDEX('DADOS_FORMAS'!$GP$2:$GP$6,MIN(5,'DADOS_FORMAS'!$HR38+1)),'DADOS_FORMAS'!$HO38)))&amp;SUBSTITUTE('DADOS_FORMAS'!$HQ38,"em você","nela"))),UPPER(LEFT(trecho,1))&amp;MID(trecho,2,LEN(trecho)))</f>
        <v/>
      </c>
      <c r="HW60">
        <f>LET(trecho,IF(OR('DADOS_FORMAS'!$AH16="",'DADOS_FORMAS'!$HM38="",'DADOS_FORMAS'!$HO38=""),"",IF('DADOS_FORMAS'!$HO38="—","—",'DADOS_FORMAS'!$HP38&amp;IF('DADOS_FORMAS'!$HN38="alcance",INDEX('DADOS_FORMAS'!$GL$2:$GL$7,MIN(6,'DADOS_FORMAS'!$HR38+2)),IF('DADOS_FORMAS'!$HN38="raio",INDEX('DADOS_FORMAS'!$GN$2:$GN$6,MIN(5,'DADOS_FORMAS'!$HR38+2)),IF('DADOS_FORMAS'!$HN38="comprimento",INDEX('DADOS_FORMAS'!$GP$2:$GP$6,MIN(5,'DADOS_FORMAS'!$HR38+2)),'DADOS_FORMAS'!$HO38)))&amp;SUBSTITUTE('DADOS_FORMAS'!$HQ38,"em você","nela"))),UPPER(LEFT(trecho,1))&amp;MID(trecho,2,LEN(trecho)))</f>
        <v/>
      </c>
      <c r="HX60">
        <f>LET(trecho,IF(OR('DADOS_FORMAS'!$AH16="",'DADOS_FORMAS'!$HM38="",'DADOS_FORMAS'!$HO38=""),"",IF('DADOS_FORMAS'!$HO38="—","—",'DADOS_FORMAS'!$HP38&amp;IF('DADOS_FORMAS'!$HN38="alcance",INDEX('DADOS_FORMAS'!$GL$2:$GL$7,MIN(6,'DADOS_FORMAS'!$HR38+3)),IF('DADOS_FORMAS'!$HN38="raio",INDEX('DADOS_FORMAS'!$GN$2:$GN$6,MIN(5,'DADOS_FORMAS'!$HR38+3)),IF('DADOS_FORMAS'!$HN38="comprimento",INDEX('DADOS_FORMAS'!$GP$2:$GP$6,MIN(5,'DADOS_FORMAS'!$HR38+3)),'DADOS_FORMAS'!$HO38)))&amp;SUBSTITUTE('DADOS_FORMAS'!$HQ38,"em você","nela"))),UPPER(LEFT(trecho,1))&amp;MID(trecho,2,LEN(trecho)))</f>
        <v/>
      </c>
      <c r="HY60">
        <f>LET(trecho,IF(OR('DADOS_FORMAS'!$AH16="",'DADOS_FORMAS'!$HM38="",'DADOS_FORMAS'!$HO38=""),"",IF('DADOS_FORMAS'!$HO38="—","—",'DADOS_FORMAS'!$HP38&amp;IF('DADOS_FORMAS'!$HN38="alcance",INDEX('DADOS_FORMAS'!$GL$2:$GL$7,MIN(6,'DADOS_FORMAS'!$HR38+4)),IF('DADOS_FORMAS'!$HN38="raio",INDEX('DADOS_FORMAS'!$GN$2:$GN$6,MIN(5,'DADOS_FORMAS'!$HR38+4)),IF('DADOS_FORMAS'!$HN38="comprimento",INDEX('DADOS_FORMAS'!$GP$2:$GP$6,MIN(5,'DADOS_FORMAS'!$HR38+4)),'DADOS_FORMAS'!$HO38)))&amp;SUBSTITUTE('DADOS_FORMAS'!$HQ38,"em você","nela"))),UPPER(LEFT(trecho,1))&amp;MID(trecho,2,LEN(trecho)))</f>
        <v/>
      </c>
      <c r="HZ60">
        <f>LET(trecho,IF(OR('DADOS_FORMAS'!$AH16="",'DADOS_FORMAS'!$HM38="",'DADOS_FORMAS'!$HO38=""),"",IF('DADOS_FORMAS'!$HO38="—","—",'DADOS_FORMAS'!$HP38&amp;IF('DADOS_FORMAS'!$HN38="alcance",INDEX('DADOS_FORMAS'!$GL$2:$GL$7,MIN(6,'DADOS_FORMAS'!$HR38+5)),IF('DADOS_FORMAS'!$HN38="raio",INDEX('DADOS_FORMAS'!$GN$2:$GN$6,MIN(5,'DADOS_FORMAS'!$HR38+5)),IF('DADOS_FORMAS'!$HN38="comprimento",INDEX('DADOS_FORMAS'!$GP$2:$GP$6,MIN(5,'DADOS_FORMAS'!$HR38+5)),'DADOS_FORMAS'!$HO38)))&amp;SUBSTITUTE('DADOS_FORMAS'!$HQ38,"em você","nela"))),UPPER(LEFT(trecho,1))&amp;MID(trecho,2,LEN(trecho)))</f>
        <v/>
      </c>
      <c r="IA60">
        <f>IF(OR('DADOS_FORMAS'!$AH16="",'DADOS_FORMAS'!$HM39="",'DADOS_FORMAS'!$HO39=""),"",IF('DADOS_FORMAS'!$HO39="—","—",'DADOS_FORMAS'!$HP39&amp;'DADOS_FORMAS'!$HO39&amp;SUBSTITUTE('DADOS_FORMAS'!$HQ39,"em você","nela")))</f>
        <v/>
      </c>
      <c r="IB60">
        <f>IF(OR('DADOS_FORMAS'!$AH16="",'DADOS_FORMAS'!$HM39="",'DADOS_FORMAS'!$HO39=""),"",IF('DADOS_FORMAS'!$HO39="—","—",'DADOS_FORMAS'!$HP39&amp;IF('DADOS_FORMAS'!$HN39="alcance",INDEX('DADOS_FORMAS'!$GL$2:$GL$7,MIN(6,'DADOS_FORMAS'!$HR39+1)),IF('DADOS_FORMAS'!$HN39="raio",INDEX('DADOS_FORMAS'!$GN$2:$GN$6,MIN(5,'DADOS_FORMAS'!$HR39+1)),IF('DADOS_FORMAS'!$HN39="comprimento",INDEX('DADOS_FORMAS'!$GP$2:$GP$6,MIN(5,'DADOS_FORMAS'!$HR39+1)),'DADOS_FORMAS'!$HO39)))&amp;SUBSTITUTE('DADOS_FORMAS'!$HQ39,"em você","nela")))</f>
        <v/>
      </c>
      <c r="IC60">
        <f>IF(OR('DADOS_FORMAS'!$AH16="",'DADOS_FORMAS'!$HM39="",'DADOS_FORMAS'!$HO39=""),"",IF('DADOS_FORMAS'!$HO39="—","—",'DADOS_FORMAS'!$HP39&amp;IF('DADOS_FORMAS'!$HN39="alcance",INDEX('DADOS_FORMAS'!$GL$2:$GL$7,MIN(6,'DADOS_FORMAS'!$HR39+2)),IF('DADOS_FORMAS'!$HN39="raio",INDEX('DADOS_FORMAS'!$GN$2:$GN$6,MIN(5,'DADOS_FORMAS'!$HR39+2)),IF('DADOS_FORMAS'!$HN39="comprimento",INDEX('DADOS_FORMAS'!$GP$2:$GP$6,MIN(5,'DADOS_FORMAS'!$HR39+2)),'DADOS_FORMAS'!$HO39)))&amp;SUBSTITUTE('DADOS_FORMAS'!$HQ39,"em você","nela")))</f>
        <v/>
      </c>
      <c r="ID60">
        <f>IF(OR('DADOS_FORMAS'!$AH16="",'DADOS_FORMAS'!$HM39="",'DADOS_FORMAS'!$HO39=""),"",IF('DADOS_FORMAS'!$HO39="—","—",'DADOS_FORMAS'!$HP39&amp;IF('DADOS_FORMAS'!$HN39="alcance",INDEX('DADOS_FORMAS'!$GL$2:$GL$7,MIN(6,'DADOS_FORMAS'!$HR39+3)),IF('DADOS_FORMAS'!$HN39="raio",INDEX('DADOS_FORMAS'!$GN$2:$GN$6,MIN(5,'DADOS_FORMAS'!$HR39+3)),IF('DADOS_FORMAS'!$HN39="comprimento",INDEX('DADOS_FORMAS'!$GP$2:$GP$6,MIN(5,'DADOS_FORMAS'!$HR39+3)),'DADOS_FORMAS'!$HO39)))&amp;SUBSTITUTE('DADOS_FORMAS'!$HQ39,"em você","nela")))</f>
        <v/>
      </c>
      <c r="IE60">
        <f>IF(OR('DADOS_FORMAS'!$AH16="",'DADOS_FORMAS'!$HM39="",'DADOS_FORMAS'!$HO39=""),"",IF('DADOS_FORMAS'!$HO39="—","—",'DADOS_FORMAS'!$HP39&amp;IF('DADOS_FORMAS'!$HN39="alcance",INDEX('DADOS_FORMAS'!$GL$2:$GL$7,MIN(6,'DADOS_FORMAS'!$HR39+4)),IF('DADOS_FORMAS'!$HN39="raio",INDEX('DADOS_FORMAS'!$GN$2:$GN$6,MIN(5,'DADOS_FORMAS'!$HR39+4)),IF('DADOS_FORMAS'!$HN39="comprimento",INDEX('DADOS_FORMAS'!$GP$2:$GP$6,MIN(5,'DADOS_FORMAS'!$HR39+4)),'DADOS_FORMAS'!$HO39)))&amp;SUBSTITUTE('DADOS_FORMAS'!$HQ39,"em você","nela")))</f>
        <v/>
      </c>
      <c r="IF60">
        <f>IF(OR('DADOS_FORMAS'!$AH16="",'DADOS_FORMAS'!$HM39="",'DADOS_FORMAS'!$HO39=""),"",IF('DADOS_FORMAS'!$HO39="—","—",'DADOS_FORMAS'!$HP39&amp;IF('DADOS_FORMAS'!$HN39="alcance",INDEX('DADOS_FORMAS'!$GL$2:$GL$7,MIN(6,'DADOS_FORMAS'!$HR39+5)),IF('DADOS_FORMAS'!$HN39="raio",INDEX('DADOS_FORMAS'!$GN$2:$GN$6,MIN(5,'DADOS_FORMAS'!$HR39+5)),IF('DADOS_FORMAS'!$HN39="comprimento",INDEX('DADOS_FORMAS'!$GP$2:$GP$6,MIN(5,'DADOS_FORMAS'!$HR39+5)),'DADOS_FORMAS'!$HO39)))&amp;SUBSTITUTE('DADOS_FORMAS'!$HQ39,"em você","nela")))</f>
        <v/>
      </c>
    </row>
    <row r="61">
      <c r="GR61">
        <f>'DADOS_FORMAS'!$BP21</f>
        <v/>
      </c>
      <c r="GS61">
        <f>IF('DADOS_FORMAS'!$BP21="area",'DADOS_FORMAS'!$AU21,'DADOS_FORMAS'!$AT21)</f>
        <v/>
      </c>
      <c r="GT61">
        <f>IF('DADOS_FORMAS'!$BP21="area",'DADOS_FORMAS'!$BE21,'DADOS_FORMAS'!$AX21)</f>
        <v/>
      </c>
      <c r="GU61">
        <f>'DADOS_FORMAS'!$BQ21</f>
        <v/>
      </c>
      <c r="GV61">
        <f>'DADOS_FORMAS'!$BR21</f>
        <v/>
      </c>
      <c r="GW61">
        <f>LET(base,'DADOS_FORMAS'!$GT61,escada,'DADOS_FORMAS'!$GS61,medida,LEFT(base,MAX(0,LEN(base)-2)),valor,IFERROR(VALUE(SUBSTITUTE(medida,",",""))/10^IFERROR(LEN(medida)-FIND(",",medida),0),1E99),IF(OR(escada="Fixo",base="—"),base,IF(escada="alcance",IFERROR(MATCH(base,{"1,5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1">
        <f>'DADOS_FORMAS'!$AH21&amp;" · classes 6 e 7"</f>
        <v/>
      </c>
      <c r="GZ61">
        <f>LET(trecho,IF(OR('DADOS_FORMAS'!$AH21="",'DADOS_FORMAS'!$GR60="",'DADOS_FORMAS'!$GT60=""),"",IF('DADOS_FORMAS'!$GT60="—","—",'DADOS_FORMAS'!$GU60&amp;'DADOS_FORMAS'!$GT60&amp;'DADOS_FORMAS'!$GV60)),UPPER(LEFT(trecho,1))&amp;MID(trecho,2,LEN(trecho)))</f>
        <v/>
      </c>
      <c r="HA61">
        <f>LET(trecho,IF(OR('DADOS_FORMAS'!$AH21="",'DADOS_FORMAS'!$GR60="",'DADOS_FORMAS'!$GT60=""),"",IF('DADOS_FORMAS'!$GT60="—","—",'DADOS_FORMAS'!$GU60&amp;IF('DADOS_FORMAS'!$GS60="alcance",INDEX('DADOS_FORMAS'!$GL$2:$GL$7,MIN(6,'DADOS_FORMAS'!$GW60+1)),IF('DADOS_FORMAS'!$GS60="raio",INDEX('DADOS_FORMAS'!$GN$2:$GN$6,MIN(5,'DADOS_FORMAS'!$GW60+1)),IF('DADOS_FORMAS'!$GS60="comprimento",INDEX('DADOS_FORMAS'!$GP$2:$GP$6,MIN(5,'DADOS_FORMAS'!$GW60+1)),'DADOS_FORMAS'!$GT60)))&amp;'DADOS_FORMAS'!$GV60)),UPPER(LEFT(trecho,1))&amp;MID(trecho,2,LEN(trecho)))</f>
        <v/>
      </c>
      <c r="HB61">
        <f>LET(trecho,IF(OR('DADOS_FORMAS'!$AH21="",'DADOS_FORMAS'!$GR60="",'DADOS_FORMAS'!$GT60=""),"",IF('DADOS_FORMAS'!$GT60="—","—",'DADOS_FORMAS'!$GU60&amp;IF('DADOS_FORMAS'!$GS60="alcance",INDEX('DADOS_FORMAS'!$GL$2:$GL$7,MIN(6,'DADOS_FORMAS'!$GW60+2)),IF('DADOS_FORMAS'!$GS60="raio",INDEX('DADOS_FORMAS'!$GN$2:$GN$6,MIN(5,'DADOS_FORMAS'!$GW60+2)),IF('DADOS_FORMAS'!$GS60="comprimento",INDEX('DADOS_FORMAS'!$GP$2:$GP$6,MIN(5,'DADOS_FORMAS'!$GW60+2)),'DADOS_FORMAS'!$GT60)))&amp;'DADOS_FORMAS'!$GV60)),UPPER(LEFT(trecho,1))&amp;MID(trecho,2,LEN(trecho)))</f>
        <v/>
      </c>
      <c r="HC61">
        <f>LET(trecho,IF(OR('DADOS_FORMAS'!$AH21="",'DADOS_FORMAS'!$GR60="",'DADOS_FORMAS'!$GT60=""),"",IF('DADOS_FORMAS'!$GT60="—","—",'DADOS_FORMAS'!$GU60&amp;IF('DADOS_FORMAS'!$GS60="alcance",INDEX('DADOS_FORMAS'!$GL$2:$GL$7,MIN(6,'DADOS_FORMAS'!$GW60+3)),IF('DADOS_FORMAS'!$GS60="raio",INDEX('DADOS_FORMAS'!$GN$2:$GN$6,MIN(5,'DADOS_FORMAS'!$GW60+3)),IF('DADOS_FORMAS'!$GS60="comprimento",INDEX('DADOS_FORMAS'!$GP$2:$GP$6,MIN(5,'DADOS_FORMAS'!$GW60+3)),'DADOS_FORMAS'!$GT60)))&amp;'DADOS_FORMAS'!$GV60)),UPPER(LEFT(trecho,1))&amp;MID(trecho,2,LEN(trecho)))</f>
        <v/>
      </c>
      <c r="HD61">
        <f>LET(trecho,IF(OR('DADOS_FORMAS'!$AH21="",'DADOS_FORMAS'!$GR60="",'DADOS_FORMAS'!$GT60=""),"",IF('DADOS_FORMAS'!$GT60="—","—",'DADOS_FORMAS'!$GU60&amp;IF('DADOS_FORMAS'!$GS60="alcance",INDEX('DADOS_FORMAS'!$GL$2:$GL$7,MIN(6,'DADOS_FORMAS'!$GW60+4)),IF('DADOS_FORMAS'!$GS60="raio",INDEX('DADOS_FORMAS'!$GN$2:$GN$6,MIN(5,'DADOS_FORMAS'!$GW60+4)),IF('DADOS_FORMAS'!$GS60="comprimento",INDEX('DADOS_FORMAS'!$GP$2:$GP$6,MIN(5,'DADOS_FORMAS'!$GW60+4)),'DADOS_FORMAS'!$GT60)))&amp;'DADOS_FORMAS'!$GV60)),UPPER(LEFT(trecho,1))&amp;MID(trecho,2,LEN(trecho)))</f>
        <v/>
      </c>
      <c r="HE61">
        <f>LET(trecho,IF(OR('DADOS_FORMAS'!$AH21="",'DADOS_FORMAS'!$GR60="",'DADOS_FORMAS'!$GT60=""),"",IF('DADOS_FORMAS'!$GT60="—","—",'DADOS_FORMAS'!$GU60&amp;IF('DADOS_FORMAS'!$GS60="alcance",INDEX('DADOS_FORMAS'!$GL$2:$GL$7,MIN(6,'DADOS_FORMAS'!$GW60+5)),IF('DADOS_FORMAS'!$GS60="raio",INDEX('DADOS_FORMAS'!$GN$2:$GN$6,MIN(5,'DADOS_FORMAS'!$GW60+5)),IF('DADOS_FORMAS'!$GS60="comprimento",INDEX('DADOS_FORMAS'!$GP$2:$GP$6,MIN(5,'DADOS_FORMAS'!$GW60+5)),'DADOS_FORMAS'!$GT60)))&amp;'DADOS_FORMAS'!$GV60)),UPPER(LEFT(trecho,1))&amp;MID(trecho,2,LEN(trecho)))</f>
        <v/>
      </c>
      <c r="HF61">
        <f>IF(OR('DADOS_FORMAS'!$AH21="",'DADOS_FORMAS'!$GR61="",'DADOS_FORMAS'!$GT61=""),"",IF('DADOS_FORMAS'!$GT61="—","—",'DADOS_FORMAS'!$GU61&amp;'DADOS_FORMAS'!$GT61&amp;'DADOS_FORMAS'!$GV61))</f>
        <v/>
      </c>
      <c r="HG61">
        <f>IF(OR('DADOS_FORMAS'!$AH21="",'DADOS_FORMAS'!$GR61="",'DADOS_FORMAS'!$GT61=""),"",IF('DADOS_FORMAS'!$GT61="—","—",'DADOS_FORMAS'!$GU61&amp;IF('DADOS_FORMAS'!$GS61="alcance",INDEX('DADOS_FORMAS'!$GL$2:$GL$7,MIN(6,'DADOS_FORMAS'!$GW61+1)),IF('DADOS_FORMAS'!$GS61="raio",INDEX('DADOS_FORMAS'!$GN$2:$GN$6,MIN(5,'DADOS_FORMAS'!$GW61+1)),IF('DADOS_FORMAS'!$GS61="comprimento",INDEX('DADOS_FORMAS'!$GP$2:$GP$6,MIN(5,'DADOS_FORMAS'!$GW61+1)),'DADOS_FORMAS'!$GT61)))&amp;'DADOS_FORMAS'!$GV61))</f>
        <v/>
      </c>
      <c r="HH61">
        <f>IF(OR('DADOS_FORMAS'!$AH21="",'DADOS_FORMAS'!$GR61="",'DADOS_FORMAS'!$GT61=""),"",IF('DADOS_FORMAS'!$GT61="—","—",'DADOS_FORMAS'!$GU61&amp;IF('DADOS_FORMAS'!$GS61="alcance",INDEX('DADOS_FORMAS'!$GL$2:$GL$7,MIN(6,'DADOS_FORMAS'!$GW61+2)),IF('DADOS_FORMAS'!$GS61="raio",INDEX('DADOS_FORMAS'!$GN$2:$GN$6,MIN(5,'DADOS_FORMAS'!$GW61+2)),IF('DADOS_FORMAS'!$GS61="comprimento",INDEX('DADOS_FORMAS'!$GP$2:$GP$6,MIN(5,'DADOS_FORMAS'!$GW61+2)),'DADOS_FORMAS'!$GT61)))&amp;'DADOS_FORMAS'!$GV61))</f>
        <v/>
      </c>
      <c r="HI61">
        <f>IF(OR('DADOS_FORMAS'!$AH21="",'DADOS_FORMAS'!$GR61="",'DADOS_FORMAS'!$GT61=""),"",IF('DADOS_FORMAS'!$GT61="—","—",'DADOS_FORMAS'!$GU61&amp;IF('DADOS_FORMAS'!$GS61="alcance",INDEX('DADOS_FORMAS'!$GL$2:$GL$7,MIN(6,'DADOS_FORMAS'!$GW61+3)),IF('DADOS_FORMAS'!$GS61="raio",INDEX('DADOS_FORMAS'!$GN$2:$GN$6,MIN(5,'DADOS_FORMAS'!$GW61+3)),IF('DADOS_FORMAS'!$GS61="comprimento",INDEX('DADOS_FORMAS'!$GP$2:$GP$6,MIN(5,'DADOS_FORMAS'!$GW61+3)),'DADOS_FORMAS'!$GT61)))&amp;'DADOS_FORMAS'!$GV61))</f>
        <v/>
      </c>
      <c r="HJ61">
        <f>IF(OR('DADOS_FORMAS'!$AH21="",'DADOS_FORMAS'!$GR61="",'DADOS_FORMAS'!$GT61=""),"",IF('DADOS_FORMAS'!$GT61="—","—",'DADOS_FORMAS'!$GU61&amp;IF('DADOS_FORMAS'!$GS61="alcance",INDEX('DADOS_FORMAS'!$GL$2:$GL$7,MIN(6,'DADOS_FORMAS'!$GW61+4)),IF('DADOS_FORMAS'!$GS61="raio",INDEX('DADOS_FORMAS'!$GN$2:$GN$6,MIN(5,'DADOS_FORMAS'!$GW61+4)),IF('DADOS_FORMAS'!$GS61="comprimento",INDEX('DADOS_FORMAS'!$GP$2:$GP$6,MIN(5,'DADOS_FORMAS'!$GW61+4)),'DADOS_FORMAS'!$GT61)))&amp;'DADOS_FORMAS'!$GV61))</f>
        <v/>
      </c>
      <c r="HK61">
        <f>IF(OR('DADOS_FORMAS'!$AH21="",'DADOS_FORMAS'!$GR61="",'DADOS_FORMAS'!$GT61=""),"",IF('DADOS_FORMAS'!$GT61="—","—",'DADOS_FORMAS'!$GU61&amp;IF('DADOS_FORMAS'!$GS61="alcance",INDEX('DADOS_FORMAS'!$GL$2:$GL$7,MIN(6,'DADOS_FORMAS'!$GW61+5)),IF('DADOS_FORMAS'!$GS61="raio",INDEX('DADOS_FORMAS'!$GN$2:$GN$6,MIN(5,'DADOS_FORMAS'!$GW61+5)),IF('DADOS_FORMAS'!$GS61="comprimento",INDEX('DADOS_FORMAS'!$GP$2:$GP$6,MIN(5,'DADOS_FORMAS'!$GW61+5)),'DADOS_FORMAS'!$GT61)))&amp;'DADOS_FORMAS'!$GV61))</f>
        <v/>
      </c>
      <c r="HM61">
        <f>'DADOS_FORMAS'!$BP19</f>
        <v/>
      </c>
      <c r="HN61">
        <f>IF('DADOS_FORMAS'!$BP19="area",'DADOS_FORMAS'!$AU19,'DADOS_FORMAS'!$AT19)</f>
        <v/>
      </c>
      <c r="HO61">
        <f>IF('DADOS_FORMAS'!$BP19="area",'DADOS_FORMAS'!$BG19,'DADOS_FORMAS'!$AZ19)</f>
        <v/>
      </c>
      <c r="HP61">
        <f>'DADOS_FORMAS'!$BQ19</f>
        <v/>
      </c>
      <c r="HQ61">
        <f>'DADOS_FORMAS'!$BR19</f>
        <v/>
      </c>
      <c r="HR61">
        <f>LET(base,'DADOS_FORMAS'!$HO61,escada,'DADOS_FORMAS'!$HN61,medida,LEFT(base,MAX(0,LEN(base)-2)),valor,IFERROR(VALUE(SUBSTITUTE(medida,",",""))/10^IFERROR(LEN(medida)-FIND(",",medida),0),1E99),IF(OR(escada="Fixo",base="—"),base,IF(escada="alcance",IFERROR(MATCH(base,{"1,5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1">
        <f>'DADOS_FORMAS'!$AH16&amp;" · classe 7"</f>
        <v/>
      </c>
      <c r="HU61">
        <f>LET(trecho,IF(OR('DADOS_FORMAS'!$AH16="",'DADOS_FORMAS'!$HM40="",'DADOS_FORMAS'!$HO40=""),"",IF('DADOS_FORMAS'!$HO40="—","—",'DADOS_FORMAS'!$HP40&amp;'DADOS_FORMAS'!$HO40&amp;SUBSTITUTE('DADOS_FORMAS'!$HQ40,"em você","nela"))),UPPER(LEFT(trecho,1))&amp;MID(trecho,2,LEN(trecho)))</f>
        <v/>
      </c>
      <c r="HV61">
        <f>LET(trecho,IF(OR('DADOS_FORMAS'!$AH16="",'DADOS_FORMAS'!$HM40="",'DADOS_FORMAS'!$HO40=""),"",IF('DADOS_FORMAS'!$HO40="—","—",'DADOS_FORMAS'!$HP40&amp;IF('DADOS_FORMAS'!$HN40="alcance",INDEX('DADOS_FORMAS'!$GL$2:$GL$7,MIN(6,'DADOS_FORMAS'!$HR40+1)),IF('DADOS_FORMAS'!$HN40="raio",INDEX('DADOS_FORMAS'!$GN$2:$GN$6,MIN(5,'DADOS_FORMAS'!$HR40+1)),IF('DADOS_FORMAS'!$HN40="comprimento",INDEX('DADOS_FORMAS'!$GP$2:$GP$6,MIN(5,'DADOS_FORMAS'!$HR40+1)),'DADOS_FORMAS'!$HO40)))&amp;SUBSTITUTE('DADOS_FORMAS'!$HQ40,"em você","nela"))),UPPER(LEFT(trecho,1))&amp;MID(trecho,2,LEN(trecho)))</f>
        <v/>
      </c>
      <c r="HW61">
        <f>LET(trecho,IF(OR('DADOS_FORMAS'!$AH16="",'DADOS_FORMAS'!$HM40="",'DADOS_FORMAS'!$HO40=""),"",IF('DADOS_FORMAS'!$HO40="—","—",'DADOS_FORMAS'!$HP40&amp;IF('DADOS_FORMAS'!$HN40="alcance",INDEX('DADOS_FORMAS'!$GL$2:$GL$7,MIN(6,'DADOS_FORMAS'!$HR40+2)),IF('DADOS_FORMAS'!$HN40="raio",INDEX('DADOS_FORMAS'!$GN$2:$GN$6,MIN(5,'DADOS_FORMAS'!$HR40+2)),IF('DADOS_FORMAS'!$HN40="comprimento",INDEX('DADOS_FORMAS'!$GP$2:$GP$6,MIN(5,'DADOS_FORMAS'!$HR40+2)),'DADOS_FORMAS'!$HO40)))&amp;SUBSTITUTE('DADOS_FORMAS'!$HQ40,"em você","nela"))),UPPER(LEFT(trecho,1))&amp;MID(trecho,2,LEN(trecho)))</f>
        <v/>
      </c>
      <c r="HX61">
        <f>LET(trecho,IF(OR('DADOS_FORMAS'!$AH16="",'DADOS_FORMAS'!$HM40="",'DADOS_FORMAS'!$HO40=""),"",IF('DADOS_FORMAS'!$HO40="—","—",'DADOS_FORMAS'!$HP40&amp;IF('DADOS_FORMAS'!$HN40="alcance",INDEX('DADOS_FORMAS'!$GL$2:$GL$7,MIN(6,'DADOS_FORMAS'!$HR40+3)),IF('DADOS_FORMAS'!$HN40="raio",INDEX('DADOS_FORMAS'!$GN$2:$GN$6,MIN(5,'DADOS_FORMAS'!$HR40+3)),IF('DADOS_FORMAS'!$HN40="comprimento",INDEX('DADOS_FORMAS'!$GP$2:$GP$6,MIN(5,'DADOS_FORMAS'!$HR40+3)),'DADOS_FORMAS'!$HO40)))&amp;SUBSTITUTE('DADOS_FORMAS'!$HQ40,"em você","nela"))),UPPER(LEFT(trecho,1))&amp;MID(trecho,2,LEN(trecho)))</f>
        <v/>
      </c>
      <c r="HY61">
        <f>LET(trecho,IF(OR('DADOS_FORMAS'!$AH16="",'DADOS_FORMAS'!$HM40="",'DADOS_FORMAS'!$HO40=""),"",IF('DADOS_FORMAS'!$HO40="—","—",'DADOS_FORMAS'!$HP40&amp;IF('DADOS_FORMAS'!$HN40="alcance",INDEX('DADOS_FORMAS'!$GL$2:$GL$7,MIN(6,'DADOS_FORMAS'!$HR40+4)),IF('DADOS_FORMAS'!$HN40="raio",INDEX('DADOS_FORMAS'!$GN$2:$GN$6,MIN(5,'DADOS_FORMAS'!$HR40+4)),IF('DADOS_FORMAS'!$HN40="comprimento",INDEX('DADOS_FORMAS'!$GP$2:$GP$6,MIN(5,'DADOS_FORMAS'!$HR40+4)),'DADOS_FORMAS'!$HO40)))&amp;SUBSTITUTE('DADOS_FORMAS'!$HQ40,"em você","nela"))),UPPER(LEFT(trecho,1))&amp;MID(trecho,2,LEN(trecho)))</f>
        <v/>
      </c>
      <c r="HZ61">
        <f>LET(trecho,IF(OR('DADOS_FORMAS'!$AH16="",'DADOS_FORMAS'!$HM40="",'DADOS_FORMAS'!$HO40=""),"",IF('DADOS_FORMAS'!$HO40="—","—",'DADOS_FORMAS'!$HP40&amp;IF('DADOS_FORMAS'!$HN40="alcance",INDEX('DADOS_FORMAS'!$GL$2:$GL$7,MIN(6,'DADOS_FORMAS'!$HR40+5)),IF('DADOS_FORMAS'!$HN40="raio",INDEX('DADOS_FORMAS'!$GN$2:$GN$6,MIN(5,'DADOS_FORMAS'!$HR40+5)),IF('DADOS_FORMAS'!$HN40="comprimento",INDEX('DADOS_FORMAS'!$GP$2:$GP$6,MIN(5,'DADOS_FORMAS'!$HR40+5)),'DADOS_FORMAS'!$HO40)))&amp;SUBSTITUTE('DADOS_FORMAS'!$HQ40,"em você","nela"))),UPPER(LEFT(trecho,1))&amp;MID(trecho,2,LEN(trecho)))</f>
        <v/>
      </c>
      <c r="IA61">
        <f>IF(OR('DADOS_FORMAS'!$AH16="",'DADOS_FORMAS'!$HM41="",'DADOS_FORMAS'!$HO41=""),"",IF('DADOS_FORMAS'!$HO41="—","—",'DADOS_FORMAS'!$HP41&amp;'DADOS_FORMAS'!$HO41&amp;SUBSTITUTE('DADOS_FORMAS'!$HQ41,"em você","nela")))</f>
        <v/>
      </c>
      <c r="IB61">
        <f>IF(OR('DADOS_FORMAS'!$AH16="",'DADOS_FORMAS'!$HM41="",'DADOS_FORMAS'!$HO41=""),"",IF('DADOS_FORMAS'!$HO41="—","—",'DADOS_FORMAS'!$HP41&amp;IF('DADOS_FORMAS'!$HN41="alcance",INDEX('DADOS_FORMAS'!$GL$2:$GL$7,MIN(6,'DADOS_FORMAS'!$HR41+1)),IF('DADOS_FORMAS'!$HN41="raio",INDEX('DADOS_FORMAS'!$GN$2:$GN$6,MIN(5,'DADOS_FORMAS'!$HR41+1)),IF('DADOS_FORMAS'!$HN41="comprimento",INDEX('DADOS_FORMAS'!$GP$2:$GP$6,MIN(5,'DADOS_FORMAS'!$HR41+1)),'DADOS_FORMAS'!$HO41)))&amp;SUBSTITUTE('DADOS_FORMAS'!$HQ41,"em você","nela")))</f>
        <v/>
      </c>
      <c r="IC61">
        <f>IF(OR('DADOS_FORMAS'!$AH16="",'DADOS_FORMAS'!$HM41="",'DADOS_FORMAS'!$HO41=""),"",IF('DADOS_FORMAS'!$HO41="—","—",'DADOS_FORMAS'!$HP41&amp;IF('DADOS_FORMAS'!$HN41="alcance",INDEX('DADOS_FORMAS'!$GL$2:$GL$7,MIN(6,'DADOS_FORMAS'!$HR41+2)),IF('DADOS_FORMAS'!$HN41="raio",INDEX('DADOS_FORMAS'!$GN$2:$GN$6,MIN(5,'DADOS_FORMAS'!$HR41+2)),IF('DADOS_FORMAS'!$HN41="comprimento",INDEX('DADOS_FORMAS'!$GP$2:$GP$6,MIN(5,'DADOS_FORMAS'!$HR41+2)),'DADOS_FORMAS'!$HO41)))&amp;SUBSTITUTE('DADOS_FORMAS'!$HQ41,"em você","nela")))</f>
        <v/>
      </c>
      <c r="ID61">
        <f>IF(OR('DADOS_FORMAS'!$AH16="",'DADOS_FORMAS'!$HM41="",'DADOS_FORMAS'!$HO41=""),"",IF('DADOS_FORMAS'!$HO41="—","—",'DADOS_FORMAS'!$HP41&amp;IF('DADOS_FORMAS'!$HN41="alcance",INDEX('DADOS_FORMAS'!$GL$2:$GL$7,MIN(6,'DADOS_FORMAS'!$HR41+3)),IF('DADOS_FORMAS'!$HN41="raio",INDEX('DADOS_FORMAS'!$GN$2:$GN$6,MIN(5,'DADOS_FORMAS'!$HR41+3)),IF('DADOS_FORMAS'!$HN41="comprimento",INDEX('DADOS_FORMAS'!$GP$2:$GP$6,MIN(5,'DADOS_FORMAS'!$HR41+3)),'DADOS_FORMAS'!$HO41)))&amp;SUBSTITUTE('DADOS_FORMAS'!$HQ41,"em você","nela")))</f>
        <v/>
      </c>
      <c r="IE61">
        <f>IF(OR('DADOS_FORMAS'!$AH16="",'DADOS_FORMAS'!$HM41="",'DADOS_FORMAS'!$HO41=""),"",IF('DADOS_FORMAS'!$HO41="—","—",'DADOS_FORMAS'!$HP41&amp;IF('DADOS_FORMAS'!$HN41="alcance",INDEX('DADOS_FORMAS'!$GL$2:$GL$7,MIN(6,'DADOS_FORMAS'!$HR41+4)),IF('DADOS_FORMAS'!$HN41="raio",INDEX('DADOS_FORMAS'!$GN$2:$GN$6,MIN(5,'DADOS_FORMAS'!$HR41+4)),IF('DADOS_FORMAS'!$HN41="comprimento",INDEX('DADOS_FORMAS'!$GP$2:$GP$6,MIN(5,'DADOS_FORMAS'!$HR41+4)),'DADOS_FORMAS'!$HO41)))&amp;SUBSTITUTE('DADOS_FORMAS'!$HQ41,"em você","nela")))</f>
        <v/>
      </c>
      <c r="IF61">
        <f>IF(OR('DADOS_FORMAS'!$AH16="",'DADOS_FORMAS'!$HM41="",'DADOS_FORMAS'!$HO41=""),"",IF('DADOS_FORMAS'!$HO41="—","—",'DADOS_FORMAS'!$HP41&amp;IF('DADOS_FORMAS'!$HN41="alcance",INDEX('DADOS_FORMAS'!$GL$2:$GL$7,MIN(6,'DADOS_FORMAS'!$HR41+5)),IF('DADOS_FORMAS'!$HN41="raio",INDEX('DADOS_FORMAS'!$GN$2:$GN$6,MIN(5,'DADOS_FORMAS'!$HR41+5)),IF('DADOS_FORMAS'!$HN41="comprimento",INDEX('DADOS_FORMAS'!$GP$2:$GP$6,MIN(5,'DADOS_FORMAS'!$HR41+5)),'DADOS_FORMAS'!$HO41)))&amp;SUBSTITUTE('DADOS_FORMAS'!$HQ41,"em você","nela")))</f>
        <v/>
      </c>
    </row>
    <row r="62">
      <c r="HM62">
        <f>'DADOS_FORMAS'!$BL19</f>
        <v/>
      </c>
      <c r="HN62">
        <f>IF('DADOS_FORMAS'!$BL19="area",'DADOS_FORMAS'!$AU19,'DADOS_FORMAS'!$AT19)</f>
        <v/>
      </c>
      <c r="HO62">
        <f>IF('DADOS_FORMAS'!$BL19="area",'DADOS_FORMAS'!$BH19,'DADOS_FORMAS'!$BA19)</f>
        <v/>
      </c>
      <c r="HP62">
        <f>'DADOS_FORMAS'!$BM19</f>
        <v/>
      </c>
      <c r="HQ62">
        <f>'DADOS_FORMAS'!$BN19</f>
        <v/>
      </c>
      <c r="HR62">
        <f>LET(base,'DADOS_FORMAS'!$HO62,escada,'DADOS_FORMAS'!$HN62,medida,LEFT(base,MAX(0,LEN(base)-2)),valor,IFERROR(VALUE(SUBSTITUTE(medida,",",""))/10^IFERROR(LEN(medida)-FIND(",",medida),0),1E99),IF(OR(escada="Fixo",base="—"),base,IF(escada="alcance",IFERROR(MATCH(base,{"1,5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2">
        <f>'DADOS_FORMAS'!$AH17&amp;" · classe 0"</f>
        <v/>
      </c>
      <c r="HU62">
        <f>LET(trecho,IF(OR('DADOS_FORMAS'!$AH17="",'DADOS_FORMAS'!$HM42="",'DADOS_FORMAS'!$HO42=""),"",IF('DADOS_FORMAS'!$HO42="—","—",'DADOS_FORMAS'!$HP42&amp;'DADOS_FORMAS'!$HO42&amp;SUBSTITUTE('DADOS_FORMAS'!$HQ42,"em você","nela"))),UPPER(LEFT(trecho,1))&amp;MID(trecho,2,LEN(trecho)))</f>
        <v/>
      </c>
      <c r="HV62">
        <f>LET(trecho,IF(OR('DADOS_FORMAS'!$AH17="",'DADOS_FORMAS'!$HM42="",'DADOS_FORMAS'!$HO42=""),"",IF('DADOS_FORMAS'!$HO42="—","—",'DADOS_FORMAS'!$HP42&amp;IF('DADOS_FORMAS'!$HN42="alcance",INDEX('DADOS_FORMAS'!$GL$2:$GL$7,MIN(6,'DADOS_FORMAS'!$HR42+1)),IF('DADOS_FORMAS'!$HN42="raio",INDEX('DADOS_FORMAS'!$GN$2:$GN$6,MIN(5,'DADOS_FORMAS'!$HR42+1)),IF('DADOS_FORMAS'!$HN42="comprimento",INDEX('DADOS_FORMAS'!$GP$2:$GP$6,MIN(5,'DADOS_FORMAS'!$HR42+1)),'DADOS_FORMAS'!$HO42)))&amp;SUBSTITUTE('DADOS_FORMAS'!$HQ42,"em você","nela"))),UPPER(LEFT(trecho,1))&amp;MID(trecho,2,LEN(trecho)))</f>
        <v/>
      </c>
      <c r="HW62">
        <f>LET(trecho,IF(OR('DADOS_FORMAS'!$AH17="",'DADOS_FORMAS'!$HM42="",'DADOS_FORMAS'!$HO42=""),"",IF('DADOS_FORMAS'!$HO42="—","—",'DADOS_FORMAS'!$HP42&amp;IF('DADOS_FORMAS'!$HN42="alcance",INDEX('DADOS_FORMAS'!$GL$2:$GL$7,MIN(6,'DADOS_FORMAS'!$HR42+2)),IF('DADOS_FORMAS'!$HN42="raio",INDEX('DADOS_FORMAS'!$GN$2:$GN$6,MIN(5,'DADOS_FORMAS'!$HR42+2)),IF('DADOS_FORMAS'!$HN42="comprimento",INDEX('DADOS_FORMAS'!$GP$2:$GP$6,MIN(5,'DADOS_FORMAS'!$HR42+2)),'DADOS_FORMAS'!$HO42)))&amp;SUBSTITUTE('DADOS_FORMAS'!$HQ42,"em você","nela"))),UPPER(LEFT(trecho,1))&amp;MID(trecho,2,LEN(trecho)))</f>
        <v/>
      </c>
      <c r="HX62">
        <f>LET(trecho,IF(OR('DADOS_FORMAS'!$AH17="",'DADOS_FORMAS'!$HM42="",'DADOS_FORMAS'!$HO42=""),"",IF('DADOS_FORMAS'!$HO42="—","—",'DADOS_FORMAS'!$HP42&amp;IF('DADOS_FORMAS'!$HN42="alcance",INDEX('DADOS_FORMAS'!$GL$2:$GL$7,MIN(6,'DADOS_FORMAS'!$HR42+3)),IF('DADOS_FORMAS'!$HN42="raio",INDEX('DADOS_FORMAS'!$GN$2:$GN$6,MIN(5,'DADOS_FORMAS'!$HR42+3)),IF('DADOS_FORMAS'!$HN42="comprimento",INDEX('DADOS_FORMAS'!$GP$2:$GP$6,MIN(5,'DADOS_FORMAS'!$HR42+3)),'DADOS_FORMAS'!$HO42)))&amp;SUBSTITUTE('DADOS_FORMAS'!$HQ42,"em você","nela"))),UPPER(LEFT(trecho,1))&amp;MID(trecho,2,LEN(trecho)))</f>
        <v/>
      </c>
      <c r="HY62">
        <f>LET(trecho,IF(OR('DADOS_FORMAS'!$AH17="",'DADOS_FORMAS'!$HM42="",'DADOS_FORMAS'!$HO42=""),"",IF('DADOS_FORMAS'!$HO42="—","—",'DADOS_FORMAS'!$HP42&amp;IF('DADOS_FORMAS'!$HN42="alcance",INDEX('DADOS_FORMAS'!$GL$2:$GL$7,MIN(6,'DADOS_FORMAS'!$HR42+4)),IF('DADOS_FORMAS'!$HN42="raio",INDEX('DADOS_FORMAS'!$GN$2:$GN$6,MIN(5,'DADOS_FORMAS'!$HR42+4)),IF('DADOS_FORMAS'!$HN42="comprimento",INDEX('DADOS_FORMAS'!$GP$2:$GP$6,MIN(5,'DADOS_FORMAS'!$HR42+4)),'DADOS_FORMAS'!$HO42)))&amp;SUBSTITUTE('DADOS_FORMAS'!$HQ42,"em você","nela"))),UPPER(LEFT(trecho,1))&amp;MID(trecho,2,LEN(trecho)))</f>
        <v/>
      </c>
      <c r="HZ62">
        <f>LET(trecho,IF(OR('DADOS_FORMAS'!$AH17="",'DADOS_FORMAS'!$HM42="",'DADOS_FORMAS'!$HO42=""),"",IF('DADOS_FORMAS'!$HO42="—","—",'DADOS_FORMAS'!$HP42&amp;IF('DADOS_FORMAS'!$HN42="alcance",INDEX('DADOS_FORMAS'!$GL$2:$GL$7,MIN(6,'DADOS_FORMAS'!$HR42+5)),IF('DADOS_FORMAS'!$HN42="raio",INDEX('DADOS_FORMAS'!$GN$2:$GN$6,MIN(5,'DADOS_FORMAS'!$HR42+5)),IF('DADOS_FORMAS'!$HN42="comprimento",INDEX('DADOS_FORMAS'!$GP$2:$GP$6,MIN(5,'DADOS_FORMAS'!$HR42+5)),'DADOS_FORMAS'!$HO42)))&amp;SUBSTITUTE('DADOS_FORMAS'!$HQ42,"em você","nela"))),UPPER(LEFT(trecho,1))&amp;MID(trecho,2,LEN(trecho)))</f>
        <v/>
      </c>
      <c r="IA62">
        <f>IF(OR('DADOS_FORMAS'!$AH17="",'DADOS_FORMAS'!$HM43="",'DADOS_FORMAS'!$HO43=""),"",IF('DADOS_FORMAS'!$HO43="—","—",'DADOS_FORMAS'!$HP43&amp;'DADOS_FORMAS'!$HO43&amp;SUBSTITUTE('DADOS_FORMAS'!$HQ43,"em você","nela")))</f>
        <v/>
      </c>
      <c r="IB62">
        <f>IF(OR('DADOS_FORMAS'!$AH17="",'DADOS_FORMAS'!$HM43="",'DADOS_FORMAS'!$HO43=""),"",IF('DADOS_FORMAS'!$HO43="—","—",'DADOS_FORMAS'!$HP43&amp;IF('DADOS_FORMAS'!$HN43="alcance",INDEX('DADOS_FORMAS'!$GL$2:$GL$7,MIN(6,'DADOS_FORMAS'!$HR43+1)),IF('DADOS_FORMAS'!$HN43="raio",INDEX('DADOS_FORMAS'!$GN$2:$GN$6,MIN(5,'DADOS_FORMAS'!$HR43+1)),IF('DADOS_FORMAS'!$HN43="comprimento",INDEX('DADOS_FORMAS'!$GP$2:$GP$6,MIN(5,'DADOS_FORMAS'!$HR43+1)),'DADOS_FORMAS'!$HO43)))&amp;SUBSTITUTE('DADOS_FORMAS'!$HQ43,"em você","nela")))</f>
        <v/>
      </c>
      <c r="IC62">
        <f>IF(OR('DADOS_FORMAS'!$AH17="",'DADOS_FORMAS'!$HM43="",'DADOS_FORMAS'!$HO43=""),"",IF('DADOS_FORMAS'!$HO43="—","—",'DADOS_FORMAS'!$HP43&amp;IF('DADOS_FORMAS'!$HN43="alcance",INDEX('DADOS_FORMAS'!$GL$2:$GL$7,MIN(6,'DADOS_FORMAS'!$HR43+2)),IF('DADOS_FORMAS'!$HN43="raio",INDEX('DADOS_FORMAS'!$GN$2:$GN$6,MIN(5,'DADOS_FORMAS'!$HR43+2)),IF('DADOS_FORMAS'!$HN43="comprimento",INDEX('DADOS_FORMAS'!$GP$2:$GP$6,MIN(5,'DADOS_FORMAS'!$HR43+2)),'DADOS_FORMAS'!$HO43)))&amp;SUBSTITUTE('DADOS_FORMAS'!$HQ43,"em você","nela")))</f>
        <v/>
      </c>
      <c r="ID62">
        <f>IF(OR('DADOS_FORMAS'!$AH17="",'DADOS_FORMAS'!$HM43="",'DADOS_FORMAS'!$HO43=""),"",IF('DADOS_FORMAS'!$HO43="—","—",'DADOS_FORMAS'!$HP43&amp;IF('DADOS_FORMAS'!$HN43="alcance",INDEX('DADOS_FORMAS'!$GL$2:$GL$7,MIN(6,'DADOS_FORMAS'!$HR43+3)),IF('DADOS_FORMAS'!$HN43="raio",INDEX('DADOS_FORMAS'!$GN$2:$GN$6,MIN(5,'DADOS_FORMAS'!$HR43+3)),IF('DADOS_FORMAS'!$HN43="comprimento",INDEX('DADOS_FORMAS'!$GP$2:$GP$6,MIN(5,'DADOS_FORMAS'!$HR43+3)),'DADOS_FORMAS'!$HO43)))&amp;SUBSTITUTE('DADOS_FORMAS'!$HQ43,"em você","nela")))</f>
        <v/>
      </c>
      <c r="IE62">
        <f>IF(OR('DADOS_FORMAS'!$AH17="",'DADOS_FORMAS'!$HM43="",'DADOS_FORMAS'!$HO43=""),"",IF('DADOS_FORMAS'!$HO43="—","—",'DADOS_FORMAS'!$HP43&amp;IF('DADOS_FORMAS'!$HN43="alcance",INDEX('DADOS_FORMAS'!$GL$2:$GL$7,MIN(6,'DADOS_FORMAS'!$HR43+4)),IF('DADOS_FORMAS'!$HN43="raio",INDEX('DADOS_FORMAS'!$GN$2:$GN$6,MIN(5,'DADOS_FORMAS'!$HR43+4)),IF('DADOS_FORMAS'!$HN43="comprimento",INDEX('DADOS_FORMAS'!$GP$2:$GP$6,MIN(5,'DADOS_FORMAS'!$HR43+4)),'DADOS_FORMAS'!$HO43)))&amp;SUBSTITUTE('DADOS_FORMAS'!$HQ43,"em você","nela")))</f>
        <v/>
      </c>
      <c r="IF62">
        <f>IF(OR('DADOS_FORMAS'!$AH17="",'DADOS_FORMAS'!$HM43="",'DADOS_FORMAS'!$HO43=""),"",IF('DADOS_FORMAS'!$HO43="—","—",'DADOS_FORMAS'!$HP43&amp;IF('DADOS_FORMAS'!$HN43="alcance",INDEX('DADOS_FORMAS'!$GL$2:$GL$7,MIN(6,'DADOS_FORMAS'!$HR43+5)),IF('DADOS_FORMAS'!$HN43="raio",INDEX('DADOS_FORMAS'!$GN$2:$GN$6,MIN(5,'DADOS_FORMAS'!$HR43+5)),IF('DADOS_FORMAS'!$HN43="comprimento",INDEX('DADOS_FORMAS'!$GP$2:$GP$6,MIN(5,'DADOS_FORMAS'!$HR43+5)),'DADOS_FORMAS'!$HO43)))&amp;SUBSTITUTE('DADOS_FORMAS'!$HQ43,"em você","nela")))</f>
        <v/>
      </c>
    </row>
    <row r="63">
      <c r="HM63">
        <f>'DADOS_FORMAS'!$BP19</f>
        <v/>
      </c>
      <c r="HN63">
        <f>IF('DADOS_FORMAS'!$BP19="area",'DADOS_FORMAS'!$AU19,'DADOS_FORMAS'!$AT19)</f>
        <v/>
      </c>
      <c r="HO63">
        <f>IF('DADOS_FORMAS'!$BP19="area",'DADOS_FORMAS'!$BH19,'DADOS_FORMAS'!$BA19)</f>
        <v/>
      </c>
      <c r="HP63">
        <f>'DADOS_FORMAS'!$BQ19</f>
        <v/>
      </c>
      <c r="HQ63">
        <f>'DADOS_FORMAS'!$BR19</f>
        <v/>
      </c>
      <c r="HR63">
        <f>LET(base,'DADOS_FORMAS'!$HO63,escada,'DADOS_FORMAS'!$HN63,medida,LEFT(base,MAX(0,LEN(base)-2)),valor,IFERROR(VALUE(SUBSTITUTE(medida,",",""))/10^IFERROR(LEN(medida)-FIND(",",medida),0),1E99),IF(OR(escada="Fixo",base="—"),base,IF(escada="alcance",IFERROR(MATCH(base,{"1,5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3">
        <f>'DADOS_FORMAS'!$AH17&amp;" · classes 1 a 5"</f>
        <v/>
      </c>
      <c r="HU63">
        <f>LET(trecho,IF(OR('DADOS_FORMAS'!$AH17="",'DADOS_FORMAS'!$HM44="",'DADOS_FORMAS'!$HO44=""),"",IF('DADOS_FORMAS'!$HO44="—","—",'DADOS_FORMAS'!$HP44&amp;'DADOS_FORMAS'!$HO44&amp;SUBSTITUTE('DADOS_FORMAS'!$HQ44,"em você","nela"))),UPPER(LEFT(trecho,1))&amp;MID(trecho,2,LEN(trecho)))</f>
        <v/>
      </c>
      <c r="HV63">
        <f>LET(trecho,IF(OR('DADOS_FORMAS'!$AH17="",'DADOS_FORMAS'!$HM44="",'DADOS_FORMAS'!$HO44=""),"",IF('DADOS_FORMAS'!$HO44="—","—",'DADOS_FORMAS'!$HP44&amp;IF('DADOS_FORMAS'!$HN44="alcance",INDEX('DADOS_FORMAS'!$GL$2:$GL$7,MIN(6,'DADOS_FORMAS'!$HR44+1)),IF('DADOS_FORMAS'!$HN44="raio",INDEX('DADOS_FORMAS'!$GN$2:$GN$6,MIN(5,'DADOS_FORMAS'!$HR44+1)),IF('DADOS_FORMAS'!$HN44="comprimento",INDEX('DADOS_FORMAS'!$GP$2:$GP$6,MIN(5,'DADOS_FORMAS'!$HR44+1)),'DADOS_FORMAS'!$HO44)))&amp;SUBSTITUTE('DADOS_FORMAS'!$HQ44,"em você","nela"))),UPPER(LEFT(trecho,1))&amp;MID(trecho,2,LEN(trecho)))</f>
        <v/>
      </c>
      <c r="HW63">
        <f>LET(trecho,IF(OR('DADOS_FORMAS'!$AH17="",'DADOS_FORMAS'!$HM44="",'DADOS_FORMAS'!$HO44=""),"",IF('DADOS_FORMAS'!$HO44="—","—",'DADOS_FORMAS'!$HP44&amp;IF('DADOS_FORMAS'!$HN44="alcance",INDEX('DADOS_FORMAS'!$GL$2:$GL$7,MIN(6,'DADOS_FORMAS'!$HR44+2)),IF('DADOS_FORMAS'!$HN44="raio",INDEX('DADOS_FORMAS'!$GN$2:$GN$6,MIN(5,'DADOS_FORMAS'!$HR44+2)),IF('DADOS_FORMAS'!$HN44="comprimento",INDEX('DADOS_FORMAS'!$GP$2:$GP$6,MIN(5,'DADOS_FORMAS'!$HR44+2)),'DADOS_FORMAS'!$HO44)))&amp;SUBSTITUTE('DADOS_FORMAS'!$HQ44,"em você","nela"))),UPPER(LEFT(trecho,1))&amp;MID(trecho,2,LEN(trecho)))</f>
        <v/>
      </c>
      <c r="HX63">
        <f>LET(trecho,IF(OR('DADOS_FORMAS'!$AH17="",'DADOS_FORMAS'!$HM44="",'DADOS_FORMAS'!$HO44=""),"",IF('DADOS_FORMAS'!$HO44="—","—",'DADOS_FORMAS'!$HP44&amp;IF('DADOS_FORMAS'!$HN44="alcance",INDEX('DADOS_FORMAS'!$GL$2:$GL$7,MIN(6,'DADOS_FORMAS'!$HR44+3)),IF('DADOS_FORMAS'!$HN44="raio",INDEX('DADOS_FORMAS'!$GN$2:$GN$6,MIN(5,'DADOS_FORMAS'!$HR44+3)),IF('DADOS_FORMAS'!$HN44="comprimento",INDEX('DADOS_FORMAS'!$GP$2:$GP$6,MIN(5,'DADOS_FORMAS'!$HR44+3)),'DADOS_FORMAS'!$HO44)))&amp;SUBSTITUTE('DADOS_FORMAS'!$HQ44,"em você","nela"))),UPPER(LEFT(trecho,1))&amp;MID(trecho,2,LEN(trecho)))</f>
        <v/>
      </c>
      <c r="HY63">
        <f>LET(trecho,IF(OR('DADOS_FORMAS'!$AH17="",'DADOS_FORMAS'!$HM44="",'DADOS_FORMAS'!$HO44=""),"",IF('DADOS_FORMAS'!$HO44="—","—",'DADOS_FORMAS'!$HP44&amp;IF('DADOS_FORMAS'!$HN44="alcance",INDEX('DADOS_FORMAS'!$GL$2:$GL$7,MIN(6,'DADOS_FORMAS'!$HR44+4)),IF('DADOS_FORMAS'!$HN44="raio",INDEX('DADOS_FORMAS'!$GN$2:$GN$6,MIN(5,'DADOS_FORMAS'!$HR44+4)),IF('DADOS_FORMAS'!$HN44="comprimento",INDEX('DADOS_FORMAS'!$GP$2:$GP$6,MIN(5,'DADOS_FORMAS'!$HR44+4)),'DADOS_FORMAS'!$HO44)))&amp;SUBSTITUTE('DADOS_FORMAS'!$HQ44,"em você","nela"))),UPPER(LEFT(trecho,1))&amp;MID(trecho,2,LEN(trecho)))</f>
        <v/>
      </c>
      <c r="HZ63">
        <f>LET(trecho,IF(OR('DADOS_FORMAS'!$AH17="",'DADOS_FORMAS'!$HM44="",'DADOS_FORMAS'!$HO44=""),"",IF('DADOS_FORMAS'!$HO44="—","—",'DADOS_FORMAS'!$HP44&amp;IF('DADOS_FORMAS'!$HN44="alcance",INDEX('DADOS_FORMAS'!$GL$2:$GL$7,MIN(6,'DADOS_FORMAS'!$HR44+5)),IF('DADOS_FORMAS'!$HN44="raio",INDEX('DADOS_FORMAS'!$GN$2:$GN$6,MIN(5,'DADOS_FORMAS'!$HR44+5)),IF('DADOS_FORMAS'!$HN44="comprimento",INDEX('DADOS_FORMAS'!$GP$2:$GP$6,MIN(5,'DADOS_FORMAS'!$HR44+5)),'DADOS_FORMAS'!$HO44)))&amp;SUBSTITUTE('DADOS_FORMAS'!$HQ44,"em você","nela"))),UPPER(LEFT(trecho,1))&amp;MID(trecho,2,LEN(trecho)))</f>
        <v/>
      </c>
      <c r="IA63">
        <f>IF(OR('DADOS_FORMAS'!$AH17="",'DADOS_FORMAS'!$HM45="",'DADOS_FORMAS'!$HO45=""),"",IF('DADOS_FORMAS'!$HO45="—","—",'DADOS_FORMAS'!$HP45&amp;'DADOS_FORMAS'!$HO45&amp;SUBSTITUTE('DADOS_FORMAS'!$HQ45,"em você","nela")))</f>
        <v/>
      </c>
      <c r="IB63">
        <f>IF(OR('DADOS_FORMAS'!$AH17="",'DADOS_FORMAS'!$HM45="",'DADOS_FORMAS'!$HO45=""),"",IF('DADOS_FORMAS'!$HO45="—","—",'DADOS_FORMAS'!$HP45&amp;IF('DADOS_FORMAS'!$HN45="alcance",INDEX('DADOS_FORMAS'!$GL$2:$GL$7,MIN(6,'DADOS_FORMAS'!$HR45+1)),IF('DADOS_FORMAS'!$HN45="raio",INDEX('DADOS_FORMAS'!$GN$2:$GN$6,MIN(5,'DADOS_FORMAS'!$HR45+1)),IF('DADOS_FORMAS'!$HN45="comprimento",INDEX('DADOS_FORMAS'!$GP$2:$GP$6,MIN(5,'DADOS_FORMAS'!$HR45+1)),'DADOS_FORMAS'!$HO45)))&amp;SUBSTITUTE('DADOS_FORMAS'!$HQ45,"em você","nela")))</f>
        <v/>
      </c>
      <c r="IC63">
        <f>IF(OR('DADOS_FORMAS'!$AH17="",'DADOS_FORMAS'!$HM45="",'DADOS_FORMAS'!$HO45=""),"",IF('DADOS_FORMAS'!$HO45="—","—",'DADOS_FORMAS'!$HP45&amp;IF('DADOS_FORMAS'!$HN45="alcance",INDEX('DADOS_FORMAS'!$GL$2:$GL$7,MIN(6,'DADOS_FORMAS'!$HR45+2)),IF('DADOS_FORMAS'!$HN45="raio",INDEX('DADOS_FORMAS'!$GN$2:$GN$6,MIN(5,'DADOS_FORMAS'!$HR45+2)),IF('DADOS_FORMAS'!$HN45="comprimento",INDEX('DADOS_FORMAS'!$GP$2:$GP$6,MIN(5,'DADOS_FORMAS'!$HR45+2)),'DADOS_FORMAS'!$HO45)))&amp;SUBSTITUTE('DADOS_FORMAS'!$HQ45,"em você","nela")))</f>
        <v/>
      </c>
      <c r="ID63">
        <f>IF(OR('DADOS_FORMAS'!$AH17="",'DADOS_FORMAS'!$HM45="",'DADOS_FORMAS'!$HO45=""),"",IF('DADOS_FORMAS'!$HO45="—","—",'DADOS_FORMAS'!$HP45&amp;IF('DADOS_FORMAS'!$HN45="alcance",INDEX('DADOS_FORMAS'!$GL$2:$GL$7,MIN(6,'DADOS_FORMAS'!$HR45+3)),IF('DADOS_FORMAS'!$HN45="raio",INDEX('DADOS_FORMAS'!$GN$2:$GN$6,MIN(5,'DADOS_FORMAS'!$HR45+3)),IF('DADOS_FORMAS'!$HN45="comprimento",INDEX('DADOS_FORMAS'!$GP$2:$GP$6,MIN(5,'DADOS_FORMAS'!$HR45+3)),'DADOS_FORMAS'!$HO45)))&amp;SUBSTITUTE('DADOS_FORMAS'!$HQ45,"em você","nela")))</f>
        <v/>
      </c>
      <c r="IE63">
        <f>IF(OR('DADOS_FORMAS'!$AH17="",'DADOS_FORMAS'!$HM45="",'DADOS_FORMAS'!$HO45=""),"",IF('DADOS_FORMAS'!$HO45="—","—",'DADOS_FORMAS'!$HP45&amp;IF('DADOS_FORMAS'!$HN45="alcance",INDEX('DADOS_FORMAS'!$GL$2:$GL$7,MIN(6,'DADOS_FORMAS'!$HR45+4)),IF('DADOS_FORMAS'!$HN45="raio",INDEX('DADOS_FORMAS'!$GN$2:$GN$6,MIN(5,'DADOS_FORMAS'!$HR45+4)),IF('DADOS_FORMAS'!$HN45="comprimento",INDEX('DADOS_FORMAS'!$GP$2:$GP$6,MIN(5,'DADOS_FORMAS'!$HR45+4)),'DADOS_FORMAS'!$HO45)))&amp;SUBSTITUTE('DADOS_FORMAS'!$HQ45,"em você","nela")))</f>
        <v/>
      </c>
      <c r="IF63">
        <f>IF(OR('DADOS_FORMAS'!$AH17="",'DADOS_FORMAS'!$HM45="",'DADOS_FORMAS'!$HO45=""),"",IF('DADOS_FORMAS'!$HO45="—","—",'DADOS_FORMAS'!$HP45&amp;IF('DADOS_FORMAS'!$HN45="alcance",INDEX('DADOS_FORMAS'!$GL$2:$GL$7,MIN(6,'DADOS_FORMAS'!$HR45+5)),IF('DADOS_FORMAS'!$HN45="raio",INDEX('DADOS_FORMAS'!$GN$2:$GN$6,MIN(5,'DADOS_FORMAS'!$HR45+5)),IF('DADOS_FORMAS'!$HN45="comprimento",INDEX('DADOS_FORMAS'!$GP$2:$GP$6,MIN(5,'DADOS_FORMAS'!$HR45+5)),'DADOS_FORMAS'!$HO45)))&amp;SUBSTITUTE('DADOS_FORMAS'!$HQ45,"em você","nela")))</f>
        <v/>
      </c>
    </row>
    <row r="64">
      <c r="HM64">
        <f>'DADOS_FORMAS'!$BL19</f>
        <v/>
      </c>
      <c r="HN64">
        <f>IF('DADOS_FORMAS'!$BL19="area",'DADOS_FORMAS'!$AU19,'DADOS_FORMAS'!$AT19)</f>
        <v/>
      </c>
      <c r="HO64">
        <f>IF('DADOS_FORMAS'!$BL19="area",'DADOS_FORMAS'!$BI19,'DADOS_FORMAS'!$BB19)</f>
        <v/>
      </c>
      <c r="HP64">
        <f>'DADOS_FORMAS'!$BM19</f>
        <v/>
      </c>
      <c r="HQ64">
        <f>'DADOS_FORMAS'!$BN19</f>
        <v/>
      </c>
      <c r="HR64">
        <f>LET(base,'DADOS_FORMAS'!$HO64,escada,'DADOS_FORMAS'!$HN64,medida,LEFT(base,MAX(0,LEN(base)-2)),valor,IFERROR(VALUE(SUBSTITUTE(medida,",",""))/10^IFERROR(LEN(medida)-FIND(",",medida),0),1E99),IF(OR(escada="Fixo",base="—"),base,IF(escada="alcance",IFERROR(MATCH(base,{"1,5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4">
        <f>'DADOS_FORMAS'!$AH17&amp;" · classe 6"</f>
        <v/>
      </c>
      <c r="HU64">
        <f>LET(trecho,IF(OR('DADOS_FORMAS'!$AH17="",'DADOS_FORMAS'!$HM46="",'DADOS_FORMAS'!$HO46=""),"",IF('DADOS_FORMAS'!$HO46="—","—",'DADOS_FORMAS'!$HP46&amp;'DADOS_FORMAS'!$HO46&amp;SUBSTITUTE('DADOS_FORMAS'!$HQ46,"em você","nela"))),UPPER(LEFT(trecho,1))&amp;MID(trecho,2,LEN(trecho)))</f>
        <v/>
      </c>
      <c r="HV64">
        <f>LET(trecho,IF(OR('DADOS_FORMAS'!$AH17="",'DADOS_FORMAS'!$HM46="",'DADOS_FORMAS'!$HO46=""),"",IF('DADOS_FORMAS'!$HO46="—","—",'DADOS_FORMAS'!$HP46&amp;IF('DADOS_FORMAS'!$HN46="alcance",INDEX('DADOS_FORMAS'!$GL$2:$GL$7,MIN(6,'DADOS_FORMAS'!$HR46+1)),IF('DADOS_FORMAS'!$HN46="raio",INDEX('DADOS_FORMAS'!$GN$2:$GN$6,MIN(5,'DADOS_FORMAS'!$HR46+1)),IF('DADOS_FORMAS'!$HN46="comprimento",INDEX('DADOS_FORMAS'!$GP$2:$GP$6,MIN(5,'DADOS_FORMAS'!$HR46+1)),'DADOS_FORMAS'!$HO46)))&amp;SUBSTITUTE('DADOS_FORMAS'!$HQ46,"em você","nela"))),UPPER(LEFT(trecho,1))&amp;MID(trecho,2,LEN(trecho)))</f>
        <v/>
      </c>
      <c r="HW64">
        <f>LET(trecho,IF(OR('DADOS_FORMAS'!$AH17="",'DADOS_FORMAS'!$HM46="",'DADOS_FORMAS'!$HO46=""),"",IF('DADOS_FORMAS'!$HO46="—","—",'DADOS_FORMAS'!$HP46&amp;IF('DADOS_FORMAS'!$HN46="alcance",INDEX('DADOS_FORMAS'!$GL$2:$GL$7,MIN(6,'DADOS_FORMAS'!$HR46+2)),IF('DADOS_FORMAS'!$HN46="raio",INDEX('DADOS_FORMAS'!$GN$2:$GN$6,MIN(5,'DADOS_FORMAS'!$HR46+2)),IF('DADOS_FORMAS'!$HN46="comprimento",INDEX('DADOS_FORMAS'!$GP$2:$GP$6,MIN(5,'DADOS_FORMAS'!$HR46+2)),'DADOS_FORMAS'!$HO46)))&amp;SUBSTITUTE('DADOS_FORMAS'!$HQ46,"em você","nela"))),UPPER(LEFT(trecho,1))&amp;MID(trecho,2,LEN(trecho)))</f>
        <v/>
      </c>
      <c r="HX64">
        <f>LET(trecho,IF(OR('DADOS_FORMAS'!$AH17="",'DADOS_FORMAS'!$HM46="",'DADOS_FORMAS'!$HO46=""),"",IF('DADOS_FORMAS'!$HO46="—","—",'DADOS_FORMAS'!$HP46&amp;IF('DADOS_FORMAS'!$HN46="alcance",INDEX('DADOS_FORMAS'!$GL$2:$GL$7,MIN(6,'DADOS_FORMAS'!$HR46+3)),IF('DADOS_FORMAS'!$HN46="raio",INDEX('DADOS_FORMAS'!$GN$2:$GN$6,MIN(5,'DADOS_FORMAS'!$HR46+3)),IF('DADOS_FORMAS'!$HN46="comprimento",INDEX('DADOS_FORMAS'!$GP$2:$GP$6,MIN(5,'DADOS_FORMAS'!$HR46+3)),'DADOS_FORMAS'!$HO46)))&amp;SUBSTITUTE('DADOS_FORMAS'!$HQ46,"em você","nela"))),UPPER(LEFT(trecho,1))&amp;MID(trecho,2,LEN(trecho)))</f>
        <v/>
      </c>
      <c r="HY64">
        <f>LET(trecho,IF(OR('DADOS_FORMAS'!$AH17="",'DADOS_FORMAS'!$HM46="",'DADOS_FORMAS'!$HO46=""),"",IF('DADOS_FORMAS'!$HO46="—","—",'DADOS_FORMAS'!$HP46&amp;IF('DADOS_FORMAS'!$HN46="alcance",INDEX('DADOS_FORMAS'!$GL$2:$GL$7,MIN(6,'DADOS_FORMAS'!$HR46+4)),IF('DADOS_FORMAS'!$HN46="raio",INDEX('DADOS_FORMAS'!$GN$2:$GN$6,MIN(5,'DADOS_FORMAS'!$HR46+4)),IF('DADOS_FORMAS'!$HN46="comprimento",INDEX('DADOS_FORMAS'!$GP$2:$GP$6,MIN(5,'DADOS_FORMAS'!$HR46+4)),'DADOS_FORMAS'!$HO46)))&amp;SUBSTITUTE('DADOS_FORMAS'!$HQ46,"em você","nela"))),UPPER(LEFT(trecho,1))&amp;MID(trecho,2,LEN(trecho)))</f>
        <v/>
      </c>
      <c r="HZ64">
        <f>LET(trecho,IF(OR('DADOS_FORMAS'!$AH17="",'DADOS_FORMAS'!$HM46="",'DADOS_FORMAS'!$HO46=""),"",IF('DADOS_FORMAS'!$HO46="—","—",'DADOS_FORMAS'!$HP46&amp;IF('DADOS_FORMAS'!$HN46="alcance",INDEX('DADOS_FORMAS'!$GL$2:$GL$7,MIN(6,'DADOS_FORMAS'!$HR46+5)),IF('DADOS_FORMAS'!$HN46="raio",INDEX('DADOS_FORMAS'!$GN$2:$GN$6,MIN(5,'DADOS_FORMAS'!$HR46+5)),IF('DADOS_FORMAS'!$HN46="comprimento",INDEX('DADOS_FORMAS'!$GP$2:$GP$6,MIN(5,'DADOS_FORMAS'!$HR46+5)),'DADOS_FORMAS'!$HO46)))&amp;SUBSTITUTE('DADOS_FORMAS'!$HQ46,"em você","nela"))),UPPER(LEFT(trecho,1))&amp;MID(trecho,2,LEN(trecho)))</f>
        <v/>
      </c>
      <c r="IA64">
        <f>IF(OR('DADOS_FORMAS'!$AH17="",'DADOS_FORMAS'!$HM47="",'DADOS_FORMAS'!$HO47=""),"",IF('DADOS_FORMAS'!$HO47="—","—",'DADOS_FORMAS'!$HP47&amp;'DADOS_FORMAS'!$HO47&amp;SUBSTITUTE('DADOS_FORMAS'!$HQ47,"em você","nela")))</f>
        <v/>
      </c>
      <c r="IB64">
        <f>IF(OR('DADOS_FORMAS'!$AH17="",'DADOS_FORMAS'!$HM47="",'DADOS_FORMAS'!$HO47=""),"",IF('DADOS_FORMAS'!$HO47="—","—",'DADOS_FORMAS'!$HP47&amp;IF('DADOS_FORMAS'!$HN47="alcance",INDEX('DADOS_FORMAS'!$GL$2:$GL$7,MIN(6,'DADOS_FORMAS'!$HR47+1)),IF('DADOS_FORMAS'!$HN47="raio",INDEX('DADOS_FORMAS'!$GN$2:$GN$6,MIN(5,'DADOS_FORMAS'!$HR47+1)),IF('DADOS_FORMAS'!$HN47="comprimento",INDEX('DADOS_FORMAS'!$GP$2:$GP$6,MIN(5,'DADOS_FORMAS'!$HR47+1)),'DADOS_FORMAS'!$HO47)))&amp;SUBSTITUTE('DADOS_FORMAS'!$HQ47,"em você","nela")))</f>
        <v/>
      </c>
      <c r="IC64">
        <f>IF(OR('DADOS_FORMAS'!$AH17="",'DADOS_FORMAS'!$HM47="",'DADOS_FORMAS'!$HO47=""),"",IF('DADOS_FORMAS'!$HO47="—","—",'DADOS_FORMAS'!$HP47&amp;IF('DADOS_FORMAS'!$HN47="alcance",INDEX('DADOS_FORMAS'!$GL$2:$GL$7,MIN(6,'DADOS_FORMAS'!$HR47+2)),IF('DADOS_FORMAS'!$HN47="raio",INDEX('DADOS_FORMAS'!$GN$2:$GN$6,MIN(5,'DADOS_FORMAS'!$HR47+2)),IF('DADOS_FORMAS'!$HN47="comprimento",INDEX('DADOS_FORMAS'!$GP$2:$GP$6,MIN(5,'DADOS_FORMAS'!$HR47+2)),'DADOS_FORMAS'!$HO47)))&amp;SUBSTITUTE('DADOS_FORMAS'!$HQ47,"em você","nela")))</f>
        <v/>
      </c>
      <c r="ID64">
        <f>IF(OR('DADOS_FORMAS'!$AH17="",'DADOS_FORMAS'!$HM47="",'DADOS_FORMAS'!$HO47=""),"",IF('DADOS_FORMAS'!$HO47="—","—",'DADOS_FORMAS'!$HP47&amp;IF('DADOS_FORMAS'!$HN47="alcance",INDEX('DADOS_FORMAS'!$GL$2:$GL$7,MIN(6,'DADOS_FORMAS'!$HR47+3)),IF('DADOS_FORMAS'!$HN47="raio",INDEX('DADOS_FORMAS'!$GN$2:$GN$6,MIN(5,'DADOS_FORMAS'!$HR47+3)),IF('DADOS_FORMAS'!$HN47="comprimento",INDEX('DADOS_FORMAS'!$GP$2:$GP$6,MIN(5,'DADOS_FORMAS'!$HR47+3)),'DADOS_FORMAS'!$HO47)))&amp;SUBSTITUTE('DADOS_FORMAS'!$HQ47,"em você","nela")))</f>
        <v/>
      </c>
      <c r="IE64">
        <f>IF(OR('DADOS_FORMAS'!$AH17="",'DADOS_FORMAS'!$HM47="",'DADOS_FORMAS'!$HO47=""),"",IF('DADOS_FORMAS'!$HO47="—","—",'DADOS_FORMAS'!$HP47&amp;IF('DADOS_FORMAS'!$HN47="alcance",INDEX('DADOS_FORMAS'!$GL$2:$GL$7,MIN(6,'DADOS_FORMAS'!$HR47+4)),IF('DADOS_FORMAS'!$HN47="raio",INDEX('DADOS_FORMAS'!$GN$2:$GN$6,MIN(5,'DADOS_FORMAS'!$HR47+4)),IF('DADOS_FORMAS'!$HN47="comprimento",INDEX('DADOS_FORMAS'!$GP$2:$GP$6,MIN(5,'DADOS_FORMAS'!$HR47+4)),'DADOS_FORMAS'!$HO47)))&amp;SUBSTITUTE('DADOS_FORMAS'!$HQ47,"em você","nela")))</f>
        <v/>
      </c>
      <c r="IF64">
        <f>IF(OR('DADOS_FORMAS'!$AH17="",'DADOS_FORMAS'!$HM47="",'DADOS_FORMAS'!$HO47=""),"",IF('DADOS_FORMAS'!$HO47="—","—",'DADOS_FORMAS'!$HP47&amp;IF('DADOS_FORMAS'!$HN47="alcance",INDEX('DADOS_FORMAS'!$GL$2:$GL$7,MIN(6,'DADOS_FORMAS'!$HR47+5)),IF('DADOS_FORMAS'!$HN47="raio",INDEX('DADOS_FORMAS'!$GN$2:$GN$6,MIN(5,'DADOS_FORMAS'!$HR47+5)),IF('DADOS_FORMAS'!$HN47="comprimento",INDEX('DADOS_FORMAS'!$GP$2:$GP$6,MIN(5,'DADOS_FORMAS'!$HR47+5)),'DADOS_FORMAS'!$HO47)))&amp;SUBSTITUTE('DADOS_FORMAS'!$HQ47,"em você","nela")))</f>
        <v/>
      </c>
    </row>
    <row r="65">
      <c r="HM65">
        <f>'DADOS_FORMAS'!$BP19</f>
        <v/>
      </c>
      <c r="HN65">
        <f>IF('DADOS_FORMAS'!$BP19="area",'DADOS_FORMAS'!$AU19,'DADOS_FORMAS'!$AT19)</f>
        <v/>
      </c>
      <c r="HO65">
        <f>IF('DADOS_FORMAS'!$BP19="area",'DADOS_FORMAS'!$BI19,'DADOS_FORMAS'!$BB19)</f>
        <v/>
      </c>
      <c r="HP65">
        <f>'DADOS_FORMAS'!$BQ19</f>
        <v/>
      </c>
      <c r="HQ65">
        <f>'DADOS_FORMAS'!$BR19</f>
        <v/>
      </c>
      <c r="HR65">
        <f>LET(base,'DADOS_FORMAS'!$HO65,escada,'DADOS_FORMAS'!$HN65,medida,LEFT(base,MAX(0,LEN(base)-2)),valor,IFERROR(VALUE(SUBSTITUTE(medida,",",""))/10^IFERROR(LEN(medida)-FIND(",",medida),0),1E99),IF(OR(escada="Fixo",base="—"),base,IF(escada="alcance",IFERROR(MATCH(base,{"1,5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5">
        <f>'DADOS_FORMAS'!$AH17&amp;" · classe 7"</f>
        <v/>
      </c>
      <c r="HU65">
        <f>LET(trecho,IF(OR('DADOS_FORMAS'!$AH17="",'DADOS_FORMAS'!$HM48="",'DADOS_FORMAS'!$HO48=""),"",IF('DADOS_FORMAS'!$HO48="—","—",'DADOS_FORMAS'!$HP48&amp;'DADOS_FORMAS'!$HO48&amp;SUBSTITUTE('DADOS_FORMAS'!$HQ48,"em você","nela"))),UPPER(LEFT(trecho,1))&amp;MID(trecho,2,LEN(trecho)))</f>
        <v/>
      </c>
      <c r="HV65">
        <f>LET(trecho,IF(OR('DADOS_FORMAS'!$AH17="",'DADOS_FORMAS'!$HM48="",'DADOS_FORMAS'!$HO48=""),"",IF('DADOS_FORMAS'!$HO48="—","—",'DADOS_FORMAS'!$HP48&amp;IF('DADOS_FORMAS'!$HN48="alcance",INDEX('DADOS_FORMAS'!$GL$2:$GL$7,MIN(6,'DADOS_FORMAS'!$HR48+1)),IF('DADOS_FORMAS'!$HN48="raio",INDEX('DADOS_FORMAS'!$GN$2:$GN$6,MIN(5,'DADOS_FORMAS'!$HR48+1)),IF('DADOS_FORMAS'!$HN48="comprimento",INDEX('DADOS_FORMAS'!$GP$2:$GP$6,MIN(5,'DADOS_FORMAS'!$HR48+1)),'DADOS_FORMAS'!$HO48)))&amp;SUBSTITUTE('DADOS_FORMAS'!$HQ48,"em você","nela"))),UPPER(LEFT(trecho,1))&amp;MID(trecho,2,LEN(trecho)))</f>
        <v/>
      </c>
      <c r="HW65">
        <f>LET(trecho,IF(OR('DADOS_FORMAS'!$AH17="",'DADOS_FORMAS'!$HM48="",'DADOS_FORMAS'!$HO48=""),"",IF('DADOS_FORMAS'!$HO48="—","—",'DADOS_FORMAS'!$HP48&amp;IF('DADOS_FORMAS'!$HN48="alcance",INDEX('DADOS_FORMAS'!$GL$2:$GL$7,MIN(6,'DADOS_FORMAS'!$HR48+2)),IF('DADOS_FORMAS'!$HN48="raio",INDEX('DADOS_FORMAS'!$GN$2:$GN$6,MIN(5,'DADOS_FORMAS'!$HR48+2)),IF('DADOS_FORMAS'!$HN48="comprimento",INDEX('DADOS_FORMAS'!$GP$2:$GP$6,MIN(5,'DADOS_FORMAS'!$HR48+2)),'DADOS_FORMAS'!$HO48)))&amp;SUBSTITUTE('DADOS_FORMAS'!$HQ48,"em você","nela"))),UPPER(LEFT(trecho,1))&amp;MID(trecho,2,LEN(trecho)))</f>
        <v/>
      </c>
      <c r="HX65">
        <f>LET(trecho,IF(OR('DADOS_FORMAS'!$AH17="",'DADOS_FORMAS'!$HM48="",'DADOS_FORMAS'!$HO48=""),"",IF('DADOS_FORMAS'!$HO48="—","—",'DADOS_FORMAS'!$HP48&amp;IF('DADOS_FORMAS'!$HN48="alcance",INDEX('DADOS_FORMAS'!$GL$2:$GL$7,MIN(6,'DADOS_FORMAS'!$HR48+3)),IF('DADOS_FORMAS'!$HN48="raio",INDEX('DADOS_FORMAS'!$GN$2:$GN$6,MIN(5,'DADOS_FORMAS'!$HR48+3)),IF('DADOS_FORMAS'!$HN48="comprimento",INDEX('DADOS_FORMAS'!$GP$2:$GP$6,MIN(5,'DADOS_FORMAS'!$HR48+3)),'DADOS_FORMAS'!$HO48)))&amp;SUBSTITUTE('DADOS_FORMAS'!$HQ48,"em você","nela"))),UPPER(LEFT(trecho,1))&amp;MID(trecho,2,LEN(trecho)))</f>
        <v/>
      </c>
      <c r="HY65">
        <f>LET(trecho,IF(OR('DADOS_FORMAS'!$AH17="",'DADOS_FORMAS'!$HM48="",'DADOS_FORMAS'!$HO48=""),"",IF('DADOS_FORMAS'!$HO48="—","—",'DADOS_FORMAS'!$HP48&amp;IF('DADOS_FORMAS'!$HN48="alcance",INDEX('DADOS_FORMAS'!$GL$2:$GL$7,MIN(6,'DADOS_FORMAS'!$HR48+4)),IF('DADOS_FORMAS'!$HN48="raio",INDEX('DADOS_FORMAS'!$GN$2:$GN$6,MIN(5,'DADOS_FORMAS'!$HR48+4)),IF('DADOS_FORMAS'!$HN48="comprimento",INDEX('DADOS_FORMAS'!$GP$2:$GP$6,MIN(5,'DADOS_FORMAS'!$HR48+4)),'DADOS_FORMAS'!$HO48)))&amp;SUBSTITUTE('DADOS_FORMAS'!$HQ48,"em você","nela"))),UPPER(LEFT(trecho,1))&amp;MID(trecho,2,LEN(trecho)))</f>
        <v/>
      </c>
      <c r="HZ65">
        <f>LET(trecho,IF(OR('DADOS_FORMAS'!$AH17="",'DADOS_FORMAS'!$HM48="",'DADOS_FORMAS'!$HO48=""),"",IF('DADOS_FORMAS'!$HO48="—","—",'DADOS_FORMAS'!$HP48&amp;IF('DADOS_FORMAS'!$HN48="alcance",INDEX('DADOS_FORMAS'!$GL$2:$GL$7,MIN(6,'DADOS_FORMAS'!$HR48+5)),IF('DADOS_FORMAS'!$HN48="raio",INDEX('DADOS_FORMAS'!$GN$2:$GN$6,MIN(5,'DADOS_FORMAS'!$HR48+5)),IF('DADOS_FORMAS'!$HN48="comprimento",INDEX('DADOS_FORMAS'!$GP$2:$GP$6,MIN(5,'DADOS_FORMAS'!$HR48+5)),'DADOS_FORMAS'!$HO48)))&amp;SUBSTITUTE('DADOS_FORMAS'!$HQ48,"em você","nela"))),UPPER(LEFT(trecho,1))&amp;MID(trecho,2,LEN(trecho)))</f>
        <v/>
      </c>
      <c r="IA65">
        <f>IF(OR('DADOS_FORMAS'!$AH17="",'DADOS_FORMAS'!$HM49="",'DADOS_FORMAS'!$HO49=""),"",IF('DADOS_FORMAS'!$HO49="—","—",'DADOS_FORMAS'!$HP49&amp;'DADOS_FORMAS'!$HO49&amp;SUBSTITUTE('DADOS_FORMAS'!$HQ49,"em você","nela")))</f>
        <v/>
      </c>
      <c r="IB65">
        <f>IF(OR('DADOS_FORMAS'!$AH17="",'DADOS_FORMAS'!$HM49="",'DADOS_FORMAS'!$HO49=""),"",IF('DADOS_FORMAS'!$HO49="—","—",'DADOS_FORMAS'!$HP49&amp;IF('DADOS_FORMAS'!$HN49="alcance",INDEX('DADOS_FORMAS'!$GL$2:$GL$7,MIN(6,'DADOS_FORMAS'!$HR49+1)),IF('DADOS_FORMAS'!$HN49="raio",INDEX('DADOS_FORMAS'!$GN$2:$GN$6,MIN(5,'DADOS_FORMAS'!$HR49+1)),IF('DADOS_FORMAS'!$HN49="comprimento",INDEX('DADOS_FORMAS'!$GP$2:$GP$6,MIN(5,'DADOS_FORMAS'!$HR49+1)),'DADOS_FORMAS'!$HO49)))&amp;SUBSTITUTE('DADOS_FORMAS'!$HQ49,"em você","nela")))</f>
        <v/>
      </c>
      <c r="IC65">
        <f>IF(OR('DADOS_FORMAS'!$AH17="",'DADOS_FORMAS'!$HM49="",'DADOS_FORMAS'!$HO49=""),"",IF('DADOS_FORMAS'!$HO49="—","—",'DADOS_FORMAS'!$HP49&amp;IF('DADOS_FORMAS'!$HN49="alcance",INDEX('DADOS_FORMAS'!$GL$2:$GL$7,MIN(6,'DADOS_FORMAS'!$HR49+2)),IF('DADOS_FORMAS'!$HN49="raio",INDEX('DADOS_FORMAS'!$GN$2:$GN$6,MIN(5,'DADOS_FORMAS'!$HR49+2)),IF('DADOS_FORMAS'!$HN49="comprimento",INDEX('DADOS_FORMAS'!$GP$2:$GP$6,MIN(5,'DADOS_FORMAS'!$HR49+2)),'DADOS_FORMAS'!$HO49)))&amp;SUBSTITUTE('DADOS_FORMAS'!$HQ49,"em você","nela")))</f>
        <v/>
      </c>
      <c r="ID65">
        <f>IF(OR('DADOS_FORMAS'!$AH17="",'DADOS_FORMAS'!$HM49="",'DADOS_FORMAS'!$HO49=""),"",IF('DADOS_FORMAS'!$HO49="—","—",'DADOS_FORMAS'!$HP49&amp;IF('DADOS_FORMAS'!$HN49="alcance",INDEX('DADOS_FORMAS'!$GL$2:$GL$7,MIN(6,'DADOS_FORMAS'!$HR49+3)),IF('DADOS_FORMAS'!$HN49="raio",INDEX('DADOS_FORMAS'!$GN$2:$GN$6,MIN(5,'DADOS_FORMAS'!$HR49+3)),IF('DADOS_FORMAS'!$HN49="comprimento",INDEX('DADOS_FORMAS'!$GP$2:$GP$6,MIN(5,'DADOS_FORMAS'!$HR49+3)),'DADOS_FORMAS'!$HO49)))&amp;SUBSTITUTE('DADOS_FORMAS'!$HQ49,"em você","nela")))</f>
        <v/>
      </c>
      <c r="IE65">
        <f>IF(OR('DADOS_FORMAS'!$AH17="",'DADOS_FORMAS'!$HM49="",'DADOS_FORMAS'!$HO49=""),"",IF('DADOS_FORMAS'!$HO49="—","—",'DADOS_FORMAS'!$HP49&amp;IF('DADOS_FORMAS'!$HN49="alcance",INDEX('DADOS_FORMAS'!$GL$2:$GL$7,MIN(6,'DADOS_FORMAS'!$HR49+4)),IF('DADOS_FORMAS'!$HN49="raio",INDEX('DADOS_FORMAS'!$GN$2:$GN$6,MIN(5,'DADOS_FORMAS'!$HR49+4)),IF('DADOS_FORMAS'!$HN49="comprimento",INDEX('DADOS_FORMAS'!$GP$2:$GP$6,MIN(5,'DADOS_FORMAS'!$HR49+4)),'DADOS_FORMAS'!$HO49)))&amp;SUBSTITUTE('DADOS_FORMAS'!$HQ49,"em você","nela")))</f>
        <v/>
      </c>
      <c r="IF65">
        <f>IF(OR('DADOS_FORMAS'!$AH17="",'DADOS_FORMAS'!$HM49="",'DADOS_FORMAS'!$HO49=""),"",IF('DADOS_FORMAS'!$HO49="—","—",'DADOS_FORMAS'!$HP49&amp;IF('DADOS_FORMAS'!$HN49="alcance",INDEX('DADOS_FORMAS'!$GL$2:$GL$7,MIN(6,'DADOS_FORMAS'!$HR49+5)),IF('DADOS_FORMAS'!$HN49="raio",INDEX('DADOS_FORMAS'!$GN$2:$GN$6,MIN(5,'DADOS_FORMAS'!$HR49+5)),IF('DADOS_FORMAS'!$HN49="comprimento",INDEX('DADOS_FORMAS'!$GP$2:$GP$6,MIN(5,'DADOS_FORMAS'!$HR49+5)),'DADOS_FORMAS'!$HO49)))&amp;SUBSTITUTE('DADOS_FORMAS'!$HQ49,"em você","nela")))</f>
        <v/>
      </c>
    </row>
    <row r="66">
      <c r="HM66">
        <f>'DADOS_FORMAS'!$BL20</f>
        <v/>
      </c>
      <c r="HN66">
        <f>IF('DADOS_FORMAS'!$BL20="area",'DADOS_FORMAS'!$AU20,'DADOS_FORMAS'!$AT20)</f>
        <v/>
      </c>
      <c r="HO66">
        <f>IF('DADOS_FORMAS'!$BL20="area",'DADOS_FORMAS'!$BF20,'DADOS_FORMAS'!$AY20)</f>
        <v/>
      </c>
      <c r="HP66">
        <f>'DADOS_FORMAS'!$BM20</f>
        <v/>
      </c>
      <c r="HQ66">
        <f>'DADOS_FORMAS'!$BN20</f>
        <v/>
      </c>
      <c r="HR66">
        <f>LET(base,'DADOS_FORMAS'!$HO66,escada,'DADOS_FORMAS'!$HN66,medida,LEFT(base,MAX(0,LEN(base)-2)),valor,IFERROR(VALUE(SUBSTITUTE(medida,",",""))/10^IFERROR(LEN(medida)-FIND(",",medida),0),1E99),IF(OR(escada="Fixo",base="—"),base,IF(escada="alcance",IFERROR(MATCH(base,{"1,5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6">
        <f>'DADOS_FORMAS'!$AH18&amp;" · classe 0"</f>
        <v/>
      </c>
      <c r="HU66">
        <f>LET(trecho,IF(OR('DADOS_FORMAS'!$AH18="",'DADOS_FORMAS'!$HM50="",'DADOS_FORMAS'!$HO50=""),"",IF('DADOS_FORMAS'!$HO50="—","—",'DADOS_FORMAS'!$HP50&amp;'DADOS_FORMAS'!$HO50&amp;SUBSTITUTE('DADOS_FORMAS'!$HQ50,"em você","nela"))),UPPER(LEFT(trecho,1))&amp;MID(trecho,2,LEN(trecho)))</f>
        <v/>
      </c>
      <c r="HV66">
        <f>LET(trecho,IF(OR('DADOS_FORMAS'!$AH18="",'DADOS_FORMAS'!$HM50="",'DADOS_FORMAS'!$HO50=""),"",IF('DADOS_FORMAS'!$HO50="—","—",'DADOS_FORMAS'!$HP50&amp;IF('DADOS_FORMAS'!$HN50="alcance",INDEX('DADOS_FORMAS'!$GL$2:$GL$7,MIN(6,'DADOS_FORMAS'!$HR50+1)),IF('DADOS_FORMAS'!$HN50="raio",INDEX('DADOS_FORMAS'!$GN$2:$GN$6,MIN(5,'DADOS_FORMAS'!$HR50+1)),IF('DADOS_FORMAS'!$HN50="comprimento",INDEX('DADOS_FORMAS'!$GP$2:$GP$6,MIN(5,'DADOS_FORMAS'!$HR50+1)),'DADOS_FORMAS'!$HO50)))&amp;SUBSTITUTE('DADOS_FORMAS'!$HQ50,"em você","nela"))),UPPER(LEFT(trecho,1))&amp;MID(trecho,2,LEN(trecho)))</f>
        <v/>
      </c>
      <c r="HW66">
        <f>LET(trecho,IF(OR('DADOS_FORMAS'!$AH18="",'DADOS_FORMAS'!$HM50="",'DADOS_FORMAS'!$HO50=""),"",IF('DADOS_FORMAS'!$HO50="—","—",'DADOS_FORMAS'!$HP50&amp;IF('DADOS_FORMAS'!$HN50="alcance",INDEX('DADOS_FORMAS'!$GL$2:$GL$7,MIN(6,'DADOS_FORMAS'!$HR50+2)),IF('DADOS_FORMAS'!$HN50="raio",INDEX('DADOS_FORMAS'!$GN$2:$GN$6,MIN(5,'DADOS_FORMAS'!$HR50+2)),IF('DADOS_FORMAS'!$HN50="comprimento",INDEX('DADOS_FORMAS'!$GP$2:$GP$6,MIN(5,'DADOS_FORMAS'!$HR50+2)),'DADOS_FORMAS'!$HO50)))&amp;SUBSTITUTE('DADOS_FORMAS'!$HQ50,"em você","nela"))),UPPER(LEFT(trecho,1))&amp;MID(trecho,2,LEN(trecho)))</f>
        <v/>
      </c>
      <c r="HX66">
        <f>LET(trecho,IF(OR('DADOS_FORMAS'!$AH18="",'DADOS_FORMAS'!$HM50="",'DADOS_FORMAS'!$HO50=""),"",IF('DADOS_FORMAS'!$HO50="—","—",'DADOS_FORMAS'!$HP50&amp;IF('DADOS_FORMAS'!$HN50="alcance",INDEX('DADOS_FORMAS'!$GL$2:$GL$7,MIN(6,'DADOS_FORMAS'!$HR50+3)),IF('DADOS_FORMAS'!$HN50="raio",INDEX('DADOS_FORMAS'!$GN$2:$GN$6,MIN(5,'DADOS_FORMAS'!$HR50+3)),IF('DADOS_FORMAS'!$HN50="comprimento",INDEX('DADOS_FORMAS'!$GP$2:$GP$6,MIN(5,'DADOS_FORMAS'!$HR50+3)),'DADOS_FORMAS'!$HO50)))&amp;SUBSTITUTE('DADOS_FORMAS'!$HQ50,"em você","nela"))),UPPER(LEFT(trecho,1))&amp;MID(trecho,2,LEN(trecho)))</f>
        <v/>
      </c>
      <c r="HY66">
        <f>LET(trecho,IF(OR('DADOS_FORMAS'!$AH18="",'DADOS_FORMAS'!$HM50="",'DADOS_FORMAS'!$HO50=""),"",IF('DADOS_FORMAS'!$HO50="—","—",'DADOS_FORMAS'!$HP50&amp;IF('DADOS_FORMAS'!$HN50="alcance",INDEX('DADOS_FORMAS'!$GL$2:$GL$7,MIN(6,'DADOS_FORMAS'!$HR50+4)),IF('DADOS_FORMAS'!$HN50="raio",INDEX('DADOS_FORMAS'!$GN$2:$GN$6,MIN(5,'DADOS_FORMAS'!$HR50+4)),IF('DADOS_FORMAS'!$HN50="comprimento",INDEX('DADOS_FORMAS'!$GP$2:$GP$6,MIN(5,'DADOS_FORMAS'!$HR50+4)),'DADOS_FORMAS'!$HO50)))&amp;SUBSTITUTE('DADOS_FORMAS'!$HQ50,"em você","nela"))),UPPER(LEFT(trecho,1))&amp;MID(trecho,2,LEN(trecho)))</f>
        <v/>
      </c>
      <c r="HZ66">
        <f>LET(trecho,IF(OR('DADOS_FORMAS'!$AH18="",'DADOS_FORMAS'!$HM50="",'DADOS_FORMAS'!$HO50=""),"",IF('DADOS_FORMAS'!$HO50="—","—",'DADOS_FORMAS'!$HP50&amp;IF('DADOS_FORMAS'!$HN50="alcance",INDEX('DADOS_FORMAS'!$GL$2:$GL$7,MIN(6,'DADOS_FORMAS'!$HR50+5)),IF('DADOS_FORMAS'!$HN50="raio",INDEX('DADOS_FORMAS'!$GN$2:$GN$6,MIN(5,'DADOS_FORMAS'!$HR50+5)),IF('DADOS_FORMAS'!$HN50="comprimento",INDEX('DADOS_FORMAS'!$GP$2:$GP$6,MIN(5,'DADOS_FORMAS'!$HR50+5)),'DADOS_FORMAS'!$HO50)))&amp;SUBSTITUTE('DADOS_FORMAS'!$HQ50,"em você","nela"))),UPPER(LEFT(trecho,1))&amp;MID(trecho,2,LEN(trecho)))</f>
        <v/>
      </c>
      <c r="IA66">
        <f>IF(OR('DADOS_FORMAS'!$AH18="",'DADOS_FORMAS'!$HM51="",'DADOS_FORMAS'!$HO51=""),"",IF('DADOS_FORMAS'!$HO51="—","—",'DADOS_FORMAS'!$HP51&amp;'DADOS_FORMAS'!$HO51&amp;SUBSTITUTE('DADOS_FORMAS'!$HQ51,"em você","nela")))</f>
        <v/>
      </c>
      <c r="IB66">
        <f>IF(OR('DADOS_FORMAS'!$AH18="",'DADOS_FORMAS'!$HM51="",'DADOS_FORMAS'!$HO51=""),"",IF('DADOS_FORMAS'!$HO51="—","—",'DADOS_FORMAS'!$HP51&amp;IF('DADOS_FORMAS'!$HN51="alcance",INDEX('DADOS_FORMAS'!$GL$2:$GL$7,MIN(6,'DADOS_FORMAS'!$HR51+1)),IF('DADOS_FORMAS'!$HN51="raio",INDEX('DADOS_FORMAS'!$GN$2:$GN$6,MIN(5,'DADOS_FORMAS'!$HR51+1)),IF('DADOS_FORMAS'!$HN51="comprimento",INDEX('DADOS_FORMAS'!$GP$2:$GP$6,MIN(5,'DADOS_FORMAS'!$HR51+1)),'DADOS_FORMAS'!$HO51)))&amp;SUBSTITUTE('DADOS_FORMAS'!$HQ51,"em você","nela")))</f>
        <v/>
      </c>
      <c r="IC66">
        <f>IF(OR('DADOS_FORMAS'!$AH18="",'DADOS_FORMAS'!$HM51="",'DADOS_FORMAS'!$HO51=""),"",IF('DADOS_FORMAS'!$HO51="—","—",'DADOS_FORMAS'!$HP51&amp;IF('DADOS_FORMAS'!$HN51="alcance",INDEX('DADOS_FORMAS'!$GL$2:$GL$7,MIN(6,'DADOS_FORMAS'!$HR51+2)),IF('DADOS_FORMAS'!$HN51="raio",INDEX('DADOS_FORMAS'!$GN$2:$GN$6,MIN(5,'DADOS_FORMAS'!$HR51+2)),IF('DADOS_FORMAS'!$HN51="comprimento",INDEX('DADOS_FORMAS'!$GP$2:$GP$6,MIN(5,'DADOS_FORMAS'!$HR51+2)),'DADOS_FORMAS'!$HO51)))&amp;SUBSTITUTE('DADOS_FORMAS'!$HQ51,"em você","nela")))</f>
        <v/>
      </c>
      <c r="ID66">
        <f>IF(OR('DADOS_FORMAS'!$AH18="",'DADOS_FORMAS'!$HM51="",'DADOS_FORMAS'!$HO51=""),"",IF('DADOS_FORMAS'!$HO51="—","—",'DADOS_FORMAS'!$HP51&amp;IF('DADOS_FORMAS'!$HN51="alcance",INDEX('DADOS_FORMAS'!$GL$2:$GL$7,MIN(6,'DADOS_FORMAS'!$HR51+3)),IF('DADOS_FORMAS'!$HN51="raio",INDEX('DADOS_FORMAS'!$GN$2:$GN$6,MIN(5,'DADOS_FORMAS'!$HR51+3)),IF('DADOS_FORMAS'!$HN51="comprimento",INDEX('DADOS_FORMAS'!$GP$2:$GP$6,MIN(5,'DADOS_FORMAS'!$HR51+3)),'DADOS_FORMAS'!$HO51)))&amp;SUBSTITUTE('DADOS_FORMAS'!$HQ51,"em você","nela")))</f>
        <v/>
      </c>
      <c r="IE66">
        <f>IF(OR('DADOS_FORMAS'!$AH18="",'DADOS_FORMAS'!$HM51="",'DADOS_FORMAS'!$HO51=""),"",IF('DADOS_FORMAS'!$HO51="—","—",'DADOS_FORMAS'!$HP51&amp;IF('DADOS_FORMAS'!$HN51="alcance",INDEX('DADOS_FORMAS'!$GL$2:$GL$7,MIN(6,'DADOS_FORMAS'!$HR51+4)),IF('DADOS_FORMAS'!$HN51="raio",INDEX('DADOS_FORMAS'!$GN$2:$GN$6,MIN(5,'DADOS_FORMAS'!$HR51+4)),IF('DADOS_FORMAS'!$HN51="comprimento",INDEX('DADOS_FORMAS'!$GP$2:$GP$6,MIN(5,'DADOS_FORMAS'!$HR51+4)),'DADOS_FORMAS'!$HO51)))&amp;SUBSTITUTE('DADOS_FORMAS'!$HQ51,"em você","nela")))</f>
        <v/>
      </c>
      <c r="IF66">
        <f>IF(OR('DADOS_FORMAS'!$AH18="",'DADOS_FORMAS'!$HM51="",'DADOS_FORMAS'!$HO51=""),"",IF('DADOS_FORMAS'!$HO51="—","—",'DADOS_FORMAS'!$HP51&amp;IF('DADOS_FORMAS'!$HN51="alcance",INDEX('DADOS_FORMAS'!$GL$2:$GL$7,MIN(6,'DADOS_FORMAS'!$HR51+5)),IF('DADOS_FORMAS'!$HN51="raio",INDEX('DADOS_FORMAS'!$GN$2:$GN$6,MIN(5,'DADOS_FORMAS'!$HR51+5)),IF('DADOS_FORMAS'!$HN51="comprimento",INDEX('DADOS_FORMAS'!$GP$2:$GP$6,MIN(5,'DADOS_FORMAS'!$HR51+5)),'DADOS_FORMAS'!$HO51)))&amp;SUBSTITUTE('DADOS_FORMAS'!$HQ51,"em você","nela")))</f>
        <v/>
      </c>
    </row>
    <row r="67">
      <c r="HM67">
        <f>'DADOS_FORMAS'!$BP20</f>
        <v/>
      </c>
      <c r="HN67">
        <f>IF('DADOS_FORMAS'!$BP20="area",'DADOS_FORMAS'!$AU20,'DADOS_FORMAS'!$AT20)</f>
        <v/>
      </c>
      <c r="HO67">
        <f>IF('DADOS_FORMAS'!$BP20="area",'DADOS_FORMAS'!$BF20,'DADOS_FORMAS'!$AY20)</f>
        <v/>
      </c>
      <c r="HP67">
        <f>'DADOS_FORMAS'!$BQ20</f>
        <v/>
      </c>
      <c r="HQ67">
        <f>'DADOS_FORMAS'!$BR20</f>
        <v/>
      </c>
      <c r="HR67">
        <f>LET(base,'DADOS_FORMAS'!$HO67,escada,'DADOS_FORMAS'!$HN67,medida,LEFT(base,MAX(0,LEN(base)-2)),valor,IFERROR(VALUE(SUBSTITUTE(medida,",",""))/10^IFERROR(LEN(medida)-FIND(",",medida),0),1E99),IF(OR(escada="Fixo",base="—"),base,IF(escada="alcance",IFERROR(MATCH(base,{"1,5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7">
        <f>'DADOS_FORMAS'!$AH18&amp;" · classes 1 a 5"</f>
        <v/>
      </c>
      <c r="HU67">
        <f>LET(trecho,IF(OR('DADOS_FORMAS'!$AH18="",'DADOS_FORMAS'!$HM52="",'DADOS_FORMAS'!$HO52=""),"",IF('DADOS_FORMAS'!$HO52="—","—",'DADOS_FORMAS'!$HP52&amp;'DADOS_FORMAS'!$HO52&amp;SUBSTITUTE('DADOS_FORMAS'!$HQ52,"em você","nela"))),UPPER(LEFT(trecho,1))&amp;MID(trecho,2,LEN(trecho)))</f>
        <v/>
      </c>
      <c r="HV67">
        <f>LET(trecho,IF(OR('DADOS_FORMAS'!$AH18="",'DADOS_FORMAS'!$HM52="",'DADOS_FORMAS'!$HO52=""),"",IF('DADOS_FORMAS'!$HO52="—","—",'DADOS_FORMAS'!$HP52&amp;IF('DADOS_FORMAS'!$HN52="alcance",INDEX('DADOS_FORMAS'!$GL$2:$GL$7,MIN(6,'DADOS_FORMAS'!$HR52+1)),IF('DADOS_FORMAS'!$HN52="raio",INDEX('DADOS_FORMAS'!$GN$2:$GN$6,MIN(5,'DADOS_FORMAS'!$HR52+1)),IF('DADOS_FORMAS'!$HN52="comprimento",INDEX('DADOS_FORMAS'!$GP$2:$GP$6,MIN(5,'DADOS_FORMAS'!$HR52+1)),'DADOS_FORMAS'!$HO52)))&amp;SUBSTITUTE('DADOS_FORMAS'!$HQ52,"em você","nela"))),UPPER(LEFT(trecho,1))&amp;MID(trecho,2,LEN(trecho)))</f>
        <v/>
      </c>
      <c r="HW67">
        <f>LET(trecho,IF(OR('DADOS_FORMAS'!$AH18="",'DADOS_FORMAS'!$HM52="",'DADOS_FORMAS'!$HO52=""),"",IF('DADOS_FORMAS'!$HO52="—","—",'DADOS_FORMAS'!$HP52&amp;IF('DADOS_FORMAS'!$HN52="alcance",INDEX('DADOS_FORMAS'!$GL$2:$GL$7,MIN(6,'DADOS_FORMAS'!$HR52+2)),IF('DADOS_FORMAS'!$HN52="raio",INDEX('DADOS_FORMAS'!$GN$2:$GN$6,MIN(5,'DADOS_FORMAS'!$HR52+2)),IF('DADOS_FORMAS'!$HN52="comprimento",INDEX('DADOS_FORMAS'!$GP$2:$GP$6,MIN(5,'DADOS_FORMAS'!$HR52+2)),'DADOS_FORMAS'!$HO52)))&amp;SUBSTITUTE('DADOS_FORMAS'!$HQ52,"em você","nela"))),UPPER(LEFT(trecho,1))&amp;MID(trecho,2,LEN(trecho)))</f>
        <v/>
      </c>
      <c r="HX67">
        <f>LET(trecho,IF(OR('DADOS_FORMAS'!$AH18="",'DADOS_FORMAS'!$HM52="",'DADOS_FORMAS'!$HO52=""),"",IF('DADOS_FORMAS'!$HO52="—","—",'DADOS_FORMAS'!$HP52&amp;IF('DADOS_FORMAS'!$HN52="alcance",INDEX('DADOS_FORMAS'!$GL$2:$GL$7,MIN(6,'DADOS_FORMAS'!$HR52+3)),IF('DADOS_FORMAS'!$HN52="raio",INDEX('DADOS_FORMAS'!$GN$2:$GN$6,MIN(5,'DADOS_FORMAS'!$HR52+3)),IF('DADOS_FORMAS'!$HN52="comprimento",INDEX('DADOS_FORMAS'!$GP$2:$GP$6,MIN(5,'DADOS_FORMAS'!$HR52+3)),'DADOS_FORMAS'!$HO52)))&amp;SUBSTITUTE('DADOS_FORMAS'!$HQ52,"em você","nela"))),UPPER(LEFT(trecho,1))&amp;MID(trecho,2,LEN(trecho)))</f>
        <v/>
      </c>
      <c r="HY67">
        <f>LET(trecho,IF(OR('DADOS_FORMAS'!$AH18="",'DADOS_FORMAS'!$HM52="",'DADOS_FORMAS'!$HO52=""),"",IF('DADOS_FORMAS'!$HO52="—","—",'DADOS_FORMAS'!$HP52&amp;IF('DADOS_FORMAS'!$HN52="alcance",INDEX('DADOS_FORMAS'!$GL$2:$GL$7,MIN(6,'DADOS_FORMAS'!$HR52+4)),IF('DADOS_FORMAS'!$HN52="raio",INDEX('DADOS_FORMAS'!$GN$2:$GN$6,MIN(5,'DADOS_FORMAS'!$HR52+4)),IF('DADOS_FORMAS'!$HN52="comprimento",INDEX('DADOS_FORMAS'!$GP$2:$GP$6,MIN(5,'DADOS_FORMAS'!$HR52+4)),'DADOS_FORMAS'!$HO52)))&amp;SUBSTITUTE('DADOS_FORMAS'!$HQ52,"em você","nela"))),UPPER(LEFT(trecho,1))&amp;MID(trecho,2,LEN(trecho)))</f>
        <v/>
      </c>
      <c r="HZ67">
        <f>LET(trecho,IF(OR('DADOS_FORMAS'!$AH18="",'DADOS_FORMAS'!$HM52="",'DADOS_FORMAS'!$HO52=""),"",IF('DADOS_FORMAS'!$HO52="—","—",'DADOS_FORMAS'!$HP52&amp;IF('DADOS_FORMAS'!$HN52="alcance",INDEX('DADOS_FORMAS'!$GL$2:$GL$7,MIN(6,'DADOS_FORMAS'!$HR52+5)),IF('DADOS_FORMAS'!$HN52="raio",INDEX('DADOS_FORMAS'!$GN$2:$GN$6,MIN(5,'DADOS_FORMAS'!$HR52+5)),IF('DADOS_FORMAS'!$HN52="comprimento",INDEX('DADOS_FORMAS'!$GP$2:$GP$6,MIN(5,'DADOS_FORMAS'!$HR52+5)),'DADOS_FORMAS'!$HO52)))&amp;SUBSTITUTE('DADOS_FORMAS'!$HQ52,"em você","nela"))),UPPER(LEFT(trecho,1))&amp;MID(trecho,2,LEN(trecho)))</f>
        <v/>
      </c>
      <c r="IA67">
        <f>IF(OR('DADOS_FORMAS'!$AH18="",'DADOS_FORMAS'!$HM53="",'DADOS_FORMAS'!$HO53=""),"",IF('DADOS_FORMAS'!$HO53="—","—",'DADOS_FORMAS'!$HP53&amp;'DADOS_FORMAS'!$HO53&amp;SUBSTITUTE('DADOS_FORMAS'!$HQ53,"em você","nela")))</f>
        <v/>
      </c>
      <c r="IB67">
        <f>IF(OR('DADOS_FORMAS'!$AH18="",'DADOS_FORMAS'!$HM53="",'DADOS_FORMAS'!$HO53=""),"",IF('DADOS_FORMAS'!$HO53="—","—",'DADOS_FORMAS'!$HP53&amp;IF('DADOS_FORMAS'!$HN53="alcance",INDEX('DADOS_FORMAS'!$GL$2:$GL$7,MIN(6,'DADOS_FORMAS'!$HR53+1)),IF('DADOS_FORMAS'!$HN53="raio",INDEX('DADOS_FORMAS'!$GN$2:$GN$6,MIN(5,'DADOS_FORMAS'!$HR53+1)),IF('DADOS_FORMAS'!$HN53="comprimento",INDEX('DADOS_FORMAS'!$GP$2:$GP$6,MIN(5,'DADOS_FORMAS'!$HR53+1)),'DADOS_FORMAS'!$HO53)))&amp;SUBSTITUTE('DADOS_FORMAS'!$HQ53,"em você","nela")))</f>
        <v/>
      </c>
      <c r="IC67">
        <f>IF(OR('DADOS_FORMAS'!$AH18="",'DADOS_FORMAS'!$HM53="",'DADOS_FORMAS'!$HO53=""),"",IF('DADOS_FORMAS'!$HO53="—","—",'DADOS_FORMAS'!$HP53&amp;IF('DADOS_FORMAS'!$HN53="alcance",INDEX('DADOS_FORMAS'!$GL$2:$GL$7,MIN(6,'DADOS_FORMAS'!$HR53+2)),IF('DADOS_FORMAS'!$HN53="raio",INDEX('DADOS_FORMAS'!$GN$2:$GN$6,MIN(5,'DADOS_FORMAS'!$HR53+2)),IF('DADOS_FORMAS'!$HN53="comprimento",INDEX('DADOS_FORMAS'!$GP$2:$GP$6,MIN(5,'DADOS_FORMAS'!$HR53+2)),'DADOS_FORMAS'!$HO53)))&amp;SUBSTITUTE('DADOS_FORMAS'!$HQ53,"em você","nela")))</f>
        <v/>
      </c>
      <c r="ID67">
        <f>IF(OR('DADOS_FORMAS'!$AH18="",'DADOS_FORMAS'!$HM53="",'DADOS_FORMAS'!$HO53=""),"",IF('DADOS_FORMAS'!$HO53="—","—",'DADOS_FORMAS'!$HP53&amp;IF('DADOS_FORMAS'!$HN53="alcance",INDEX('DADOS_FORMAS'!$GL$2:$GL$7,MIN(6,'DADOS_FORMAS'!$HR53+3)),IF('DADOS_FORMAS'!$HN53="raio",INDEX('DADOS_FORMAS'!$GN$2:$GN$6,MIN(5,'DADOS_FORMAS'!$HR53+3)),IF('DADOS_FORMAS'!$HN53="comprimento",INDEX('DADOS_FORMAS'!$GP$2:$GP$6,MIN(5,'DADOS_FORMAS'!$HR53+3)),'DADOS_FORMAS'!$HO53)))&amp;SUBSTITUTE('DADOS_FORMAS'!$HQ53,"em você","nela")))</f>
        <v/>
      </c>
      <c r="IE67">
        <f>IF(OR('DADOS_FORMAS'!$AH18="",'DADOS_FORMAS'!$HM53="",'DADOS_FORMAS'!$HO53=""),"",IF('DADOS_FORMAS'!$HO53="—","—",'DADOS_FORMAS'!$HP53&amp;IF('DADOS_FORMAS'!$HN53="alcance",INDEX('DADOS_FORMAS'!$GL$2:$GL$7,MIN(6,'DADOS_FORMAS'!$HR53+4)),IF('DADOS_FORMAS'!$HN53="raio",INDEX('DADOS_FORMAS'!$GN$2:$GN$6,MIN(5,'DADOS_FORMAS'!$HR53+4)),IF('DADOS_FORMAS'!$HN53="comprimento",INDEX('DADOS_FORMAS'!$GP$2:$GP$6,MIN(5,'DADOS_FORMAS'!$HR53+4)),'DADOS_FORMAS'!$HO53)))&amp;SUBSTITUTE('DADOS_FORMAS'!$HQ53,"em você","nela")))</f>
        <v/>
      </c>
      <c r="IF67">
        <f>IF(OR('DADOS_FORMAS'!$AH18="",'DADOS_FORMAS'!$HM53="",'DADOS_FORMAS'!$HO53=""),"",IF('DADOS_FORMAS'!$HO53="—","—",'DADOS_FORMAS'!$HP53&amp;IF('DADOS_FORMAS'!$HN53="alcance",INDEX('DADOS_FORMAS'!$GL$2:$GL$7,MIN(6,'DADOS_FORMAS'!$HR53+5)),IF('DADOS_FORMAS'!$HN53="raio",INDEX('DADOS_FORMAS'!$GN$2:$GN$6,MIN(5,'DADOS_FORMAS'!$HR53+5)),IF('DADOS_FORMAS'!$HN53="comprimento",INDEX('DADOS_FORMAS'!$GP$2:$GP$6,MIN(5,'DADOS_FORMAS'!$HR53+5)),'DADOS_FORMAS'!$HO53)))&amp;SUBSTITUTE('DADOS_FORMAS'!$HQ53,"em você","nela")))</f>
        <v/>
      </c>
    </row>
    <row r="68">
      <c r="HM68">
        <f>'DADOS_FORMAS'!$BL20</f>
        <v/>
      </c>
      <c r="HN68">
        <f>IF('DADOS_FORMAS'!$BL20="area",'DADOS_FORMAS'!$AU20,'DADOS_FORMAS'!$AT20)</f>
        <v/>
      </c>
      <c r="HO68">
        <f>IF('DADOS_FORMAS'!$BL20="area",'DADOS_FORMAS'!$BG20,'DADOS_FORMAS'!$AZ20)</f>
        <v/>
      </c>
      <c r="HP68">
        <f>'DADOS_FORMAS'!$BM20</f>
        <v/>
      </c>
      <c r="HQ68">
        <f>'DADOS_FORMAS'!$BN20</f>
        <v/>
      </c>
      <c r="HR68">
        <f>LET(base,'DADOS_FORMAS'!$HO68,escada,'DADOS_FORMAS'!$HN68,medida,LEFT(base,MAX(0,LEN(base)-2)),valor,IFERROR(VALUE(SUBSTITUTE(medida,",",""))/10^IFERROR(LEN(medida)-FIND(",",medida),0),1E99),IF(OR(escada="Fixo",base="—"),base,IF(escada="alcance",IFERROR(MATCH(base,{"1,5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8">
        <f>'DADOS_FORMAS'!$AH18&amp;" · classe 6"</f>
        <v/>
      </c>
      <c r="HU68">
        <f>LET(trecho,IF(OR('DADOS_FORMAS'!$AH18="",'DADOS_FORMAS'!$HM54="",'DADOS_FORMAS'!$HO54=""),"",IF('DADOS_FORMAS'!$HO54="—","—",'DADOS_FORMAS'!$HP54&amp;'DADOS_FORMAS'!$HO54&amp;SUBSTITUTE('DADOS_FORMAS'!$HQ54,"em você","nela"))),UPPER(LEFT(trecho,1))&amp;MID(trecho,2,LEN(trecho)))</f>
        <v/>
      </c>
      <c r="HV68">
        <f>LET(trecho,IF(OR('DADOS_FORMAS'!$AH18="",'DADOS_FORMAS'!$HM54="",'DADOS_FORMAS'!$HO54=""),"",IF('DADOS_FORMAS'!$HO54="—","—",'DADOS_FORMAS'!$HP54&amp;IF('DADOS_FORMAS'!$HN54="alcance",INDEX('DADOS_FORMAS'!$GL$2:$GL$7,MIN(6,'DADOS_FORMAS'!$HR54+1)),IF('DADOS_FORMAS'!$HN54="raio",INDEX('DADOS_FORMAS'!$GN$2:$GN$6,MIN(5,'DADOS_FORMAS'!$HR54+1)),IF('DADOS_FORMAS'!$HN54="comprimento",INDEX('DADOS_FORMAS'!$GP$2:$GP$6,MIN(5,'DADOS_FORMAS'!$HR54+1)),'DADOS_FORMAS'!$HO54)))&amp;SUBSTITUTE('DADOS_FORMAS'!$HQ54,"em você","nela"))),UPPER(LEFT(trecho,1))&amp;MID(trecho,2,LEN(trecho)))</f>
        <v/>
      </c>
      <c r="HW68">
        <f>LET(trecho,IF(OR('DADOS_FORMAS'!$AH18="",'DADOS_FORMAS'!$HM54="",'DADOS_FORMAS'!$HO54=""),"",IF('DADOS_FORMAS'!$HO54="—","—",'DADOS_FORMAS'!$HP54&amp;IF('DADOS_FORMAS'!$HN54="alcance",INDEX('DADOS_FORMAS'!$GL$2:$GL$7,MIN(6,'DADOS_FORMAS'!$HR54+2)),IF('DADOS_FORMAS'!$HN54="raio",INDEX('DADOS_FORMAS'!$GN$2:$GN$6,MIN(5,'DADOS_FORMAS'!$HR54+2)),IF('DADOS_FORMAS'!$HN54="comprimento",INDEX('DADOS_FORMAS'!$GP$2:$GP$6,MIN(5,'DADOS_FORMAS'!$HR54+2)),'DADOS_FORMAS'!$HO54)))&amp;SUBSTITUTE('DADOS_FORMAS'!$HQ54,"em você","nela"))),UPPER(LEFT(trecho,1))&amp;MID(trecho,2,LEN(trecho)))</f>
        <v/>
      </c>
      <c r="HX68">
        <f>LET(trecho,IF(OR('DADOS_FORMAS'!$AH18="",'DADOS_FORMAS'!$HM54="",'DADOS_FORMAS'!$HO54=""),"",IF('DADOS_FORMAS'!$HO54="—","—",'DADOS_FORMAS'!$HP54&amp;IF('DADOS_FORMAS'!$HN54="alcance",INDEX('DADOS_FORMAS'!$GL$2:$GL$7,MIN(6,'DADOS_FORMAS'!$HR54+3)),IF('DADOS_FORMAS'!$HN54="raio",INDEX('DADOS_FORMAS'!$GN$2:$GN$6,MIN(5,'DADOS_FORMAS'!$HR54+3)),IF('DADOS_FORMAS'!$HN54="comprimento",INDEX('DADOS_FORMAS'!$GP$2:$GP$6,MIN(5,'DADOS_FORMAS'!$HR54+3)),'DADOS_FORMAS'!$HO54)))&amp;SUBSTITUTE('DADOS_FORMAS'!$HQ54,"em você","nela"))),UPPER(LEFT(trecho,1))&amp;MID(trecho,2,LEN(trecho)))</f>
        <v/>
      </c>
      <c r="HY68">
        <f>LET(trecho,IF(OR('DADOS_FORMAS'!$AH18="",'DADOS_FORMAS'!$HM54="",'DADOS_FORMAS'!$HO54=""),"",IF('DADOS_FORMAS'!$HO54="—","—",'DADOS_FORMAS'!$HP54&amp;IF('DADOS_FORMAS'!$HN54="alcance",INDEX('DADOS_FORMAS'!$GL$2:$GL$7,MIN(6,'DADOS_FORMAS'!$HR54+4)),IF('DADOS_FORMAS'!$HN54="raio",INDEX('DADOS_FORMAS'!$GN$2:$GN$6,MIN(5,'DADOS_FORMAS'!$HR54+4)),IF('DADOS_FORMAS'!$HN54="comprimento",INDEX('DADOS_FORMAS'!$GP$2:$GP$6,MIN(5,'DADOS_FORMAS'!$HR54+4)),'DADOS_FORMAS'!$HO54)))&amp;SUBSTITUTE('DADOS_FORMAS'!$HQ54,"em você","nela"))),UPPER(LEFT(trecho,1))&amp;MID(trecho,2,LEN(trecho)))</f>
        <v/>
      </c>
      <c r="HZ68">
        <f>LET(trecho,IF(OR('DADOS_FORMAS'!$AH18="",'DADOS_FORMAS'!$HM54="",'DADOS_FORMAS'!$HO54=""),"",IF('DADOS_FORMAS'!$HO54="—","—",'DADOS_FORMAS'!$HP54&amp;IF('DADOS_FORMAS'!$HN54="alcance",INDEX('DADOS_FORMAS'!$GL$2:$GL$7,MIN(6,'DADOS_FORMAS'!$HR54+5)),IF('DADOS_FORMAS'!$HN54="raio",INDEX('DADOS_FORMAS'!$GN$2:$GN$6,MIN(5,'DADOS_FORMAS'!$HR54+5)),IF('DADOS_FORMAS'!$HN54="comprimento",INDEX('DADOS_FORMAS'!$GP$2:$GP$6,MIN(5,'DADOS_FORMAS'!$HR54+5)),'DADOS_FORMAS'!$HO54)))&amp;SUBSTITUTE('DADOS_FORMAS'!$HQ54,"em você","nela"))),UPPER(LEFT(trecho,1))&amp;MID(trecho,2,LEN(trecho)))</f>
        <v/>
      </c>
      <c r="IA68">
        <f>IF(OR('DADOS_FORMAS'!$AH18="",'DADOS_FORMAS'!$HM55="",'DADOS_FORMAS'!$HO55=""),"",IF('DADOS_FORMAS'!$HO55="—","—",'DADOS_FORMAS'!$HP55&amp;'DADOS_FORMAS'!$HO55&amp;SUBSTITUTE('DADOS_FORMAS'!$HQ55,"em você","nela")))</f>
        <v/>
      </c>
      <c r="IB68">
        <f>IF(OR('DADOS_FORMAS'!$AH18="",'DADOS_FORMAS'!$HM55="",'DADOS_FORMAS'!$HO55=""),"",IF('DADOS_FORMAS'!$HO55="—","—",'DADOS_FORMAS'!$HP55&amp;IF('DADOS_FORMAS'!$HN55="alcance",INDEX('DADOS_FORMAS'!$GL$2:$GL$7,MIN(6,'DADOS_FORMAS'!$HR55+1)),IF('DADOS_FORMAS'!$HN55="raio",INDEX('DADOS_FORMAS'!$GN$2:$GN$6,MIN(5,'DADOS_FORMAS'!$HR55+1)),IF('DADOS_FORMAS'!$HN55="comprimento",INDEX('DADOS_FORMAS'!$GP$2:$GP$6,MIN(5,'DADOS_FORMAS'!$HR55+1)),'DADOS_FORMAS'!$HO55)))&amp;SUBSTITUTE('DADOS_FORMAS'!$HQ55,"em você","nela")))</f>
        <v/>
      </c>
      <c r="IC68">
        <f>IF(OR('DADOS_FORMAS'!$AH18="",'DADOS_FORMAS'!$HM55="",'DADOS_FORMAS'!$HO55=""),"",IF('DADOS_FORMAS'!$HO55="—","—",'DADOS_FORMAS'!$HP55&amp;IF('DADOS_FORMAS'!$HN55="alcance",INDEX('DADOS_FORMAS'!$GL$2:$GL$7,MIN(6,'DADOS_FORMAS'!$HR55+2)),IF('DADOS_FORMAS'!$HN55="raio",INDEX('DADOS_FORMAS'!$GN$2:$GN$6,MIN(5,'DADOS_FORMAS'!$HR55+2)),IF('DADOS_FORMAS'!$HN55="comprimento",INDEX('DADOS_FORMAS'!$GP$2:$GP$6,MIN(5,'DADOS_FORMAS'!$HR55+2)),'DADOS_FORMAS'!$HO55)))&amp;SUBSTITUTE('DADOS_FORMAS'!$HQ55,"em você","nela")))</f>
        <v/>
      </c>
      <c r="ID68">
        <f>IF(OR('DADOS_FORMAS'!$AH18="",'DADOS_FORMAS'!$HM55="",'DADOS_FORMAS'!$HO55=""),"",IF('DADOS_FORMAS'!$HO55="—","—",'DADOS_FORMAS'!$HP55&amp;IF('DADOS_FORMAS'!$HN55="alcance",INDEX('DADOS_FORMAS'!$GL$2:$GL$7,MIN(6,'DADOS_FORMAS'!$HR55+3)),IF('DADOS_FORMAS'!$HN55="raio",INDEX('DADOS_FORMAS'!$GN$2:$GN$6,MIN(5,'DADOS_FORMAS'!$HR55+3)),IF('DADOS_FORMAS'!$HN55="comprimento",INDEX('DADOS_FORMAS'!$GP$2:$GP$6,MIN(5,'DADOS_FORMAS'!$HR55+3)),'DADOS_FORMAS'!$HO55)))&amp;SUBSTITUTE('DADOS_FORMAS'!$HQ55,"em você","nela")))</f>
        <v/>
      </c>
      <c r="IE68">
        <f>IF(OR('DADOS_FORMAS'!$AH18="",'DADOS_FORMAS'!$HM55="",'DADOS_FORMAS'!$HO55=""),"",IF('DADOS_FORMAS'!$HO55="—","—",'DADOS_FORMAS'!$HP55&amp;IF('DADOS_FORMAS'!$HN55="alcance",INDEX('DADOS_FORMAS'!$GL$2:$GL$7,MIN(6,'DADOS_FORMAS'!$HR55+4)),IF('DADOS_FORMAS'!$HN55="raio",INDEX('DADOS_FORMAS'!$GN$2:$GN$6,MIN(5,'DADOS_FORMAS'!$HR55+4)),IF('DADOS_FORMAS'!$HN55="comprimento",INDEX('DADOS_FORMAS'!$GP$2:$GP$6,MIN(5,'DADOS_FORMAS'!$HR55+4)),'DADOS_FORMAS'!$HO55)))&amp;SUBSTITUTE('DADOS_FORMAS'!$HQ55,"em você","nela")))</f>
        <v/>
      </c>
      <c r="IF68">
        <f>IF(OR('DADOS_FORMAS'!$AH18="",'DADOS_FORMAS'!$HM55="",'DADOS_FORMAS'!$HO55=""),"",IF('DADOS_FORMAS'!$HO55="—","—",'DADOS_FORMAS'!$HP55&amp;IF('DADOS_FORMAS'!$HN55="alcance",INDEX('DADOS_FORMAS'!$GL$2:$GL$7,MIN(6,'DADOS_FORMAS'!$HR55+5)),IF('DADOS_FORMAS'!$HN55="raio",INDEX('DADOS_FORMAS'!$GN$2:$GN$6,MIN(5,'DADOS_FORMAS'!$HR55+5)),IF('DADOS_FORMAS'!$HN55="comprimento",INDEX('DADOS_FORMAS'!$GP$2:$GP$6,MIN(5,'DADOS_FORMAS'!$HR55+5)),'DADOS_FORMAS'!$HO55)))&amp;SUBSTITUTE('DADOS_FORMAS'!$HQ55,"em você","nela")))</f>
        <v/>
      </c>
    </row>
    <row r="69">
      <c r="HM69">
        <f>'DADOS_FORMAS'!$BP20</f>
        <v/>
      </c>
      <c r="HN69">
        <f>IF('DADOS_FORMAS'!$BP20="area",'DADOS_FORMAS'!$AU20,'DADOS_FORMAS'!$AT20)</f>
        <v/>
      </c>
      <c r="HO69">
        <f>IF('DADOS_FORMAS'!$BP20="area",'DADOS_FORMAS'!$BG20,'DADOS_FORMAS'!$AZ20)</f>
        <v/>
      </c>
      <c r="HP69">
        <f>'DADOS_FORMAS'!$BQ20</f>
        <v/>
      </c>
      <c r="HQ69">
        <f>'DADOS_FORMAS'!$BR20</f>
        <v/>
      </c>
      <c r="HR69">
        <f>LET(base,'DADOS_FORMAS'!$HO69,escada,'DADOS_FORMAS'!$HN69,medida,LEFT(base,MAX(0,LEN(base)-2)),valor,IFERROR(VALUE(SUBSTITUTE(medida,",",""))/10^IFERROR(LEN(medida)-FIND(",",medida),0),1E99),IF(OR(escada="Fixo",base="—"),base,IF(escada="alcance",IFERROR(MATCH(base,{"1,5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9">
        <f>'DADOS_FORMAS'!$AH18&amp;" · classe 7"</f>
        <v/>
      </c>
      <c r="HU69">
        <f>LET(trecho,IF(OR('DADOS_FORMAS'!$AH18="",'DADOS_FORMAS'!$HM56="",'DADOS_FORMAS'!$HO56=""),"",IF('DADOS_FORMAS'!$HO56="—","—",'DADOS_FORMAS'!$HP56&amp;'DADOS_FORMAS'!$HO56&amp;SUBSTITUTE('DADOS_FORMAS'!$HQ56,"em você","nela"))),UPPER(LEFT(trecho,1))&amp;MID(trecho,2,LEN(trecho)))</f>
        <v/>
      </c>
      <c r="HV69">
        <f>LET(trecho,IF(OR('DADOS_FORMAS'!$AH18="",'DADOS_FORMAS'!$HM56="",'DADOS_FORMAS'!$HO56=""),"",IF('DADOS_FORMAS'!$HO56="—","—",'DADOS_FORMAS'!$HP56&amp;IF('DADOS_FORMAS'!$HN56="alcance",INDEX('DADOS_FORMAS'!$GL$2:$GL$7,MIN(6,'DADOS_FORMAS'!$HR56+1)),IF('DADOS_FORMAS'!$HN56="raio",INDEX('DADOS_FORMAS'!$GN$2:$GN$6,MIN(5,'DADOS_FORMAS'!$HR56+1)),IF('DADOS_FORMAS'!$HN56="comprimento",INDEX('DADOS_FORMAS'!$GP$2:$GP$6,MIN(5,'DADOS_FORMAS'!$HR56+1)),'DADOS_FORMAS'!$HO56)))&amp;SUBSTITUTE('DADOS_FORMAS'!$HQ56,"em você","nela"))),UPPER(LEFT(trecho,1))&amp;MID(trecho,2,LEN(trecho)))</f>
        <v/>
      </c>
      <c r="HW69">
        <f>LET(trecho,IF(OR('DADOS_FORMAS'!$AH18="",'DADOS_FORMAS'!$HM56="",'DADOS_FORMAS'!$HO56=""),"",IF('DADOS_FORMAS'!$HO56="—","—",'DADOS_FORMAS'!$HP56&amp;IF('DADOS_FORMAS'!$HN56="alcance",INDEX('DADOS_FORMAS'!$GL$2:$GL$7,MIN(6,'DADOS_FORMAS'!$HR56+2)),IF('DADOS_FORMAS'!$HN56="raio",INDEX('DADOS_FORMAS'!$GN$2:$GN$6,MIN(5,'DADOS_FORMAS'!$HR56+2)),IF('DADOS_FORMAS'!$HN56="comprimento",INDEX('DADOS_FORMAS'!$GP$2:$GP$6,MIN(5,'DADOS_FORMAS'!$HR56+2)),'DADOS_FORMAS'!$HO56)))&amp;SUBSTITUTE('DADOS_FORMAS'!$HQ56,"em você","nela"))),UPPER(LEFT(trecho,1))&amp;MID(trecho,2,LEN(trecho)))</f>
        <v/>
      </c>
      <c r="HX69">
        <f>LET(trecho,IF(OR('DADOS_FORMAS'!$AH18="",'DADOS_FORMAS'!$HM56="",'DADOS_FORMAS'!$HO56=""),"",IF('DADOS_FORMAS'!$HO56="—","—",'DADOS_FORMAS'!$HP56&amp;IF('DADOS_FORMAS'!$HN56="alcance",INDEX('DADOS_FORMAS'!$GL$2:$GL$7,MIN(6,'DADOS_FORMAS'!$HR56+3)),IF('DADOS_FORMAS'!$HN56="raio",INDEX('DADOS_FORMAS'!$GN$2:$GN$6,MIN(5,'DADOS_FORMAS'!$HR56+3)),IF('DADOS_FORMAS'!$HN56="comprimento",INDEX('DADOS_FORMAS'!$GP$2:$GP$6,MIN(5,'DADOS_FORMAS'!$HR56+3)),'DADOS_FORMAS'!$HO56)))&amp;SUBSTITUTE('DADOS_FORMAS'!$HQ56,"em você","nela"))),UPPER(LEFT(trecho,1))&amp;MID(trecho,2,LEN(trecho)))</f>
        <v/>
      </c>
      <c r="HY69">
        <f>LET(trecho,IF(OR('DADOS_FORMAS'!$AH18="",'DADOS_FORMAS'!$HM56="",'DADOS_FORMAS'!$HO56=""),"",IF('DADOS_FORMAS'!$HO56="—","—",'DADOS_FORMAS'!$HP56&amp;IF('DADOS_FORMAS'!$HN56="alcance",INDEX('DADOS_FORMAS'!$GL$2:$GL$7,MIN(6,'DADOS_FORMAS'!$HR56+4)),IF('DADOS_FORMAS'!$HN56="raio",INDEX('DADOS_FORMAS'!$GN$2:$GN$6,MIN(5,'DADOS_FORMAS'!$HR56+4)),IF('DADOS_FORMAS'!$HN56="comprimento",INDEX('DADOS_FORMAS'!$GP$2:$GP$6,MIN(5,'DADOS_FORMAS'!$HR56+4)),'DADOS_FORMAS'!$HO56)))&amp;SUBSTITUTE('DADOS_FORMAS'!$HQ56,"em você","nela"))),UPPER(LEFT(trecho,1))&amp;MID(trecho,2,LEN(trecho)))</f>
        <v/>
      </c>
      <c r="HZ69">
        <f>LET(trecho,IF(OR('DADOS_FORMAS'!$AH18="",'DADOS_FORMAS'!$HM56="",'DADOS_FORMAS'!$HO56=""),"",IF('DADOS_FORMAS'!$HO56="—","—",'DADOS_FORMAS'!$HP56&amp;IF('DADOS_FORMAS'!$HN56="alcance",INDEX('DADOS_FORMAS'!$GL$2:$GL$7,MIN(6,'DADOS_FORMAS'!$HR56+5)),IF('DADOS_FORMAS'!$HN56="raio",INDEX('DADOS_FORMAS'!$GN$2:$GN$6,MIN(5,'DADOS_FORMAS'!$HR56+5)),IF('DADOS_FORMAS'!$HN56="comprimento",INDEX('DADOS_FORMAS'!$GP$2:$GP$6,MIN(5,'DADOS_FORMAS'!$HR56+5)),'DADOS_FORMAS'!$HO56)))&amp;SUBSTITUTE('DADOS_FORMAS'!$HQ56,"em você","nela"))),UPPER(LEFT(trecho,1))&amp;MID(trecho,2,LEN(trecho)))</f>
        <v/>
      </c>
      <c r="IA69">
        <f>IF(OR('DADOS_FORMAS'!$AH18="",'DADOS_FORMAS'!$HM57="",'DADOS_FORMAS'!$HO57=""),"",IF('DADOS_FORMAS'!$HO57="—","—",'DADOS_FORMAS'!$HP57&amp;'DADOS_FORMAS'!$HO57&amp;SUBSTITUTE('DADOS_FORMAS'!$HQ57,"em você","nela")))</f>
        <v/>
      </c>
      <c r="IB69">
        <f>IF(OR('DADOS_FORMAS'!$AH18="",'DADOS_FORMAS'!$HM57="",'DADOS_FORMAS'!$HO57=""),"",IF('DADOS_FORMAS'!$HO57="—","—",'DADOS_FORMAS'!$HP57&amp;IF('DADOS_FORMAS'!$HN57="alcance",INDEX('DADOS_FORMAS'!$GL$2:$GL$7,MIN(6,'DADOS_FORMAS'!$HR57+1)),IF('DADOS_FORMAS'!$HN57="raio",INDEX('DADOS_FORMAS'!$GN$2:$GN$6,MIN(5,'DADOS_FORMAS'!$HR57+1)),IF('DADOS_FORMAS'!$HN57="comprimento",INDEX('DADOS_FORMAS'!$GP$2:$GP$6,MIN(5,'DADOS_FORMAS'!$HR57+1)),'DADOS_FORMAS'!$HO57)))&amp;SUBSTITUTE('DADOS_FORMAS'!$HQ57,"em você","nela")))</f>
        <v/>
      </c>
      <c r="IC69">
        <f>IF(OR('DADOS_FORMAS'!$AH18="",'DADOS_FORMAS'!$HM57="",'DADOS_FORMAS'!$HO57=""),"",IF('DADOS_FORMAS'!$HO57="—","—",'DADOS_FORMAS'!$HP57&amp;IF('DADOS_FORMAS'!$HN57="alcance",INDEX('DADOS_FORMAS'!$GL$2:$GL$7,MIN(6,'DADOS_FORMAS'!$HR57+2)),IF('DADOS_FORMAS'!$HN57="raio",INDEX('DADOS_FORMAS'!$GN$2:$GN$6,MIN(5,'DADOS_FORMAS'!$HR57+2)),IF('DADOS_FORMAS'!$HN57="comprimento",INDEX('DADOS_FORMAS'!$GP$2:$GP$6,MIN(5,'DADOS_FORMAS'!$HR57+2)),'DADOS_FORMAS'!$HO57)))&amp;SUBSTITUTE('DADOS_FORMAS'!$HQ57,"em você","nela")))</f>
        <v/>
      </c>
      <c r="ID69">
        <f>IF(OR('DADOS_FORMAS'!$AH18="",'DADOS_FORMAS'!$HM57="",'DADOS_FORMAS'!$HO57=""),"",IF('DADOS_FORMAS'!$HO57="—","—",'DADOS_FORMAS'!$HP57&amp;IF('DADOS_FORMAS'!$HN57="alcance",INDEX('DADOS_FORMAS'!$GL$2:$GL$7,MIN(6,'DADOS_FORMAS'!$HR57+3)),IF('DADOS_FORMAS'!$HN57="raio",INDEX('DADOS_FORMAS'!$GN$2:$GN$6,MIN(5,'DADOS_FORMAS'!$HR57+3)),IF('DADOS_FORMAS'!$HN57="comprimento",INDEX('DADOS_FORMAS'!$GP$2:$GP$6,MIN(5,'DADOS_FORMAS'!$HR57+3)),'DADOS_FORMAS'!$HO57)))&amp;SUBSTITUTE('DADOS_FORMAS'!$HQ57,"em você","nela")))</f>
        <v/>
      </c>
      <c r="IE69">
        <f>IF(OR('DADOS_FORMAS'!$AH18="",'DADOS_FORMAS'!$HM57="",'DADOS_FORMAS'!$HO57=""),"",IF('DADOS_FORMAS'!$HO57="—","—",'DADOS_FORMAS'!$HP57&amp;IF('DADOS_FORMAS'!$HN57="alcance",INDEX('DADOS_FORMAS'!$GL$2:$GL$7,MIN(6,'DADOS_FORMAS'!$HR57+4)),IF('DADOS_FORMAS'!$HN57="raio",INDEX('DADOS_FORMAS'!$GN$2:$GN$6,MIN(5,'DADOS_FORMAS'!$HR57+4)),IF('DADOS_FORMAS'!$HN57="comprimento",INDEX('DADOS_FORMAS'!$GP$2:$GP$6,MIN(5,'DADOS_FORMAS'!$HR57+4)),'DADOS_FORMAS'!$HO57)))&amp;SUBSTITUTE('DADOS_FORMAS'!$HQ57,"em você","nela")))</f>
        <v/>
      </c>
      <c r="IF69">
        <f>IF(OR('DADOS_FORMAS'!$AH18="",'DADOS_FORMAS'!$HM57="",'DADOS_FORMAS'!$HO57=""),"",IF('DADOS_FORMAS'!$HO57="—","—",'DADOS_FORMAS'!$HP57&amp;IF('DADOS_FORMAS'!$HN57="alcance",INDEX('DADOS_FORMAS'!$GL$2:$GL$7,MIN(6,'DADOS_FORMAS'!$HR57+5)),IF('DADOS_FORMAS'!$HN57="raio",INDEX('DADOS_FORMAS'!$GN$2:$GN$6,MIN(5,'DADOS_FORMAS'!$HR57+5)),IF('DADOS_FORMAS'!$HN57="comprimento",INDEX('DADOS_FORMAS'!$GP$2:$GP$6,MIN(5,'DADOS_FORMAS'!$HR57+5)),'DADOS_FORMAS'!$HO57)))&amp;SUBSTITUTE('DADOS_FORMAS'!$HQ57,"em você","nela")))</f>
        <v/>
      </c>
    </row>
    <row r="70">
      <c r="HM70">
        <f>'DADOS_FORMAS'!$BL20</f>
        <v/>
      </c>
      <c r="HN70">
        <f>IF('DADOS_FORMAS'!$BL20="area",'DADOS_FORMAS'!$AU20,'DADOS_FORMAS'!$AT20)</f>
        <v/>
      </c>
      <c r="HO70">
        <f>IF('DADOS_FORMAS'!$BL20="area",'DADOS_FORMAS'!$BH20,'DADOS_FORMAS'!$BA20)</f>
        <v/>
      </c>
      <c r="HP70">
        <f>'DADOS_FORMAS'!$BM20</f>
        <v/>
      </c>
      <c r="HQ70">
        <f>'DADOS_FORMAS'!$BN20</f>
        <v/>
      </c>
      <c r="HR70">
        <f>LET(base,'DADOS_FORMAS'!$HO70,escada,'DADOS_FORMAS'!$HN70,medida,LEFT(base,MAX(0,LEN(base)-2)),valor,IFERROR(VALUE(SUBSTITUTE(medida,",",""))/10^IFERROR(LEN(medida)-FIND(",",medida),0),1E99),IF(OR(escada="Fixo",base="—"),base,IF(escada="alcance",IFERROR(MATCH(base,{"1,5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0">
        <f>'DADOS_FORMAS'!$AH19&amp;" · classe 0"</f>
        <v/>
      </c>
      <c r="HU70">
        <f>LET(trecho,IF(OR('DADOS_FORMAS'!$AH19="",'DADOS_FORMAS'!$HM58="",'DADOS_FORMAS'!$HO58=""),"",IF('DADOS_FORMAS'!$HO58="—","—",'DADOS_FORMAS'!$HP58&amp;'DADOS_FORMAS'!$HO58&amp;SUBSTITUTE('DADOS_FORMAS'!$HQ58,"em você","nela"))),UPPER(LEFT(trecho,1))&amp;MID(trecho,2,LEN(trecho)))</f>
        <v/>
      </c>
      <c r="HV70">
        <f>LET(trecho,IF(OR('DADOS_FORMAS'!$AH19="",'DADOS_FORMAS'!$HM58="",'DADOS_FORMAS'!$HO58=""),"",IF('DADOS_FORMAS'!$HO58="—","—",'DADOS_FORMAS'!$HP58&amp;IF('DADOS_FORMAS'!$HN58="alcance",INDEX('DADOS_FORMAS'!$GL$2:$GL$7,MIN(6,'DADOS_FORMAS'!$HR58+1)),IF('DADOS_FORMAS'!$HN58="raio",INDEX('DADOS_FORMAS'!$GN$2:$GN$6,MIN(5,'DADOS_FORMAS'!$HR58+1)),IF('DADOS_FORMAS'!$HN58="comprimento",INDEX('DADOS_FORMAS'!$GP$2:$GP$6,MIN(5,'DADOS_FORMAS'!$HR58+1)),'DADOS_FORMAS'!$HO58)))&amp;SUBSTITUTE('DADOS_FORMAS'!$HQ58,"em você","nela"))),UPPER(LEFT(trecho,1))&amp;MID(trecho,2,LEN(trecho)))</f>
        <v/>
      </c>
      <c r="HW70">
        <f>LET(trecho,IF(OR('DADOS_FORMAS'!$AH19="",'DADOS_FORMAS'!$HM58="",'DADOS_FORMAS'!$HO58=""),"",IF('DADOS_FORMAS'!$HO58="—","—",'DADOS_FORMAS'!$HP58&amp;IF('DADOS_FORMAS'!$HN58="alcance",INDEX('DADOS_FORMAS'!$GL$2:$GL$7,MIN(6,'DADOS_FORMAS'!$HR58+2)),IF('DADOS_FORMAS'!$HN58="raio",INDEX('DADOS_FORMAS'!$GN$2:$GN$6,MIN(5,'DADOS_FORMAS'!$HR58+2)),IF('DADOS_FORMAS'!$HN58="comprimento",INDEX('DADOS_FORMAS'!$GP$2:$GP$6,MIN(5,'DADOS_FORMAS'!$HR58+2)),'DADOS_FORMAS'!$HO58)))&amp;SUBSTITUTE('DADOS_FORMAS'!$HQ58,"em você","nela"))),UPPER(LEFT(trecho,1))&amp;MID(trecho,2,LEN(trecho)))</f>
        <v/>
      </c>
      <c r="HX70">
        <f>LET(trecho,IF(OR('DADOS_FORMAS'!$AH19="",'DADOS_FORMAS'!$HM58="",'DADOS_FORMAS'!$HO58=""),"",IF('DADOS_FORMAS'!$HO58="—","—",'DADOS_FORMAS'!$HP58&amp;IF('DADOS_FORMAS'!$HN58="alcance",INDEX('DADOS_FORMAS'!$GL$2:$GL$7,MIN(6,'DADOS_FORMAS'!$HR58+3)),IF('DADOS_FORMAS'!$HN58="raio",INDEX('DADOS_FORMAS'!$GN$2:$GN$6,MIN(5,'DADOS_FORMAS'!$HR58+3)),IF('DADOS_FORMAS'!$HN58="comprimento",INDEX('DADOS_FORMAS'!$GP$2:$GP$6,MIN(5,'DADOS_FORMAS'!$HR58+3)),'DADOS_FORMAS'!$HO58)))&amp;SUBSTITUTE('DADOS_FORMAS'!$HQ58,"em você","nela"))),UPPER(LEFT(trecho,1))&amp;MID(trecho,2,LEN(trecho)))</f>
        <v/>
      </c>
      <c r="HY70">
        <f>LET(trecho,IF(OR('DADOS_FORMAS'!$AH19="",'DADOS_FORMAS'!$HM58="",'DADOS_FORMAS'!$HO58=""),"",IF('DADOS_FORMAS'!$HO58="—","—",'DADOS_FORMAS'!$HP58&amp;IF('DADOS_FORMAS'!$HN58="alcance",INDEX('DADOS_FORMAS'!$GL$2:$GL$7,MIN(6,'DADOS_FORMAS'!$HR58+4)),IF('DADOS_FORMAS'!$HN58="raio",INDEX('DADOS_FORMAS'!$GN$2:$GN$6,MIN(5,'DADOS_FORMAS'!$HR58+4)),IF('DADOS_FORMAS'!$HN58="comprimento",INDEX('DADOS_FORMAS'!$GP$2:$GP$6,MIN(5,'DADOS_FORMAS'!$HR58+4)),'DADOS_FORMAS'!$HO58)))&amp;SUBSTITUTE('DADOS_FORMAS'!$HQ58,"em você","nela"))),UPPER(LEFT(trecho,1))&amp;MID(trecho,2,LEN(trecho)))</f>
        <v/>
      </c>
      <c r="HZ70">
        <f>LET(trecho,IF(OR('DADOS_FORMAS'!$AH19="",'DADOS_FORMAS'!$HM58="",'DADOS_FORMAS'!$HO58=""),"",IF('DADOS_FORMAS'!$HO58="—","—",'DADOS_FORMAS'!$HP58&amp;IF('DADOS_FORMAS'!$HN58="alcance",INDEX('DADOS_FORMAS'!$GL$2:$GL$7,MIN(6,'DADOS_FORMAS'!$HR58+5)),IF('DADOS_FORMAS'!$HN58="raio",INDEX('DADOS_FORMAS'!$GN$2:$GN$6,MIN(5,'DADOS_FORMAS'!$HR58+5)),IF('DADOS_FORMAS'!$HN58="comprimento",INDEX('DADOS_FORMAS'!$GP$2:$GP$6,MIN(5,'DADOS_FORMAS'!$HR58+5)),'DADOS_FORMAS'!$HO58)))&amp;SUBSTITUTE('DADOS_FORMAS'!$HQ58,"em você","nela"))),UPPER(LEFT(trecho,1))&amp;MID(trecho,2,LEN(trecho)))</f>
        <v/>
      </c>
      <c r="IA70">
        <f>IF(OR('DADOS_FORMAS'!$AH19="",'DADOS_FORMAS'!$HM59="",'DADOS_FORMAS'!$HO59=""),"",IF('DADOS_FORMAS'!$HO59="—","—",'DADOS_FORMAS'!$HP59&amp;'DADOS_FORMAS'!$HO59&amp;SUBSTITUTE('DADOS_FORMAS'!$HQ59,"em você","nela")))</f>
        <v/>
      </c>
      <c r="IB70">
        <f>IF(OR('DADOS_FORMAS'!$AH19="",'DADOS_FORMAS'!$HM59="",'DADOS_FORMAS'!$HO59=""),"",IF('DADOS_FORMAS'!$HO59="—","—",'DADOS_FORMAS'!$HP59&amp;IF('DADOS_FORMAS'!$HN59="alcance",INDEX('DADOS_FORMAS'!$GL$2:$GL$7,MIN(6,'DADOS_FORMAS'!$HR59+1)),IF('DADOS_FORMAS'!$HN59="raio",INDEX('DADOS_FORMAS'!$GN$2:$GN$6,MIN(5,'DADOS_FORMAS'!$HR59+1)),IF('DADOS_FORMAS'!$HN59="comprimento",INDEX('DADOS_FORMAS'!$GP$2:$GP$6,MIN(5,'DADOS_FORMAS'!$HR59+1)),'DADOS_FORMAS'!$HO59)))&amp;SUBSTITUTE('DADOS_FORMAS'!$HQ59,"em você","nela")))</f>
        <v/>
      </c>
      <c r="IC70">
        <f>IF(OR('DADOS_FORMAS'!$AH19="",'DADOS_FORMAS'!$HM59="",'DADOS_FORMAS'!$HO59=""),"",IF('DADOS_FORMAS'!$HO59="—","—",'DADOS_FORMAS'!$HP59&amp;IF('DADOS_FORMAS'!$HN59="alcance",INDEX('DADOS_FORMAS'!$GL$2:$GL$7,MIN(6,'DADOS_FORMAS'!$HR59+2)),IF('DADOS_FORMAS'!$HN59="raio",INDEX('DADOS_FORMAS'!$GN$2:$GN$6,MIN(5,'DADOS_FORMAS'!$HR59+2)),IF('DADOS_FORMAS'!$HN59="comprimento",INDEX('DADOS_FORMAS'!$GP$2:$GP$6,MIN(5,'DADOS_FORMAS'!$HR59+2)),'DADOS_FORMAS'!$HO59)))&amp;SUBSTITUTE('DADOS_FORMAS'!$HQ59,"em você","nela")))</f>
        <v/>
      </c>
      <c r="ID70">
        <f>IF(OR('DADOS_FORMAS'!$AH19="",'DADOS_FORMAS'!$HM59="",'DADOS_FORMAS'!$HO59=""),"",IF('DADOS_FORMAS'!$HO59="—","—",'DADOS_FORMAS'!$HP59&amp;IF('DADOS_FORMAS'!$HN59="alcance",INDEX('DADOS_FORMAS'!$GL$2:$GL$7,MIN(6,'DADOS_FORMAS'!$HR59+3)),IF('DADOS_FORMAS'!$HN59="raio",INDEX('DADOS_FORMAS'!$GN$2:$GN$6,MIN(5,'DADOS_FORMAS'!$HR59+3)),IF('DADOS_FORMAS'!$HN59="comprimento",INDEX('DADOS_FORMAS'!$GP$2:$GP$6,MIN(5,'DADOS_FORMAS'!$HR59+3)),'DADOS_FORMAS'!$HO59)))&amp;SUBSTITUTE('DADOS_FORMAS'!$HQ59,"em você","nela")))</f>
        <v/>
      </c>
      <c r="IE70">
        <f>IF(OR('DADOS_FORMAS'!$AH19="",'DADOS_FORMAS'!$HM59="",'DADOS_FORMAS'!$HO59=""),"",IF('DADOS_FORMAS'!$HO59="—","—",'DADOS_FORMAS'!$HP59&amp;IF('DADOS_FORMAS'!$HN59="alcance",INDEX('DADOS_FORMAS'!$GL$2:$GL$7,MIN(6,'DADOS_FORMAS'!$HR59+4)),IF('DADOS_FORMAS'!$HN59="raio",INDEX('DADOS_FORMAS'!$GN$2:$GN$6,MIN(5,'DADOS_FORMAS'!$HR59+4)),IF('DADOS_FORMAS'!$HN59="comprimento",INDEX('DADOS_FORMAS'!$GP$2:$GP$6,MIN(5,'DADOS_FORMAS'!$HR59+4)),'DADOS_FORMAS'!$HO59)))&amp;SUBSTITUTE('DADOS_FORMAS'!$HQ59,"em você","nela")))</f>
        <v/>
      </c>
      <c r="IF70">
        <f>IF(OR('DADOS_FORMAS'!$AH19="",'DADOS_FORMAS'!$HM59="",'DADOS_FORMAS'!$HO59=""),"",IF('DADOS_FORMAS'!$HO59="—","—",'DADOS_FORMAS'!$HP59&amp;IF('DADOS_FORMAS'!$HN59="alcance",INDEX('DADOS_FORMAS'!$GL$2:$GL$7,MIN(6,'DADOS_FORMAS'!$HR59+5)),IF('DADOS_FORMAS'!$HN59="raio",INDEX('DADOS_FORMAS'!$GN$2:$GN$6,MIN(5,'DADOS_FORMAS'!$HR59+5)),IF('DADOS_FORMAS'!$HN59="comprimento",INDEX('DADOS_FORMAS'!$GP$2:$GP$6,MIN(5,'DADOS_FORMAS'!$HR59+5)),'DADOS_FORMAS'!$HO59)))&amp;SUBSTITUTE('DADOS_FORMAS'!$HQ59,"em você","nela")))</f>
        <v/>
      </c>
    </row>
    <row r="71">
      <c r="HM71">
        <f>'DADOS_FORMAS'!$BP20</f>
        <v/>
      </c>
      <c r="HN71">
        <f>IF('DADOS_FORMAS'!$BP20="area",'DADOS_FORMAS'!$AU20,'DADOS_FORMAS'!$AT20)</f>
        <v/>
      </c>
      <c r="HO71">
        <f>IF('DADOS_FORMAS'!$BP20="area",'DADOS_FORMAS'!$BH20,'DADOS_FORMAS'!$BA20)</f>
        <v/>
      </c>
      <c r="HP71">
        <f>'DADOS_FORMAS'!$BQ20</f>
        <v/>
      </c>
      <c r="HQ71">
        <f>'DADOS_FORMAS'!$BR20</f>
        <v/>
      </c>
      <c r="HR71">
        <f>LET(base,'DADOS_FORMAS'!$HO71,escada,'DADOS_FORMAS'!$HN71,medida,LEFT(base,MAX(0,LEN(base)-2)),valor,IFERROR(VALUE(SUBSTITUTE(medida,",",""))/10^IFERROR(LEN(medida)-FIND(",",medida),0),1E99),IF(OR(escada="Fixo",base="—"),base,IF(escada="alcance",IFERROR(MATCH(base,{"1,5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1">
        <f>'DADOS_FORMAS'!$AH19&amp;" · classes 1 a 5"</f>
        <v/>
      </c>
      <c r="HU71">
        <f>LET(trecho,IF(OR('DADOS_FORMAS'!$AH19="",'DADOS_FORMAS'!$HM60="",'DADOS_FORMAS'!$HO60=""),"",IF('DADOS_FORMAS'!$HO60="—","—",'DADOS_FORMAS'!$HP60&amp;'DADOS_FORMAS'!$HO60&amp;SUBSTITUTE('DADOS_FORMAS'!$HQ60,"em você","nela"))),UPPER(LEFT(trecho,1))&amp;MID(trecho,2,LEN(trecho)))</f>
        <v/>
      </c>
      <c r="HV71">
        <f>LET(trecho,IF(OR('DADOS_FORMAS'!$AH19="",'DADOS_FORMAS'!$HM60="",'DADOS_FORMAS'!$HO60=""),"",IF('DADOS_FORMAS'!$HO60="—","—",'DADOS_FORMAS'!$HP60&amp;IF('DADOS_FORMAS'!$HN60="alcance",INDEX('DADOS_FORMAS'!$GL$2:$GL$7,MIN(6,'DADOS_FORMAS'!$HR60+1)),IF('DADOS_FORMAS'!$HN60="raio",INDEX('DADOS_FORMAS'!$GN$2:$GN$6,MIN(5,'DADOS_FORMAS'!$HR60+1)),IF('DADOS_FORMAS'!$HN60="comprimento",INDEX('DADOS_FORMAS'!$GP$2:$GP$6,MIN(5,'DADOS_FORMAS'!$HR60+1)),'DADOS_FORMAS'!$HO60)))&amp;SUBSTITUTE('DADOS_FORMAS'!$HQ60,"em você","nela"))),UPPER(LEFT(trecho,1))&amp;MID(trecho,2,LEN(trecho)))</f>
        <v/>
      </c>
      <c r="HW71">
        <f>LET(trecho,IF(OR('DADOS_FORMAS'!$AH19="",'DADOS_FORMAS'!$HM60="",'DADOS_FORMAS'!$HO60=""),"",IF('DADOS_FORMAS'!$HO60="—","—",'DADOS_FORMAS'!$HP60&amp;IF('DADOS_FORMAS'!$HN60="alcance",INDEX('DADOS_FORMAS'!$GL$2:$GL$7,MIN(6,'DADOS_FORMAS'!$HR60+2)),IF('DADOS_FORMAS'!$HN60="raio",INDEX('DADOS_FORMAS'!$GN$2:$GN$6,MIN(5,'DADOS_FORMAS'!$HR60+2)),IF('DADOS_FORMAS'!$HN60="comprimento",INDEX('DADOS_FORMAS'!$GP$2:$GP$6,MIN(5,'DADOS_FORMAS'!$HR60+2)),'DADOS_FORMAS'!$HO60)))&amp;SUBSTITUTE('DADOS_FORMAS'!$HQ60,"em você","nela"))),UPPER(LEFT(trecho,1))&amp;MID(trecho,2,LEN(trecho)))</f>
        <v/>
      </c>
      <c r="HX71">
        <f>LET(trecho,IF(OR('DADOS_FORMAS'!$AH19="",'DADOS_FORMAS'!$HM60="",'DADOS_FORMAS'!$HO60=""),"",IF('DADOS_FORMAS'!$HO60="—","—",'DADOS_FORMAS'!$HP60&amp;IF('DADOS_FORMAS'!$HN60="alcance",INDEX('DADOS_FORMAS'!$GL$2:$GL$7,MIN(6,'DADOS_FORMAS'!$HR60+3)),IF('DADOS_FORMAS'!$HN60="raio",INDEX('DADOS_FORMAS'!$GN$2:$GN$6,MIN(5,'DADOS_FORMAS'!$HR60+3)),IF('DADOS_FORMAS'!$HN60="comprimento",INDEX('DADOS_FORMAS'!$GP$2:$GP$6,MIN(5,'DADOS_FORMAS'!$HR60+3)),'DADOS_FORMAS'!$HO60)))&amp;SUBSTITUTE('DADOS_FORMAS'!$HQ60,"em você","nela"))),UPPER(LEFT(trecho,1))&amp;MID(trecho,2,LEN(trecho)))</f>
        <v/>
      </c>
      <c r="HY71">
        <f>LET(trecho,IF(OR('DADOS_FORMAS'!$AH19="",'DADOS_FORMAS'!$HM60="",'DADOS_FORMAS'!$HO60=""),"",IF('DADOS_FORMAS'!$HO60="—","—",'DADOS_FORMAS'!$HP60&amp;IF('DADOS_FORMAS'!$HN60="alcance",INDEX('DADOS_FORMAS'!$GL$2:$GL$7,MIN(6,'DADOS_FORMAS'!$HR60+4)),IF('DADOS_FORMAS'!$HN60="raio",INDEX('DADOS_FORMAS'!$GN$2:$GN$6,MIN(5,'DADOS_FORMAS'!$HR60+4)),IF('DADOS_FORMAS'!$HN60="comprimento",INDEX('DADOS_FORMAS'!$GP$2:$GP$6,MIN(5,'DADOS_FORMAS'!$HR60+4)),'DADOS_FORMAS'!$HO60)))&amp;SUBSTITUTE('DADOS_FORMAS'!$HQ60,"em você","nela"))),UPPER(LEFT(trecho,1))&amp;MID(trecho,2,LEN(trecho)))</f>
        <v/>
      </c>
      <c r="HZ71">
        <f>LET(trecho,IF(OR('DADOS_FORMAS'!$AH19="",'DADOS_FORMAS'!$HM60="",'DADOS_FORMAS'!$HO60=""),"",IF('DADOS_FORMAS'!$HO60="—","—",'DADOS_FORMAS'!$HP60&amp;IF('DADOS_FORMAS'!$HN60="alcance",INDEX('DADOS_FORMAS'!$GL$2:$GL$7,MIN(6,'DADOS_FORMAS'!$HR60+5)),IF('DADOS_FORMAS'!$HN60="raio",INDEX('DADOS_FORMAS'!$GN$2:$GN$6,MIN(5,'DADOS_FORMAS'!$HR60+5)),IF('DADOS_FORMAS'!$HN60="comprimento",INDEX('DADOS_FORMAS'!$GP$2:$GP$6,MIN(5,'DADOS_FORMAS'!$HR60+5)),'DADOS_FORMAS'!$HO60)))&amp;SUBSTITUTE('DADOS_FORMAS'!$HQ60,"em você","nela"))),UPPER(LEFT(trecho,1))&amp;MID(trecho,2,LEN(trecho)))</f>
        <v/>
      </c>
      <c r="IA71">
        <f>IF(OR('DADOS_FORMAS'!$AH19="",'DADOS_FORMAS'!$HM61="",'DADOS_FORMAS'!$HO61=""),"",IF('DADOS_FORMAS'!$HO61="—","—",'DADOS_FORMAS'!$HP61&amp;'DADOS_FORMAS'!$HO61&amp;SUBSTITUTE('DADOS_FORMAS'!$HQ61,"em você","nela")))</f>
        <v/>
      </c>
      <c r="IB71">
        <f>IF(OR('DADOS_FORMAS'!$AH19="",'DADOS_FORMAS'!$HM61="",'DADOS_FORMAS'!$HO61=""),"",IF('DADOS_FORMAS'!$HO61="—","—",'DADOS_FORMAS'!$HP61&amp;IF('DADOS_FORMAS'!$HN61="alcance",INDEX('DADOS_FORMAS'!$GL$2:$GL$7,MIN(6,'DADOS_FORMAS'!$HR61+1)),IF('DADOS_FORMAS'!$HN61="raio",INDEX('DADOS_FORMAS'!$GN$2:$GN$6,MIN(5,'DADOS_FORMAS'!$HR61+1)),IF('DADOS_FORMAS'!$HN61="comprimento",INDEX('DADOS_FORMAS'!$GP$2:$GP$6,MIN(5,'DADOS_FORMAS'!$HR61+1)),'DADOS_FORMAS'!$HO61)))&amp;SUBSTITUTE('DADOS_FORMAS'!$HQ61,"em você","nela")))</f>
        <v/>
      </c>
      <c r="IC71">
        <f>IF(OR('DADOS_FORMAS'!$AH19="",'DADOS_FORMAS'!$HM61="",'DADOS_FORMAS'!$HO61=""),"",IF('DADOS_FORMAS'!$HO61="—","—",'DADOS_FORMAS'!$HP61&amp;IF('DADOS_FORMAS'!$HN61="alcance",INDEX('DADOS_FORMAS'!$GL$2:$GL$7,MIN(6,'DADOS_FORMAS'!$HR61+2)),IF('DADOS_FORMAS'!$HN61="raio",INDEX('DADOS_FORMAS'!$GN$2:$GN$6,MIN(5,'DADOS_FORMAS'!$HR61+2)),IF('DADOS_FORMAS'!$HN61="comprimento",INDEX('DADOS_FORMAS'!$GP$2:$GP$6,MIN(5,'DADOS_FORMAS'!$HR61+2)),'DADOS_FORMAS'!$HO61)))&amp;SUBSTITUTE('DADOS_FORMAS'!$HQ61,"em você","nela")))</f>
        <v/>
      </c>
      <c r="ID71">
        <f>IF(OR('DADOS_FORMAS'!$AH19="",'DADOS_FORMAS'!$HM61="",'DADOS_FORMAS'!$HO61=""),"",IF('DADOS_FORMAS'!$HO61="—","—",'DADOS_FORMAS'!$HP61&amp;IF('DADOS_FORMAS'!$HN61="alcance",INDEX('DADOS_FORMAS'!$GL$2:$GL$7,MIN(6,'DADOS_FORMAS'!$HR61+3)),IF('DADOS_FORMAS'!$HN61="raio",INDEX('DADOS_FORMAS'!$GN$2:$GN$6,MIN(5,'DADOS_FORMAS'!$HR61+3)),IF('DADOS_FORMAS'!$HN61="comprimento",INDEX('DADOS_FORMAS'!$GP$2:$GP$6,MIN(5,'DADOS_FORMAS'!$HR61+3)),'DADOS_FORMAS'!$HO61)))&amp;SUBSTITUTE('DADOS_FORMAS'!$HQ61,"em você","nela")))</f>
        <v/>
      </c>
      <c r="IE71">
        <f>IF(OR('DADOS_FORMAS'!$AH19="",'DADOS_FORMAS'!$HM61="",'DADOS_FORMAS'!$HO61=""),"",IF('DADOS_FORMAS'!$HO61="—","—",'DADOS_FORMAS'!$HP61&amp;IF('DADOS_FORMAS'!$HN61="alcance",INDEX('DADOS_FORMAS'!$GL$2:$GL$7,MIN(6,'DADOS_FORMAS'!$HR61+4)),IF('DADOS_FORMAS'!$HN61="raio",INDEX('DADOS_FORMAS'!$GN$2:$GN$6,MIN(5,'DADOS_FORMAS'!$HR61+4)),IF('DADOS_FORMAS'!$HN61="comprimento",INDEX('DADOS_FORMAS'!$GP$2:$GP$6,MIN(5,'DADOS_FORMAS'!$HR61+4)),'DADOS_FORMAS'!$HO61)))&amp;SUBSTITUTE('DADOS_FORMAS'!$HQ61,"em você","nela")))</f>
        <v/>
      </c>
      <c r="IF71">
        <f>IF(OR('DADOS_FORMAS'!$AH19="",'DADOS_FORMAS'!$HM61="",'DADOS_FORMAS'!$HO61=""),"",IF('DADOS_FORMAS'!$HO61="—","—",'DADOS_FORMAS'!$HP61&amp;IF('DADOS_FORMAS'!$HN61="alcance",INDEX('DADOS_FORMAS'!$GL$2:$GL$7,MIN(6,'DADOS_FORMAS'!$HR61+5)),IF('DADOS_FORMAS'!$HN61="raio",INDEX('DADOS_FORMAS'!$GN$2:$GN$6,MIN(5,'DADOS_FORMAS'!$HR61+5)),IF('DADOS_FORMAS'!$HN61="comprimento",INDEX('DADOS_FORMAS'!$GP$2:$GP$6,MIN(5,'DADOS_FORMAS'!$HR61+5)),'DADOS_FORMAS'!$HO61)))&amp;SUBSTITUTE('DADOS_FORMAS'!$HQ61,"em você","nela")))</f>
        <v/>
      </c>
    </row>
    <row r="72">
      <c r="HM72">
        <f>'DADOS_FORMAS'!$BL20</f>
        <v/>
      </c>
      <c r="HN72">
        <f>IF('DADOS_FORMAS'!$BL20="area",'DADOS_FORMAS'!$AU20,'DADOS_FORMAS'!$AT20)</f>
        <v/>
      </c>
      <c r="HO72">
        <f>IF('DADOS_FORMAS'!$BL20="area",'DADOS_FORMAS'!$BI20,'DADOS_FORMAS'!$BB20)</f>
        <v/>
      </c>
      <c r="HP72">
        <f>'DADOS_FORMAS'!$BM20</f>
        <v/>
      </c>
      <c r="HQ72">
        <f>'DADOS_FORMAS'!$BN20</f>
        <v/>
      </c>
      <c r="HR72">
        <f>LET(base,'DADOS_FORMAS'!$HO72,escada,'DADOS_FORMAS'!$HN72,medida,LEFT(base,MAX(0,LEN(base)-2)),valor,IFERROR(VALUE(SUBSTITUTE(medida,",",""))/10^IFERROR(LEN(medida)-FIND(",",medida),0),1E99),IF(OR(escada="Fixo",base="—"),base,IF(escada="alcance",IFERROR(MATCH(base,{"1,5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2">
        <f>'DADOS_FORMAS'!$AH19&amp;" · classe 6"</f>
        <v/>
      </c>
      <c r="HU72">
        <f>LET(trecho,IF(OR('DADOS_FORMAS'!$AH19="",'DADOS_FORMAS'!$HM62="",'DADOS_FORMAS'!$HO62=""),"",IF('DADOS_FORMAS'!$HO62="—","—",'DADOS_FORMAS'!$HP62&amp;'DADOS_FORMAS'!$HO62&amp;SUBSTITUTE('DADOS_FORMAS'!$HQ62,"em você","nela"))),UPPER(LEFT(trecho,1))&amp;MID(trecho,2,LEN(trecho)))</f>
        <v/>
      </c>
      <c r="HV72">
        <f>LET(trecho,IF(OR('DADOS_FORMAS'!$AH19="",'DADOS_FORMAS'!$HM62="",'DADOS_FORMAS'!$HO62=""),"",IF('DADOS_FORMAS'!$HO62="—","—",'DADOS_FORMAS'!$HP62&amp;IF('DADOS_FORMAS'!$HN62="alcance",INDEX('DADOS_FORMAS'!$GL$2:$GL$7,MIN(6,'DADOS_FORMAS'!$HR62+1)),IF('DADOS_FORMAS'!$HN62="raio",INDEX('DADOS_FORMAS'!$GN$2:$GN$6,MIN(5,'DADOS_FORMAS'!$HR62+1)),IF('DADOS_FORMAS'!$HN62="comprimento",INDEX('DADOS_FORMAS'!$GP$2:$GP$6,MIN(5,'DADOS_FORMAS'!$HR62+1)),'DADOS_FORMAS'!$HO62)))&amp;SUBSTITUTE('DADOS_FORMAS'!$HQ62,"em você","nela"))),UPPER(LEFT(trecho,1))&amp;MID(trecho,2,LEN(trecho)))</f>
        <v/>
      </c>
      <c r="HW72">
        <f>LET(trecho,IF(OR('DADOS_FORMAS'!$AH19="",'DADOS_FORMAS'!$HM62="",'DADOS_FORMAS'!$HO62=""),"",IF('DADOS_FORMAS'!$HO62="—","—",'DADOS_FORMAS'!$HP62&amp;IF('DADOS_FORMAS'!$HN62="alcance",INDEX('DADOS_FORMAS'!$GL$2:$GL$7,MIN(6,'DADOS_FORMAS'!$HR62+2)),IF('DADOS_FORMAS'!$HN62="raio",INDEX('DADOS_FORMAS'!$GN$2:$GN$6,MIN(5,'DADOS_FORMAS'!$HR62+2)),IF('DADOS_FORMAS'!$HN62="comprimento",INDEX('DADOS_FORMAS'!$GP$2:$GP$6,MIN(5,'DADOS_FORMAS'!$HR62+2)),'DADOS_FORMAS'!$HO62)))&amp;SUBSTITUTE('DADOS_FORMAS'!$HQ62,"em você","nela"))),UPPER(LEFT(trecho,1))&amp;MID(trecho,2,LEN(trecho)))</f>
        <v/>
      </c>
      <c r="HX72">
        <f>LET(trecho,IF(OR('DADOS_FORMAS'!$AH19="",'DADOS_FORMAS'!$HM62="",'DADOS_FORMAS'!$HO62=""),"",IF('DADOS_FORMAS'!$HO62="—","—",'DADOS_FORMAS'!$HP62&amp;IF('DADOS_FORMAS'!$HN62="alcance",INDEX('DADOS_FORMAS'!$GL$2:$GL$7,MIN(6,'DADOS_FORMAS'!$HR62+3)),IF('DADOS_FORMAS'!$HN62="raio",INDEX('DADOS_FORMAS'!$GN$2:$GN$6,MIN(5,'DADOS_FORMAS'!$HR62+3)),IF('DADOS_FORMAS'!$HN62="comprimento",INDEX('DADOS_FORMAS'!$GP$2:$GP$6,MIN(5,'DADOS_FORMAS'!$HR62+3)),'DADOS_FORMAS'!$HO62)))&amp;SUBSTITUTE('DADOS_FORMAS'!$HQ62,"em você","nela"))),UPPER(LEFT(trecho,1))&amp;MID(trecho,2,LEN(trecho)))</f>
        <v/>
      </c>
      <c r="HY72">
        <f>LET(trecho,IF(OR('DADOS_FORMAS'!$AH19="",'DADOS_FORMAS'!$HM62="",'DADOS_FORMAS'!$HO62=""),"",IF('DADOS_FORMAS'!$HO62="—","—",'DADOS_FORMAS'!$HP62&amp;IF('DADOS_FORMAS'!$HN62="alcance",INDEX('DADOS_FORMAS'!$GL$2:$GL$7,MIN(6,'DADOS_FORMAS'!$HR62+4)),IF('DADOS_FORMAS'!$HN62="raio",INDEX('DADOS_FORMAS'!$GN$2:$GN$6,MIN(5,'DADOS_FORMAS'!$HR62+4)),IF('DADOS_FORMAS'!$HN62="comprimento",INDEX('DADOS_FORMAS'!$GP$2:$GP$6,MIN(5,'DADOS_FORMAS'!$HR62+4)),'DADOS_FORMAS'!$HO62)))&amp;SUBSTITUTE('DADOS_FORMAS'!$HQ62,"em você","nela"))),UPPER(LEFT(trecho,1))&amp;MID(trecho,2,LEN(trecho)))</f>
        <v/>
      </c>
      <c r="HZ72">
        <f>LET(trecho,IF(OR('DADOS_FORMAS'!$AH19="",'DADOS_FORMAS'!$HM62="",'DADOS_FORMAS'!$HO62=""),"",IF('DADOS_FORMAS'!$HO62="—","—",'DADOS_FORMAS'!$HP62&amp;IF('DADOS_FORMAS'!$HN62="alcance",INDEX('DADOS_FORMAS'!$GL$2:$GL$7,MIN(6,'DADOS_FORMAS'!$HR62+5)),IF('DADOS_FORMAS'!$HN62="raio",INDEX('DADOS_FORMAS'!$GN$2:$GN$6,MIN(5,'DADOS_FORMAS'!$HR62+5)),IF('DADOS_FORMAS'!$HN62="comprimento",INDEX('DADOS_FORMAS'!$GP$2:$GP$6,MIN(5,'DADOS_FORMAS'!$HR62+5)),'DADOS_FORMAS'!$HO62)))&amp;SUBSTITUTE('DADOS_FORMAS'!$HQ62,"em você","nela"))),UPPER(LEFT(trecho,1))&amp;MID(trecho,2,LEN(trecho)))</f>
        <v/>
      </c>
      <c r="IA72">
        <f>IF(OR('DADOS_FORMAS'!$AH19="",'DADOS_FORMAS'!$HM63="",'DADOS_FORMAS'!$HO63=""),"",IF('DADOS_FORMAS'!$HO63="—","—",'DADOS_FORMAS'!$HP63&amp;'DADOS_FORMAS'!$HO63&amp;SUBSTITUTE('DADOS_FORMAS'!$HQ63,"em você","nela")))</f>
        <v/>
      </c>
      <c r="IB72">
        <f>IF(OR('DADOS_FORMAS'!$AH19="",'DADOS_FORMAS'!$HM63="",'DADOS_FORMAS'!$HO63=""),"",IF('DADOS_FORMAS'!$HO63="—","—",'DADOS_FORMAS'!$HP63&amp;IF('DADOS_FORMAS'!$HN63="alcance",INDEX('DADOS_FORMAS'!$GL$2:$GL$7,MIN(6,'DADOS_FORMAS'!$HR63+1)),IF('DADOS_FORMAS'!$HN63="raio",INDEX('DADOS_FORMAS'!$GN$2:$GN$6,MIN(5,'DADOS_FORMAS'!$HR63+1)),IF('DADOS_FORMAS'!$HN63="comprimento",INDEX('DADOS_FORMAS'!$GP$2:$GP$6,MIN(5,'DADOS_FORMAS'!$HR63+1)),'DADOS_FORMAS'!$HO63)))&amp;SUBSTITUTE('DADOS_FORMAS'!$HQ63,"em você","nela")))</f>
        <v/>
      </c>
      <c r="IC72">
        <f>IF(OR('DADOS_FORMAS'!$AH19="",'DADOS_FORMAS'!$HM63="",'DADOS_FORMAS'!$HO63=""),"",IF('DADOS_FORMAS'!$HO63="—","—",'DADOS_FORMAS'!$HP63&amp;IF('DADOS_FORMAS'!$HN63="alcance",INDEX('DADOS_FORMAS'!$GL$2:$GL$7,MIN(6,'DADOS_FORMAS'!$HR63+2)),IF('DADOS_FORMAS'!$HN63="raio",INDEX('DADOS_FORMAS'!$GN$2:$GN$6,MIN(5,'DADOS_FORMAS'!$HR63+2)),IF('DADOS_FORMAS'!$HN63="comprimento",INDEX('DADOS_FORMAS'!$GP$2:$GP$6,MIN(5,'DADOS_FORMAS'!$HR63+2)),'DADOS_FORMAS'!$HO63)))&amp;SUBSTITUTE('DADOS_FORMAS'!$HQ63,"em você","nela")))</f>
        <v/>
      </c>
      <c r="ID72">
        <f>IF(OR('DADOS_FORMAS'!$AH19="",'DADOS_FORMAS'!$HM63="",'DADOS_FORMAS'!$HO63=""),"",IF('DADOS_FORMAS'!$HO63="—","—",'DADOS_FORMAS'!$HP63&amp;IF('DADOS_FORMAS'!$HN63="alcance",INDEX('DADOS_FORMAS'!$GL$2:$GL$7,MIN(6,'DADOS_FORMAS'!$HR63+3)),IF('DADOS_FORMAS'!$HN63="raio",INDEX('DADOS_FORMAS'!$GN$2:$GN$6,MIN(5,'DADOS_FORMAS'!$HR63+3)),IF('DADOS_FORMAS'!$HN63="comprimento",INDEX('DADOS_FORMAS'!$GP$2:$GP$6,MIN(5,'DADOS_FORMAS'!$HR63+3)),'DADOS_FORMAS'!$HO63)))&amp;SUBSTITUTE('DADOS_FORMAS'!$HQ63,"em você","nela")))</f>
        <v/>
      </c>
      <c r="IE72">
        <f>IF(OR('DADOS_FORMAS'!$AH19="",'DADOS_FORMAS'!$HM63="",'DADOS_FORMAS'!$HO63=""),"",IF('DADOS_FORMAS'!$HO63="—","—",'DADOS_FORMAS'!$HP63&amp;IF('DADOS_FORMAS'!$HN63="alcance",INDEX('DADOS_FORMAS'!$GL$2:$GL$7,MIN(6,'DADOS_FORMAS'!$HR63+4)),IF('DADOS_FORMAS'!$HN63="raio",INDEX('DADOS_FORMAS'!$GN$2:$GN$6,MIN(5,'DADOS_FORMAS'!$HR63+4)),IF('DADOS_FORMAS'!$HN63="comprimento",INDEX('DADOS_FORMAS'!$GP$2:$GP$6,MIN(5,'DADOS_FORMAS'!$HR63+4)),'DADOS_FORMAS'!$HO63)))&amp;SUBSTITUTE('DADOS_FORMAS'!$HQ63,"em você","nela")))</f>
        <v/>
      </c>
      <c r="IF72">
        <f>IF(OR('DADOS_FORMAS'!$AH19="",'DADOS_FORMAS'!$HM63="",'DADOS_FORMAS'!$HO63=""),"",IF('DADOS_FORMAS'!$HO63="—","—",'DADOS_FORMAS'!$HP63&amp;IF('DADOS_FORMAS'!$HN63="alcance",INDEX('DADOS_FORMAS'!$GL$2:$GL$7,MIN(6,'DADOS_FORMAS'!$HR63+5)),IF('DADOS_FORMAS'!$HN63="raio",INDEX('DADOS_FORMAS'!$GN$2:$GN$6,MIN(5,'DADOS_FORMAS'!$HR63+5)),IF('DADOS_FORMAS'!$HN63="comprimento",INDEX('DADOS_FORMAS'!$GP$2:$GP$6,MIN(5,'DADOS_FORMAS'!$HR63+5)),'DADOS_FORMAS'!$HO63)))&amp;SUBSTITUTE('DADOS_FORMAS'!$HQ63,"em você","nela")))</f>
        <v/>
      </c>
    </row>
    <row r="73">
      <c r="HM73">
        <f>'DADOS_FORMAS'!$BP20</f>
        <v/>
      </c>
      <c r="HN73">
        <f>IF('DADOS_FORMAS'!$BP20="area",'DADOS_FORMAS'!$AU20,'DADOS_FORMAS'!$AT20)</f>
        <v/>
      </c>
      <c r="HO73">
        <f>IF('DADOS_FORMAS'!$BP20="area",'DADOS_FORMAS'!$BI20,'DADOS_FORMAS'!$BB20)</f>
        <v/>
      </c>
      <c r="HP73">
        <f>'DADOS_FORMAS'!$BQ20</f>
        <v/>
      </c>
      <c r="HQ73">
        <f>'DADOS_FORMAS'!$BR20</f>
        <v/>
      </c>
      <c r="HR73">
        <f>LET(base,'DADOS_FORMAS'!$HO73,escada,'DADOS_FORMAS'!$HN73,medida,LEFT(base,MAX(0,LEN(base)-2)),valor,IFERROR(VALUE(SUBSTITUTE(medida,",",""))/10^IFERROR(LEN(medida)-FIND(",",medida),0),1E99),IF(OR(escada="Fixo",base="—"),base,IF(escada="alcance",IFERROR(MATCH(base,{"1,5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3">
        <f>'DADOS_FORMAS'!$AH19&amp;" · classe 7"</f>
        <v/>
      </c>
      <c r="HU73">
        <f>LET(trecho,IF(OR('DADOS_FORMAS'!$AH19="",'DADOS_FORMAS'!$HM64="",'DADOS_FORMAS'!$HO64=""),"",IF('DADOS_FORMAS'!$HO64="—","—",'DADOS_FORMAS'!$HP64&amp;'DADOS_FORMAS'!$HO64&amp;SUBSTITUTE('DADOS_FORMAS'!$HQ64,"em você","nela"))),UPPER(LEFT(trecho,1))&amp;MID(trecho,2,LEN(trecho)))</f>
        <v/>
      </c>
      <c r="HV73">
        <f>LET(trecho,IF(OR('DADOS_FORMAS'!$AH19="",'DADOS_FORMAS'!$HM64="",'DADOS_FORMAS'!$HO64=""),"",IF('DADOS_FORMAS'!$HO64="—","—",'DADOS_FORMAS'!$HP64&amp;IF('DADOS_FORMAS'!$HN64="alcance",INDEX('DADOS_FORMAS'!$GL$2:$GL$7,MIN(6,'DADOS_FORMAS'!$HR64+1)),IF('DADOS_FORMAS'!$HN64="raio",INDEX('DADOS_FORMAS'!$GN$2:$GN$6,MIN(5,'DADOS_FORMAS'!$HR64+1)),IF('DADOS_FORMAS'!$HN64="comprimento",INDEX('DADOS_FORMAS'!$GP$2:$GP$6,MIN(5,'DADOS_FORMAS'!$HR64+1)),'DADOS_FORMAS'!$HO64)))&amp;SUBSTITUTE('DADOS_FORMAS'!$HQ64,"em você","nela"))),UPPER(LEFT(trecho,1))&amp;MID(trecho,2,LEN(trecho)))</f>
        <v/>
      </c>
      <c r="HW73">
        <f>LET(trecho,IF(OR('DADOS_FORMAS'!$AH19="",'DADOS_FORMAS'!$HM64="",'DADOS_FORMAS'!$HO64=""),"",IF('DADOS_FORMAS'!$HO64="—","—",'DADOS_FORMAS'!$HP64&amp;IF('DADOS_FORMAS'!$HN64="alcance",INDEX('DADOS_FORMAS'!$GL$2:$GL$7,MIN(6,'DADOS_FORMAS'!$HR64+2)),IF('DADOS_FORMAS'!$HN64="raio",INDEX('DADOS_FORMAS'!$GN$2:$GN$6,MIN(5,'DADOS_FORMAS'!$HR64+2)),IF('DADOS_FORMAS'!$HN64="comprimento",INDEX('DADOS_FORMAS'!$GP$2:$GP$6,MIN(5,'DADOS_FORMAS'!$HR64+2)),'DADOS_FORMAS'!$HO64)))&amp;SUBSTITUTE('DADOS_FORMAS'!$HQ64,"em você","nela"))),UPPER(LEFT(trecho,1))&amp;MID(trecho,2,LEN(trecho)))</f>
        <v/>
      </c>
      <c r="HX73">
        <f>LET(trecho,IF(OR('DADOS_FORMAS'!$AH19="",'DADOS_FORMAS'!$HM64="",'DADOS_FORMAS'!$HO64=""),"",IF('DADOS_FORMAS'!$HO64="—","—",'DADOS_FORMAS'!$HP64&amp;IF('DADOS_FORMAS'!$HN64="alcance",INDEX('DADOS_FORMAS'!$GL$2:$GL$7,MIN(6,'DADOS_FORMAS'!$HR64+3)),IF('DADOS_FORMAS'!$HN64="raio",INDEX('DADOS_FORMAS'!$GN$2:$GN$6,MIN(5,'DADOS_FORMAS'!$HR64+3)),IF('DADOS_FORMAS'!$HN64="comprimento",INDEX('DADOS_FORMAS'!$GP$2:$GP$6,MIN(5,'DADOS_FORMAS'!$HR64+3)),'DADOS_FORMAS'!$HO64)))&amp;SUBSTITUTE('DADOS_FORMAS'!$HQ64,"em você","nela"))),UPPER(LEFT(trecho,1))&amp;MID(trecho,2,LEN(trecho)))</f>
        <v/>
      </c>
      <c r="HY73">
        <f>LET(trecho,IF(OR('DADOS_FORMAS'!$AH19="",'DADOS_FORMAS'!$HM64="",'DADOS_FORMAS'!$HO64=""),"",IF('DADOS_FORMAS'!$HO64="—","—",'DADOS_FORMAS'!$HP64&amp;IF('DADOS_FORMAS'!$HN64="alcance",INDEX('DADOS_FORMAS'!$GL$2:$GL$7,MIN(6,'DADOS_FORMAS'!$HR64+4)),IF('DADOS_FORMAS'!$HN64="raio",INDEX('DADOS_FORMAS'!$GN$2:$GN$6,MIN(5,'DADOS_FORMAS'!$HR64+4)),IF('DADOS_FORMAS'!$HN64="comprimento",INDEX('DADOS_FORMAS'!$GP$2:$GP$6,MIN(5,'DADOS_FORMAS'!$HR64+4)),'DADOS_FORMAS'!$HO64)))&amp;SUBSTITUTE('DADOS_FORMAS'!$HQ64,"em você","nela"))),UPPER(LEFT(trecho,1))&amp;MID(trecho,2,LEN(trecho)))</f>
        <v/>
      </c>
      <c r="HZ73">
        <f>LET(trecho,IF(OR('DADOS_FORMAS'!$AH19="",'DADOS_FORMAS'!$HM64="",'DADOS_FORMAS'!$HO64=""),"",IF('DADOS_FORMAS'!$HO64="—","—",'DADOS_FORMAS'!$HP64&amp;IF('DADOS_FORMAS'!$HN64="alcance",INDEX('DADOS_FORMAS'!$GL$2:$GL$7,MIN(6,'DADOS_FORMAS'!$HR64+5)),IF('DADOS_FORMAS'!$HN64="raio",INDEX('DADOS_FORMAS'!$GN$2:$GN$6,MIN(5,'DADOS_FORMAS'!$HR64+5)),IF('DADOS_FORMAS'!$HN64="comprimento",INDEX('DADOS_FORMAS'!$GP$2:$GP$6,MIN(5,'DADOS_FORMAS'!$HR64+5)),'DADOS_FORMAS'!$HO64)))&amp;SUBSTITUTE('DADOS_FORMAS'!$HQ64,"em você","nela"))),UPPER(LEFT(trecho,1))&amp;MID(trecho,2,LEN(trecho)))</f>
        <v/>
      </c>
      <c r="IA73">
        <f>IF(OR('DADOS_FORMAS'!$AH19="",'DADOS_FORMAS'!$HM65="",'DADOS_FORMAS'!$HO65=""),"",IF('DADOS_FORMAS'!$HO65="—","—",'DADOS_FORMAS'!$HP65&amp;'DADOS_FORMAS'!$HO65&amp;SUBSTITUTE('DADOS_FORMAS'!$HQ65,"em você","nela")))</f>
        <v/>
      </c>
      <c r="IB73">
        <f>IF(OR('DADOS_FORMAS'!$AH19="",'DADOS_FORMAS'!$HM65="",'DADOS_FORMAS'!$HO65=""),"",IF('DADOS_FORMAS'!$HO65="—","—",'DADOS_FORMAS'!$HP65&amp;IF('DADOS_FORMAS'!$HN65="alcance",INDEX('DADOS_FORMAS'!$GL$2:$GL$7,MIN(6,'DADOS_FORMAS'!$HR65+1)),IF('DADOS_FORMAS'!$HN65="raio",INDEX('DADOS_FORMAS'!$GN$2:$GN$6,MIN(5,'DADOS_FORMAS'!$HR65+1)),IF('DADOS_FORMAS'!$HN65="comprimento",INDEX('DADOS_FORMAS'!$GP$2:$GP$6,MIN(5,'DADOS_FORMAS'!$HR65+1)),'DADOS_FORMAS'!$HO65)))&amp;SUBSTITUTE('DADOS_FORMAS'!$HQ65,"em você","nela")))</f>
        <v/>
      </c>
      <c r="IC73">
        <f>IF(OR('DADOS_FORMAS'!$AH19="",'DADOS_FORMAS'!$HM65="",'DADOS_FORMAS'!$HO65=""),"",IF('DADOS_FORMAS'!$HO65="—","—",'DADOS_FORMAS'!$HP65&amp;IF('DADOS_FORMAS'!$HN65="alcance",INDEX('DADOS_FORMAS'!$GL$2:$GL$7,MIN(6,'DADOS_FORMAS'!$HR65+2)),IF('DADOS_FORMAS'!$HN65="raio",INDEX('DADOS_FORMAS'!$GN$2:$GN$6,MIN(5,'DADOS_FORMAS'!$HR65+2)),IF('DADOS_FORMAS'!$HN65="comprimento",INDEX('DADOS_FORMAS'!$GP$2:$GP$6,MIN(5,'DADOS_FORMAS'!$HR65+2)),'DADOS_FORMAS'!$HO65)))&amp;SUBSTITUTE('DADOS_FORMAS'!$HQ65,"em você","nela")))</f>
        <v/>
      </c>
      <c r="ID73">
        <f>IF(OR('DADOS_FORMAS'!$AH19="",'DADOS_FORMAS'!$HM65="",'DADOS_FORMAS'!$HO65=""),"",IF('DADOS_FORMAS'!$HO65="—","—",'DADOS_FORMAS'!$HP65&amp;IF('DADOS_FORMAS'!$HN65="alcance",INDEX('DADOS_FORMAS'!$GL$2:$GL$7,MIN(6,'DADOS_FORMAS'!$HR65+3)),IF('DADOS_FORMAS'!$HN65="raio",INDEX('DADOS_FORMAS'!$GN$2:$GN$6,MIN(5,'DADOS_FORMAS'!$HR65+3)),IF('DADOS_FORMAS'!$HN65="comprimento",INDEX('DADOS_FORMAS'!$GP$2:$GP$6,MIN(5,'DADOS_FORMAS'!$HR65+3)),'DADOS_FORMAS'!$HO65)))&amp;SUBSTITUTE('DADOS_FORMAS'!$HQ65,"em você","nela")))</f>
        <v/>
      </c>
      <c r="IE73">
        <f>IF(OR('DADOS_FORMAS'!$AH19="",'DADOS_FORMAS'!$HM65="",'DADOS_FORMAS'!$HO65=""),"",IF('DADOS_FORMAS'!$HO65="—","—",'DADOS_FORMAS'!$HP65&amp;IF('DADOS_FORMAS'!$HN65="alcance",INDEX('DADOS_FORMAS'!$GL$2:$GL$7,MIN(6,'DADOS_FORMAS'!$HR65+4)),IF('DADOS_FORMAS'!$HN65="raio",INDEX('DADOS_FORMAS'!$GN$2:$GN$6,MIN(5,'DADOS_FORMAS'!$HR65+4)),IF('DADOS_FORMAS'!$HN65="comprimento",INDEX('DADOS_FORMAS'!$GP$2:$GP$6,MIN(5,'DADOS_FORMAS'!$HR65+4)),'DADOS_FORMAS'!$HO65)))&amp;SUBSTITUTE('DADOS_FORMAS'!$HQ65,"em você","nela")))</f>
        <v/>
      </c>
      <c r="IF73">
        <f>IF(OR('DADOS_FORMAS'!$AH19="",'DADOS_FORMAS'!$HM65="",'DADOS_FORMAS'!$HO65=""),"",IF('DADOS_FORMAS'!$HO65="—","—",'DADOS_FORMAS'!$HP65&amp;IF('DADOS_FORMAS'!$HN65="alcance",INDEX('DADOS_FORMAS'!$GL$2:$GL$7,MIN(6,'DADOS_FORMAS'!$HR65+5)),IF('DADOS_FORMAS'!$HN65="raio",INDEX('DADOS_FORMAS'!$GN$2:$GN$6,MIN(5,'DADOS_FORMAS'!$HR65+5)),IF('DADOS_FORMAS'!$HN65="comprimento",INDEX('DADOS_FORMAS'!$GP$2:$GP$6,MIN(5,'DADOS_FORMAS'!$HR65+5)),'DADOS_FORMAS'!$HO65)))&amp;SUBSTITUTE('DADOS_FORMAS'!$HQ65,"em você","nela")))</f>
        <v/>
      </c>
    </row>
    <row r="74">
      <c r="HM74">
        <f>'DADOS_FORMAS'!$BL21</f>
        <v/>
      </c>
      <c r="HN74">
        <f>IF('DADOS_FORMAS'!$BL21="area",'DADOS_FORMAS'!$AU21,'DADOS_FORMAS'!$AT21)</f>
        <v/>
      </c>
      <c r="HO74">
        <f>IF('DADOS_FORMAS'!$BL21="area",'DADOS_FORMAS'!$BF21,'DADOS_FORMAS'!$AY21)</f>
        <v/>
      </c>
      <c r="HP74">
        <f>'DADOS_FORMAS'!$BM21</f>
        <v/>
      </c>
      <c r="HQ74">
        <f>'DADOS_FORMAS'!$BN21</f>
        <v/>
      </c>
      <c r="HR74">
        <f>LET(base,'DADOS_FORMAS'!$HO74,escada,'DADOS_FORMAS'!$HN74,medida,LEFT(base,MAX(0,LEN(base)-2)),valor,IFERROR(VALUE(SUBSTITUTE(medida,",",""))/10^IFERROR(LEN(medida)-FIND(",",medida),0),1E99),IF(OR(escada="Fixo",base="—"),base,IF(escada="alcance",IFERROR(MATCH(base,{"1,5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4">
        <f>'DADOS_FORMAS'!$AH20&amp;" · classe 0"</f>
        <v/>
      </c>
      <c r="HU74">
        <f>LET(trecho,IF(OR('DADOS_FORMAS'!$AH20="",'DADOS_FORMAS'!$HM66="",'DADOS_FORMAS'!$HO66=""),"",IF('DADOS_FORMAS'!$HO66="—","—",'DADOS_FORMAS'!$HP66&amp;'DADOS_FORMAS'!$HO66&amp;SUBSTITUTE('DADOS_FORMAS'!$HQ66,"em você","nela"))),UPPER(LEFT(trecho,1))&amp;MID(trecho,2,LEN(trecho)))</f>
        <v/>
      </c>
      <c r="HV74">
        <f>LET(trecho,IF(OR('DADOS_FORMAS'!$AH20="",'DADOS_FORMAS'!$HM66="",'DADOS_FORMAS'!$HO66=""),"",IF('DADOS_FORMAS'!$HO66="—","—",'DADOS_FORMAS'!$HP66&amp;IF('DADOS_FORMAS'!$HN66="alcance",INDEX('DADOS_FORMAS'!$GL$2:$GL$7,MIN(6,'DADOS_FORMAS'!$HR66+1)),IF('DADOS_FORMAS'!$HN66="raio",INDEX('DADOS_FORMAS'!$GN$2:$GN$6,MIN(5,'DADOS_FORMAS'!$HR66+1)),IF('DADOS_FORMAS'!$HN66="comprimento",INDEX('DADOS_FORMAS'!$GP$2:$GP$6,MIN(5,'DADOS_FORMAS'!$HR66+1)),'DADOS_FORMAS'!$HO66)))&amp;SUBSTITUTE('DADOS_FORMAS'!$HQ66,"em você","nela"))),UPPER(LEFT(trecho,1))&amp;MID(trecho,2,LEN(trecho)))</f>
        <v/>
      </c>
      <c r="HW74">
        <f>LET(trecho,IF(OR('DADOS_FORMAS'!$AH20="",'DADOS_FORMAS'!$HM66="",'DADOS_FORMAS'!$HO66=""),"",IF('DADOS_FORMAS'!$HO66="—","—",'DADOS_FORMAS'!$HP66&amp;IF('DADOS_FORMAS'!$HN66="alcance",INDEX('DADOS_FORMAS'!$GL$2:$GL$7,MIN(6,'DADOS_FORMAS'!$HR66+2)),IF('DADOS_FORMAS'!$HN66="raio",INDEX('DADOS_FORMAS'!$GN$2:$GN$6,MIN(5,'DADOS_FORMAS'!$HR66+2)),IF('DADOS_FORMAS'!$HN66="comprimento",INDEX('DADOS_FORMAS'!$GP$2:$GP$6,MIN(5,'DADOS_FORMAS'!$HR66+2)),'DADOS_FORMAS'!$HO66)))&amp;SUBSTITUTE('DADOS_FORMAS'!$HQ66,"em você","nela"))),UPPER(LEFT(trecho,1))&amp;MID(trecho,2,LEN(trecho)))</f>
        <v/>
      </c>
      <c r="HX74">
        <f>LET(trecho,IF(OR('DADOS_FORMAS'!$AH20="",'DADOS_FORMAS'!$HM66="",'DADOS_FORMAS'!$HO66=""),"",IF('DADOS_FORMAS'!$HO66="—","—",'DADOS_FORMAS'!$HP66&amp;IF('DADOS_FORMAS'!$HN66="alcance",INDEX('DADOS_FORMAS'!$GL$2:$GL$7,MIN(6,'DADOS_FORMAS'!$HR66+3)),IF('DADOS_FORMAS'!$HN66="raio",INDEX('DADOS_FORMAS'!$GN$2:$GN$6,MIN(5,'DADOS_FORMAS'!$HR66+3)),IF('DADOS_FORMAS'!$HN66="comprimento",INDEX('DADOS_FORMAS'!$GP$2:$GP$6,MIN(5,'DADOS_FORMAS'!$HR66+3)),'DADOS_FORMAS'!$HO66)))&amp;SUBSTITUTE('DADOS_FORMAS'!$HQ66,"em você","nela"))),UPPER(LEFT(trecho,1))&amp;MID(trecho,2,LEN(trecho)))</f>
        <v/>
      </c>
      <c r="HY74">
        <f>LET(trecho,IF(OR('DADOS_FORMAS'!$AH20="",'DADOS_FORMAS'!$HM66="",'DADOS_FORMAS'!$HO66=""),"",IF('DADOS_FORMAS'!$HO66="—","—",'DADOS_FORMAS'!$HP66&amp;IF('DADOS_FORMAS'!$HN66="alcance",INDEX('DADOS_FORMAS'!$GL$2:$GL$7,MIN(6,'DADOS_FORMAS'!$HR66+4)),IF('DADOS_FORMAS'!$HN66="raio",INDEX('DADOS_FORMAS'!$GN$2:$GN$6,MIN(5,'DADOS_FORMAS'!$HR66+4)),IF('DADOS_FORMAS'!$HN66="comprimento",INDEX('DADOS_FORMAS'!$GP$2:$GP$6,MIN(5,'DADOS_FORMAS'!$HR66+4)),'DADOS_FORMAS'!$HO66)))&amp;SUBSTITUTE('DADOS_FORMAS'!$HQ66,"em você","nela"))),UPPER(LEFT(trecho,1))&amp;MID(trecho,2,LEN(trecho)))</f>
        <v/>
      </c>
      <c r="HZ74">
        <f>LET(trecho,IF(OR('DADOS_FORMAS'!$AH20="",'DADOS_FORMAS'!$HM66="",'DADOS_FORMAS'!$HO66=""),"",IF('DADOS_FORMAS'!$HO66="—","—",'DADOS_FORMAS'!$HP66&amp;IF('DADOS_FORMAS'!$HN66="alcance",INDEX('DADOS_FORMAS'!$GL$2:$GL$7,MIN(6,'DADOS_FORMAS'!$HR66+5)),IF('DADOS_FORMAS'!$HN66="raio",INDEX('DADOS_FORMAS'!$GN$2:$GN$6,MIN(5,'DADOS_FORMAS'!$HR66+5)),IF('DADOS_FORMAS'!$HN66="comprimento",INDEX('DADOS_FORMAS'!$GP$2:$GP$6,MIN(5,'DADOS_FORMAS'!$HR66+5)),'DADOS_FORMAS'!$HO66)))&amp;SUBSTITUTE('DADOS_FORMAS'!$HQ66,"em você","nela"))),UPPER(LEFT(trecho,1))&amp;MID(trecho,2,LEN(trecho)))</f>
        <v/>
      </c>
      <c r="IA74">
        <f>IF(OR('DADOS_FORMAS'!$AH20="",'DADOS_FORMAS'!$HM67="",'DADOS_FORMAS'!$HO67=""),"",IF('DADOS_FORMAS'!$HO67="—","—",'DADOS_FORMAS'!$HP67&amp;'DADOS_FORMAS'!$HO67&amp;SUBSTITUTE('DADOS_FORMAS'!$HQ67,"em você","nela")))</f>
        <v/>
      </c>
      <c r="IB74">
        <f>IF(OR('DADOS_FORMAS'!$AH20="",'DADOS_FORMAS'!$HM67="",'DADOS_FORMAS'!$HO67=""),"",IF('DADOS_FORMAS'!$HO67="—","—",'DADOS_FORMAS'!$HP67&amp;IF('DADOS_FORMAS'!$HN67="alcance",INDEX('DADOS_FORMAS'!$GL$2:$GL$7,MIN(6,'DADOS_FORMAS'!$HR67+1)),IF('DADOS_FORMAS'!$HN67="raio",INDEX('DADOS_FORMAS'!$GN$2:$GN$6,MIN(5,'DADOS_FORMAS'!$HR67+1)),IF('DADOS_FORMAS'!$HN67="comprimento",INDEX('DADOS_FORMAS'!$GP$2:$GP$6,MIN(5,'DADOS_FORMAS'!$HR67+1)),'DADOS_FORMAS'!$HO67)))&amp;SUBSTITUTE('DADOS_FORMAS'!$HQ67,"em você","nela")))</f>
        <v/>
      </c>
      <c r="IC74">
        <f>IF(OR('DADOS_FORMAS'!$AH20="",'DADOS_FORMAS'!$HM67="",'DADOS_FORMAS'!$HO67=""),"",IF('DADOS_FORMAS'!$HO67="—","—",'DADOS_FORMAS'!$HP67&amp;IF('DADOS_FORMAS'!$HN67="alcance",INDEX('DADOS_FORMAS'!$GL$2:$GL$7,MIN(6,'DADOS_FORMAS'!$HR67+2)),IF('DADOS_FORMAS'!$HN67="raio",INDEX('DADOS_FORMAS'!$GN$2:$GN$6,MIN(5,'DADOS_FORMAS'!$HR67+2)),IF('DADOS_FORMAS'!$HN67="comprimento",INDEX('DADOS_FORMAS'!$GP$2:$GP$6,MIN(5,'DADOS_FORMAS'!$HR67+2)),'DADOS_FORMAS'!$HO67)))&amp;SUBSTITUTE('DADOS_FORMAS'!$HQ67,"em você","nela")))</f>
        <v/>
      </c>
      <c r="ID74">
        <f>IF(OR('DADOS_FORMAS'!$AH20="",'DADOS_FORMAS'!$HM67="",'DADOS_FORMAS'!$HO67=""),"",IF('DADOS_FORMAS'!$HO67="—","—",'DADOS_FORMAS'!$HP67&amp;IF('DADOS_FORMAS'!$HN67="alcance",INDEX('DADOS_FORMAS'!$GL$2:$GL$7,MIN(6,'DADOS_FORMAS'!$HR67+3)),IF('DADOS_FORMAS'!$HN67="raio",INDEX('DADOS_FORMAS'!$GN$2:$GN$6,MIN(5,'DADOS_FORMAS'!$HR67+3)),IF('DADOS_FORMAS'!$HN67="comprimento",INDEX('DADOS_FORMAS'!$GP$2:$GP$6,MIN(5,'DADOS_FORMAS'!$HR67+3)),'DADOS_FORMAS'!$HO67)))&amp;SUBSTITUTE('DADOS_FORMAS'!$HQ67,"em você","nela")))</f>
        <v/>
      </c>
      <c r="IE74">
        <f>IF(OR('DADOS_FORMAS'!$AH20="",'DADOS_FORMAS'!$HM67="",'DADOS_FORMAS'!$HO67=""),"",IF('DADOS_FORMAS'!$HO67="—","—",'DADOS_FORMAS'!$HP67&amp;IF('DADOS_FORMAS'!$HN67="alcance",INDEX('DADOS_FORMAS'!$GL$2:$GL$7,MIN(6,'DADOS_FORMAS'!$HR67+4)),IF('DADOS_FORMAS'!$HN67="raio",INDEX('DADOS_FORMAS'!$GN$2:$GN$6,MIN(5,'DADOS_FORMAS'!$HR67+4)),IF('DADOS_FORMAS'!$HN67="comprimento",INDEX('DADOS_FORMAS'!$GP$2:$GP$6,MIN(5,'DADOS_FORMAS'!$HR67+4)),'DADOS_FORMAS'!$HO67)))&amp;SUBSTITUTE('DADOS_FORMAS'!$HQ67,"em você","nela")))</f>
        <v/>
      </c>
      <c r="IF74">
        <f>IF(OR('DADOS_FORMAS'!$AH20="",'DADOS_FORMAS'!$HM67="",'DADOS_FORMAS'!$HO67=""),"",IF('DADOS_FORMAS'!$HO67="—","—",'DADOS_FORMAS'!$HP67&amp;IF('DADOS_FORMAS'!$HN67="alcance",INDEX('DADOS_FORMAS'!$GL$2:$GL$7,MIN(6,'DADOS_FORMAS'!$HR67+5)),IF('DADOS_FORMAS'!$HN67="raio",INDEX('DADOS_FORMAS'!$GN$2:$GN$6,MIN(5,'DADOS_FORMAS'!$HR67+5)),IF('DADOS_FORMAS'!$HN67="comprimento",INDEX('DADOS_FORMAS'!$GP$2:$GP$6,MIN(5,'DADOS_FORMAS'!$HR67+5)),'DADOS_FORMAS'!$HO67)))&amp;SUBSTITUTE('DADOS_FORMAS'!$HQ67,"em você","nela")))</f>
        <v/>
      </c>
    </row>
    <row r="75">
      <c r="HM75">
        <f>'DADOS_FORMAS'!$BP21</f>
        <v/>
      </c>
      <c r="HN75">
        <f>IF('DADOS_FORMAS'!$BP21="area",'DADOS_FORMAS'!$AU21,'DADOS_FORMAS'!$AT21)</f>
        <v/>
      </c>
      <c r="HO75">
        <f>IF('DADOS_FORMAS'!$BP21="area",'DADOS_FORMAS'!$BF21,'DADOS_FORMAS'!$AY21)</f>
        <v/>
      </c>
      <c r="HP75">
        <f>'DADOS_FORMAS'!$BQ21</f>
        <v/>
      </c>
      <c r="HQ75">
        <f>'DADOS_FORMAS'!$BR21</f>
        <v/>
      </c>
      <c r="HR75">
        <f>LET(base,'DADOS_FORMAS'!$HO75,escada,'DADOS_FORMAS'!$HN75,medida,LEFT(base,MAX(0,LEN(base)-2)),valor,IFERROR(VALUE(SUBSTITUTE(medida,",",""))/10^IFERROR(LEN(medida)-FIND(",",medida),0),1E99),IF(OR(escada="Fixo",base="—"),base,IF(escada="alcance",IFERROR(MATCH(base,{"1,5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5">
        <f>'DADOS_FORMAS'!$AH20&amp;" · classes 1 a 5"</f>
        <v/>
      </c>
      <c r="HU75">
        <f>LET(trecho,IF(OR('DADOS_FORMAS'!$AH20="",'DADOS_FORMAS'!$HM68="",'DADOS_FORMAS'!$HO68=""),"",IF('DADOS_FORMAS'!$HO68="—","—",'DADOS_FORMAS'!$HP68&amp;'DADOS_FORMAS'!$HO68&amp;SUBSTITUTE('DADOS_FORMAS'!$HQ68,"em você","nela"))),UPPER(LEFT(trecho,1))&amp;MID(trecho,2,LEN(trecho)))</f>
        <v/>
      </c>
      <c r="HV75">
        <f>LET(trecho,IF(OR('DADOS_FORMAS'!$AH20="",'DADOS_FORMAS'!$HM68="",'DADOS_FORMAS'!$HO68=""),"",IF('DADOS_FORMAS'!$HO68="—","—",'DADOS_FORMAS'!$HP68&amp;IF('DADOS_FORMAS'!$HN68="alcance",INDEX('DADOS_FORMAS'!$GL$2:$GL$7,MIN(6,'DADOS_FORMAS'!$HR68+1)),IF('DADOS_FORMAS'!$HN68="raio",INDEX('DADOS_FORMAS'!$GN$2:$GN$6,MIN(5,'DADOS_FORMAS'!$HR68+1)),IF('DADOS_FORMAS'!$HN68="comprimento",INDEX('DADOS_FORMAS'!$GP$2:$GP$6,MIN(5,'DADOS_FORMAS'!$HR68+1)),'DADOS_FORMAS'!$HO68)))&amp;SUBSTITUTE('DADOS_FORMAS'!$HQ68,"em você","nela"))),UPPER(LEFT(trecho,1))&amp;MID(trecho,2,LEN(trecho)))</f>
        <v/>
      </c>
      <c r="HW75">
        <f>LET(trecho,IF(OR('DADOS_FORMAS'!$AH20="",'DADOS_FORMAS'!$HM68="",'DADOS_FORMAS'!$HO68=""),"",IF('DADOS_FORMAS'!$HO68="—","—",'DADOS_FORMAS'!$HP68&amp;IF('DADOS_FORMAS'!$HN68="alcance",INDEX('DADOS_FORMAS'!$GL$2:$GL$7,MIN(6,'DADOS_FORMAS'!$HR68+2)),IF('DADOS_FORMAS'!$HN68="raio",INDEX('DADOS_FORMAS'!$GN$2:$GN$6,MIN(5,'DADOS_FORMAS'!$HR68+2)),IF('DADOS_FORMAS'!$HN68="comprimento",INDEX('DADOS_FORMAS'!$GP$2:$GP$6,MIN(5,'DADOS_FORMAS'!$HR68+2)),'DADOS_FORMAS'!$HO68)))&amp;SUBSTITUTE('DADOS_FORMAS'!$HQ68,"em você","nela"))),UPPER(LEFT(trecho,1))&amp;MID(trecho,2,LEN(trecho)))</f>
        <v/>
      </c>
      <c r="HX75">
        <f>LET(trecho,IF(OR('DADOS_FORMAS'!$AH20="",'DADOS_FORMAS'!$HM68="",'DADOS_FORMAS'!$HO68=""),"",IF('DADOS_FORMAS'!$HO68="—","—",'DADOS_FORMAS'!$HP68&amp;IF('DADOS_FORMAS'!$HN68="alcance",INDEX('DADOS_FORMAS'!$GL$2:$GL$7,MIN(6,'DADOS_FORMAS'!$HR68+3)),IF('DADOS_FORMAS'!$HN68="raio",INDEX('DADOS_FORMAS'!$GN$2:$GN$6,MIN(5,'DADOS_FORMAS'!$HR68+3)),IF('DADOS_FORMAS'!$HN68="comprimento",INDEX('DADOS_FORMAS'!$GP$2:$GP$6,MIN(5,'DADOS_FORMAS'!$HR68+3)),'DADOS_FORMAS'!$HO68)))&amp;SUBSTITUTE('DADOS_FORMAS'!$HQ68,"em você","nela"))),UPPER(LEFT(trecho,1))&amp;MID(trecho,2,LEN(trecho)))</f>
        <v/>
      </c>
      <c r="HY75">
        <f>LET(trecho,IF(OR('DADOS_FORMAS'!$AH20="",'DADOS_FORMAS'!$HM68="",'DADOS_FORMAS'!$HO68=""),"",IF('DADOS_FORMAS'!$HO68="—","—",'DADOS_FORMAS'!$HP68&amp;IF('DADOS_FORMAS'!$HN68="alcance",INDEX('DADOS_FORMAS'!$GL$2:$GL$7,MIN(6,'DADOS_FORMAS'!$HR68+4)),IF('DADOS_FORMAS'!$HN68="raio",INDEX('DADOS_FORMAS'!$GN$2:$GN$6,MIN(5,'DADOS_FORMAS'!$HR68+4)),IF('DADOS_FORMAS'!$HN68="comprimento",INDEX('DADOS_FORMAS'!$GP$2:$GP$6,MIN(5,'DADOS_FORMAS'!$HR68+4)),'DADOS_FORMAS'!$HO68)))&amp;SUBSTITUTE('DADOS_FORMAS'!$HQ68,"em você","nela"))),UPPER(LEFT(trecho,1))&amp;MID(trecho,2,LEN(trecho)))</f>
        <v/>
      </c>
      <c r="HZ75">
        <f>LET(trecho,IF(OR('DADOS_FORMAS'!$AH20="",'DADOS_FORMAS'!$HM68="",'DADOS_FORMAS'!$HO68=""),"",IF('DADOS_FORMAS'!$HO68="—","—",'DADOS_FORMAS'!$HP68&amp;IF('DADOS_FORMAS'!$HN68="alcance",INDEX('DADOS_FORMAS'!$GL$2:$GL$7,MIN(6,'DADOS_FORMAS'!$HR68+5)),IF('DADOS_FORMAS'!$HN68="raio",INDEX('DADOS_FORMAS'!$GN$2:$GN$6,MIN(5,'DADOS_FORMAS'!$HR68+5)),IF('DADOS_FORMAS'!$HN68="comprimento",INDEX('DADOS_FORMAS'!$GP$2:$GP$6,MIN(5,'DADOS_FORMAS'!$HR68+5)),'DADOS_FORMAS'!$HO68)))&amp;SUBSTITUTE('DADOS_FORMAS'!$HQ68,"em você","nela"))),UPPER(LEFT(trecho,1))&amp;MID(trecho,2,LEN(trecho)))</f>
        <v/>
      </c>
      <c r="IA75">
        <f>IF(OR('DADOS_FORMAS'!$AH20="",'DADOS_FORMAS'!$HM69="",'DADOS_FORMAS'!$HO69=""),"",IF('DADOS_FORMAS'!$HO69="—","—",'DADOS_FORMAS'!$HP69&amp;'DADOS_FORMAS'!$HO69&amp;SUBSTITUTE('DADOS_FORMAS'!$HQ69,"em você","nela")))</f>
        <v/>
      </c>
      <c r="IB75">
        <f>IF(OR('DADOS_FORMAS'!$AH20="",'DADOS_FORMAS'!$HM69="",'DADOS_FORMAS'!$HO69=""),"",IF('DADOS_FORMAS'!$HO69="—","—",'DADOS_FORMAS'!$HP69&amp;IF('DADOS_FORMAS'!$HN69="alcance",INDEX('DADOS_FORMAS'!$GL$2:$GL$7,MIN(6,'DADOS_FORMAS'!$HR69+1)),IF('DADOS_FORMAS'!$HN69="raio",INDEX('DADOS_FORMAS'!$GN$2:$GN$6,MIN(5,'DADOS_FORMAS'!$HR69+1)),IF('DADOS_FORMAS'!$HN69="comprimento",INDEX('DADOS_FORMAS'!$GP$2:$GP$6,MIN(5,'DADOS_FORMAS'!$HR69+1)),'DADOS_FORMAS'!$HO69)))&amp;SUBSTITUTE('DADOS_FORMAS'!$HQ69,"em você","nela")))</f>
        <v/>
      </c>
      <c r="IC75">
        <f>IF(OR('DADOS_FORMAS'!$AH20="",'DADOS_FORMAS'!$HM69="",'DADOS_FORMAS'!$HO69=""),"",IF('DADOS_FORMAS'!$HO69="—","—",'DADOS_FORMAS'!$HP69&amp;IF('DADOS_FORMAS'!$HN69="alcance",INDEX('DADOS_FORMAS'!$GL$2:$GL$7,MIN(6,'DADOS_FORMAS'!$HR69+2)),IF('DADOS_FORMAS'!$HN69="raio",INDEX('DADOS_FORMAS'!$GN$2:$GN$6,MIN(5,'DADOS_FORMAS'!$HR69+2)),IF('DADOS_FORMAS'!$HN69="comprimento",INDEX('DADOS_FORMAS'!$GP$2:$GP$6,MIN(5,'DADOS_FORMAS'!$HR69+2)),'DADOS_FORMAS'!$HO69)))&amp;SUBSTITUTE('DADOS_FORMAS'!$HQ69,"em você","nela")))</f>
        <v/>
      </c>
      <c r="ID75">
        <f>IF(OR('DADOS_FORMAS'!$AH20="",'DADOS_FORMAS'!$HM69="",'DADOS_FORMAS'!$HO69=""),"",IF('DADOS_FORMAS'!$HO69="—","—",'DADOS_FORMAS'!$HP69&amp;IF('DADOS_FORMAS'!$HN69="alcance",INDEX('DADOS_FORMAS'!$GL$2:$GL$7,MIN(6,'DADOS_FORMAS'!$HR69+3)),IF('DADOS_FORMAS'!$HN69="raio",INDEX('DADOS_FORMAS'!$GN$2:$GN$6,MIN(5,'DADOS_FORMAS'!$HR69+3)),IF('DADOS_FORMAS'!$HN69="comprimento",INDEX('DADOS_FORMAS'!$GP$2:$GP$6,MIN(5,'DADOS_FORMAS'!$HR69+3)),'DADOS_FORMAS'!$HO69)))&amp;SUBSTITUTE('DADOS_FORMAS'!$HQ69,"em você","nela")))</f>
        <v/>
      </c>
      <c r="IE75">
        <f>IF(OR('DADOS_FORMAS'!$AH20="",'DADOS_FORMAS'!$HM69="",'DADOS_FORMAS'!$HO69=""),"",IF('DADOS_FORMAS'!$HO69="—","—",'DADOS_FORMAS'!$HP69&amp;IF('DADOS_FORMAS'!$HN69="alcance",INDEX('DADOS_FORMAS'!$GL$2:$GL$7,MIN(6,'DADOS_FORMAS'!$HR69+4)),IF('DADOS_FORMAS'!$HN69="raio",INDEX('DADOS_FORMAS'!$GN$2:$GN$6,MIN(5,'DADOS_FORMAS'!$HR69+4)),IF('DADOS_FORMAS'!$HN69="comprimento",INDEX('DADOS_FORMAS'!$GP$2:$GP$6,MIN(5,'DADOS_FORMAS'!$HR69+4)),'DADOS_FORMAS'!$HO69)))&amp;SUBSTITUTE('DADOS_FORMAS'!$HQ69,"em você","nela")))</f>
        <v/>
      </c>
      <c r="IF75">
        <f>IF(OR('DADOS_FORMAS'!$AH20="",'DADOS_FORMAS'!$HM69="",'DADOS_FORMAS'!$HO69=""),"",IF('DADOS_FORMAS'!$HO69="—","—",'DADOS_FORMAS'!$HP69&amp;IF('DADOS_FORMAS'!$HN69="alcance",INDEX('DADOS_FORMAS'!$GL$2:$GL$7,MIN(6,'DADOS_FORMAS'!$HR69+5)),IF('DADOS_FORMAS'!$HN69="raio",INDEX('DADOS_FORMAS'!$GN$2:$GN$6,MIN(5,'DADOS_FORMAS'!$HR69+5)),IF('DADOS_FORMAS'!$HN69="comprimento",INDEX('DADOS_FORMAS'!$GP$2:$GP$6,MIN(5,'DADOS_FORMAS'!$HR69+5)),'DADOS_FORMAS'!$HO69)))&amp;SUBSTITUTE('DADOS_FORMAS'!$HQ69,"em você","nela")))</f>
        <v/>
      </c>
    </row>
    <row r="76">
      <c r="HM76">
        <f>'DADOS_FORMAS'!$BL21</f>
        <v/>
      </c>
      <c r="HN76">
        <f>IF('DADOS_FORMAS'!$BL21="area",'DADOS_FORMAS'!$AU21,'DADOS_FORMAS'!$AT21)</f>
        <v/>
      </c>
      <c r="HO76">
        <f>IF('DADOS_FORMAS'!$BL21="area",'DADOS_FORMAS'!$BG21,'DADOS_FORMAS'!$AZ21)</f>
        <v/>
      </c>
      <c r="HP76">
        <f>'DADOS_FORMAS'!$BM21</f>
        <v/>
      </c>
      <c r="HQ76">
        <f>'DADOS_FORMAS'!$BN21</f>
        <v/>
      </c>
      <c r="HR76">
        <f>LET(base,'DADOS_FORMAS'!$HO76,escada,'DADOS_FORMAS'!$HN76,medida,LEFT(base,MAX(0,LEN(base)-2)),valor,IFERROR(VALUE(SUBSTITUTE(medida,",",""))/10^IFERROR(LEN(medida)-FIND(",",medida),0),1E99),IF(OR(escada="Fixo",base="—"),base,IF(escada="alcance",IFERROR(MATCH(base,{"1,5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6">
        <f>'DADOS_FORMAS'!$AH20&amp;" · classe 6"</f>
        <v/>
      </c>
      <c r="HU76">
        <f>LET(trecho,IF(OR('DADOS_FORMAS'!$AH20="",'DADOS_FORMAS'!$HM70="",'DADOS_FORMAS'!$HO70=""),"",IF('DADOS_FORMAS'!$HO70="—","—",'DADOS_FORMAS'!$HP70&amp;'DADOS_FORMAS'!$HO70&amp;SUBSTITUTE('DADOS_FORMAS'!$HQ70,"em você","nela"))),UPPER(LEFT(trecho,1))&amp;MID(trecho,2,LEN(trecho)))</f>
        <v/>
      </c>
      <c r="HV76">
        <f>LET(trecho,IF(OR('DADOS_FORMAS'!$AH20="",'DADOS_FORMAS'!$HM70="",'DADOS_FORMAS'!$HO70=""),"",IF('DADOS_FORMAS'!$HO70="—","—",'DADOS_FORMAS'!$HP70&amp;IF('DADOS_FORMAS'!$HN70="alcance",INDEX('DADOS_FORMAS'!$GL$2:$GL$7,MIN(6,'DADOS_FORMAS'!$HR70+1)),IF('DADOS_FORMAS'!$HN70="raio",INDEX('DADOS_FORMAS'!$GN$2:$GN$6,MIN(5,'DADOS_FORMAS'!$HR70+1)),IF('DADOS_FORMAS'!$HN70="comprimento",INDEX('DADOS_FORMAS'!$GP$2:$GP$6,MIN(5,'DADOS_FORMAS'!$HR70+1)),'DADOS_FORMAS'!$HO70)))&amp;SUBSTITUTE('DADOS_FORMAS'!$HQ70,"em você","nela"))),UPPER(LEFT(trecho,1))&amp;MID(trecho,2,LEN(trecho)))</f>
        <v/>
      </c>
      <c r="HW76">
        <f>LET(trecho,IF(OR('DADOS_FORMAS'!$AH20="",'DADOS_FORMAS'!$HM70="",'DADOS_FORMAS'!$HO70=""),"",IF('DADOS_FORMAS'!$HO70="—","—",'DADOS_FORMAS'!$HP70&amp;IF('DADOS_FORMAS'!$HN70="alcance",INDEX('DADOS_FORMAS'!$GL$2:$GL$7,MIN(6,'DADOS_FORMAS'!$HR70+2)),IF('DADOS_FORMAS'!$HN70="raio",INDEX('DADOS_FORMAS'!$GN$2:$GN$6,MIN(5,'DADOS_FORMAS'!$HR70+2)),IF('DADOS_FORMAS'!$HN70="comprimento",INDEX('DADOS_FORMAS'!$GP$2:$GP$6,MIN(5,'DADOS_FORMAS'!$HR70+2)),'DADOS_FORMAS'!$HO70)))&amp;SUBSTITUTE('DADOS_FORMAS'!$HQ70,"em você","nela"))),UPPER(LEFT(trecho,1))&amp;MID(trecho,2,LEN(trecho)))</f>
        <v/>
      </c>
      <c r="HX76">
        <f>LET(trecho,IF(OR('DADOS_FORMAS'!$AH20="",'DADOS_FORMAS'!$HM70="",'DADOS_FORMAS'!$HO70=""),"",IF('DADOS_FORMAS'!$HO70="—","—",'DADOS_FORMAS'!$HP70&amp;IF('DADOS_FORMAS'!$HN70="alcance",INDEX('DADOS_FORMAS'!$GL$2:$GL$7,MIN(6,'DADOS_FORMAS'!$HR70+3)),IF('DADOS_FORMAS'!$HN70="raio",INDEX('DADOS_FORMAS'!$GN$2:$GN$6,MIN(5,'DADOS_FORMAS'!$HR70+3)),IF('DADOS_FORMAS'!$HN70="comprimento",INDEX('DADOS_FORMAS'!$GP$2:$GP$6,MIN(5,'DADOS_FORMAS'!$HR70+3)),'DADOS_FORMAS'!$HO70)))&amp;SUBSTITUTE('DADOS_FORMAS'!$HQ70,"em você","nela"))),UPPER(LEFT(trecho,1))&amp;MID(trecho,2,LEN(trecho)))</f>
        <v/>
      </c>
      <c r="HY76">
        <f>LET(trecho,IF(OR('DADOS_FORMAS'!$AH20="",'DADOS_FORMAS'!$HM70="",'DADOS_FORMAS'!$HO70=""),"",IF('DADOS_FORMAS'!$HO70="—","—",'DADOS_FORMAS'!$HP70&amp;IF('DADOS_FORMAS'!$HN70="alcance",INDEX('DADOS_FORMAS'!$GL$2:$GL$7,MIN(6,'DADOS_FORMAS'!$HR70+4)),IF('DADOS_FORMAS'!$HN70="raio",INDEX('DADOS_FORMAS'!$GN$2:$GN$6,MIN(5,'DADOS_FORMAS'!$HR70+4)),IF('DADOS_FORMAS'!$HN70="comprimento",INDEX('DADOS_FORMAS'!$GP$2:$GP$6,MIN(5,'DADOS_FORMAS'!$HR70+4)),'DADOS_FORMAS'!$HO70)))&amp;SUBSTITUTE('DADOS_FORMAS'!$HQ70,"em você","nela"))),UPPER(LEFT(trecho,1))&amp;MID(trecho,2,LEN(trecho)))</f>
        <v/>
      </c>
      <c r="HZ76">
        <f>LET(trecho,IF(OR('DADOS_FORMAS'!$AH20="",'DADOS_FORMAS'!$HM70="",'DADOS_FORMAS'!$HO70=""),"",IF('DADOS_FORMAS'!$HO70="—","—",'DADOS_FORMAS'!$HP70&amp;IF('DADOS_FORMAS'!$HN70="alcance",INDEX('DADOS_FORMAS'!$GL$2:$GL$7,MIN(6,'DADOS_FORMAS'!$HR70+5)),IF('DADOS_FORMAS'!$HN70="raio",INDEX('DADOS_FORMAS'!$GN$2:$GN$6,MIN(5,'DADOS_FORMAS'!$HR70+5)),IF('DADOS_FORMAS'!$HN70="comprimento",INDEX('DADOS_FORMAS'!$GP$2:$GP$6,MIN(5,'DADOS_FORMAS'!$HR70+5)),'DADOS_FORMAS'!$HO70)))&amp;SUBSTITUTE('DADOS_FORMAS'!$HQ70,"em você","nela"))),UPPER(LEFT(trecho,1))&amp;MID(trecho,2,LEN(trecho)))</f>
        <v/>
      </c>
      <c r="IA76">
        <f>IF(OR('DADOS_FORMAS'!$AH20="",'DADOS_FORMAS'!$HM71="",'DADOS_FORMAS'!$HO71=""),"",IF('DADOS_FORMAS'!$HO71="—","—",'DADOS_FORMAS'!$HP71&amp;'DADOS_FORMAS'!$HO71&amp;SUBSTITUTE('DADOS_FORMAS'!$HQ71,"em você","nela")))</f>
        <v/>
      </c>
      <c r="IB76">
        <f>IF(OR('DADOS_FORMAS'!$AH20="",'DADOS_FORMAS'!$HM71="",'DADOS_FORMAS'!$HO71=""),"",IF('DADOS_FORMAS'!$HO71="—","—",'DADOS_FORMAS'!$HP71&amp;IF('DADOS_FORMAS'!$HN71="alcance",INDEX('DADOS_FORMAS'!$GL$2:$GL$7,MIN(6,'DADOS_FORMAS'!$HR71+1)),IF('DADOS_FORMAS'!$HN71="raio",INDEX('DADOS_FORMAS'!$GN$2:$GN$6,MIN(5,'DADOS_FORMAS'!$HR71+1)),IF('DADOS_FORMAS'!$HN71="comprimento",INDEX('DADOS_FORMAS'!$GP$2:$GP$6,MIN(5,'DADOS_FORMAS'!$HR71+1)),'DADOS_FORMAS'!$HO71)))&amp;SUBSTITUTE('DADOS_FORMAS'!$HQ71,"em você","nela")))</f>
        <v/>
      </c>
      <c r="IC76">
        <f>IF(OR('DADOS_FORMAS'!$AH20="",'DADOS_FORMAS'!$HM71="",'DADOS_FORMAS'!$HO71=""),"",IF('DADOS_FORMAS'!$HO71="—","—",'DADOS_FORMAS'!$HP71&amp;IF('DADOS_FORMAS'!$HN71="alcance",INDEX('DADOS_FORMAS'!$GL$2:$GL$7,MIN(6,'DADOS_FORMAS'!$HR71+2)),IF('DADOS_FORMAS'!$HN71="raio",INDEX('DADOS_FORMAS'!$GN$2:$GN$6,MIN(5,'DADOS_FORMAS'!$HR71+2)),IF('DADOS_FORMAS'!$HN71="comprimento",INDEX('DADOS_FORMAS'!$GP$2:$GP$6,MIN(5,'DADOS_FORMAS'!$HR71+2)),'DADOS_FORMAS'!$HO71)))&amp;SUBSTITUTE('DADOS_FORMAS'!$HQ71,"em você","nela")))</f>
        <v/>
      </c>
      <c r="ID76">
        <f>IF(OR('DADOS_FORMAS'!$AH20="",'DADOS_FORMAS'!$HM71="",'DADOS_FORMAS'!$HO71=""),"",IF('DADOS_FORMAS'!$HO71="—","—",'DADOS_FORMAS'!$HP71&amp;IF('DADOS_FORMAS'!$HN71="alcance",INDEX('DADOS_FORMAS'!$GL$2:$GL$7,MIN(6,'DADOS_FORMAS'!$HR71+3)),IF('DADOS_FORMAS'!$HN71="raio",INDEX('DADOS_FORMAS'!$GN$2:$GN$6,MIN(5,'DADOS_FORMAS'!$HR71+3)),IF('DADOS_FORMAS'!$HN71="comprimento",INDEX('DADOS_FORMAS'!$GP$2:$GP$6,MIN(5,'DADOS_FORMAS'!$HR71+3)),'DADOS_FORMAS'!$HO71)))&amp;SUBSTITUTE('DADOS_FORMAS'!$HQ71,"em você","nela")))</f>
        <v/>
      </c>
      <c r="IE76">
        <f>IF(OR('DADOS_FORMAS'!$AH20="",'DADOS_FORMAS'!$HM71="",'DADOS_FORMAS'!$HO71=""),"",IF('DADOS_FORMAS'!$HO71="—","—",'DADOS_FORMAS'!$HP71&amp;IF('DADOS_FORMAS'!$HN71="alcance",INDEX('DADOS_FORMAS'!$GL$2:$GL$7,MIN(6,'DADOS_FORMAS'!$HR71+4)),IF('DADOS_FORMAS'!$HN71="raio",INDEX('DADOS_FORMAS'!$GN$2:$GN$6,MIN(5,'DADOS_FORMAS'!$HR71+4)),IF('DADOS_FORMAS'!$HN71="comprimento",INDEX('DADOS_FORMAS'!$GP$2:$GP$6,MIN(5,'DADOS_FORMAS'!$HR71+4)),'DADOS_FORMAS'!$HO71)))&amp;SUBSTITUTE('DADOS_FORMAS'!$HQ71,"em você","nela")))</f>
        <v/>
      </c>
      <c r="IF76">
        <f>IF(OR('DADOS_FORMAS'!$AH20="",'DADOS_FORMAS'!$HM71="",'DADOS_FORMAS'!$HO71=""),"",IF('DADOS_FORMAS'!$HO71="—","—",'DADOS_FORMAS'!$HP71&amp;IF('DADOS_FORMAS'!$HN71="alcance",INDEX('DADOS_FORMAS'!$GL$2:$GL$7,MIN(6,'DADOS_FORMAS'!$HR71+5)),IF('DADOS_FORMAS'!$HN71="raio",INDEX('DADOS_FORMAS'!$GN$2:$GN$6,MIN(5,'DADOS_FORMAS'!$HR71+5)),IF('DADOS_FORMAS'!$HN71="comprimento",INDEX('DADOS_FORMAS'!$GP$2:$GP$6,MIN(5,'DADOS_FORMAS'!$HR71+5)),'DADOS_FORMAS'!$HO71)))&amp;SUBSTITUTE('DADOS_FORMAS'!$HQ71,"em você","nela")))</f>
        <v/>
      </c>
    </row>
    <row r="77">
      <c r="HM77">
        <f>'DADOS_FORMAS'!$BP21</f>
        <v/>
      </c>
      <c r="HN77">
        <f>IF('DADOS_FORMAS'!$BP21="area",'DADOS_FORMAS'!$AU21,'DADOS_FORMAS'!$AT21)</f>
        <v/>
      </c>
      <c r="HO77">
        <f>IF('DADOS_FORMAS'!$BP21="area",'DADOS_FORMAS'!$BG21,'DADOS_FORMAS'!$AZ21)</f>
        <v/>
      </c>
      <c r="HP77">
        <f>'DADOS_FORMAS'!$BQ21</f>
        <v/>
      </c>
      <c r="HQ77">
        <f>'DADOS_FORMAS'!$BR21</f>
        <v/>
      </c>
      <c r="HR77">
        <f>LET(base,'DADOS_FORMAS'!$HO77,escada,'DADOS_FORMAS'!$HN77,medida,LEFT(base,MAX(0,LEN(base)-2)),valor,IFERROR(VALUE(SUBSTITUTE(medida,",",""))/10^IFERROR(LEN(medida)-FIND(",",medida),0),1E99),IF(OR(escada="Fixo",base="—"),base,IF(escada="alcance",IFERROR(MATCH(base,{"1,5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7">
        <f>'DADOS_FORMAS'!$AH20&amp;" · classe 7"</f>
        <v/>
      </c>
      <c r="HU77">
        <f>LET(trecho,IF(OR('DADOS_FORMAS'!$AH20="",'DADOS_FORMAS'!$HM72="",'DADOS_FORMAS'!$HO72=""),"",IF('DADOS_FORMAS'!$HO72="—","—",'DADOS_FORMAS'!$HP72&amp;'DADOS_FORMAS'!$HO72&amp;SUBSTITUTE('DADOS_FORMAS'!$HQ72,"em você","nela"))),UPPER(LEFT(trecho,1))&amp;MID(trecho,2,LEN(trecho)))</f>
        <v/>
      </c>
      <c r="HV77">
        <f>LET(trecho,IF(OR('DADOS_FORMAS'!$AH20="",'DADOS_FORMAS'!$HM72="",'DADOS_FORMAS'!$HO72=""),"",IF('DADOS_FORMAS'!$HO72="—","—",'DADOS_FORMAS'!$HP72&amp;IF('DADOS_FORMAS'!$HN72="alcance",INDEX('DADOS_FORMAS'!$GL$2:$GL$7,MIN(6,'DADOS_FORMAS'!$HR72+1)),IF('DADOS_FORMAS'!$HN72="raio",INDEX('DADOS_FORMAS'!$GN$2:$GN$6,MIN(5,'DADOS_FORMAS'!$HR72+1)),IF('DADOS_FORMAS'!$HN72="comprimento",INDEX('DADOS_FORMAS'!$GP$2:$GP$6,MIN(5,'DADOS_FORMAS'!$HR72+1)),'DADOS_FORMAS'!$HO72)))&amp;SUBSTITUTE('DADOS_FORMAS'!$HQ72,"em você","nela"))),UPPER(LEFT(trecho,1))&amp;MID(trecho,2,LEN(trecho)))</f>
        <v/>
      </c>
      <c r="HW77">
        <f>LET(trecho,IF(OR('DADOS_FORMAS'!$AH20="",'DADOS_FORMAS'!$HM72="",'DADOS_FORMAS'!$HO72=""),"",IF('DADOS_FORMAS'!$HO72="—","—",'DADOS_FORMAS'!$HP72&amp;IF('DADOS_FORMAS'!$HN72="alcance",INDEX('DADOS_FORMAS'!$GL$2:$GL$7,MIN(6,'DADOS_FORMAS'!$HR72+2)),IF('DADOS_FORMAS'!$HN72="raio",INDEX('DADOS_FORMAS'!$GN$2:$GN$6,MIN(5,'DADOS_FORMAS'!$HR72+2)),IF('DADOS_FORMAS'!$HN72="comprimento",INDEX('DADOS_FORMAS'!$GP$2:$GP$6,MIN(5,'DADOS_FORMAS'!$HR72+2)),'DADOS_FORMAS'!$HO72)))&amp;SUBSTITUTE('DADOS_FORMAS'!$HQ72,"em você","nela"))),UPPER(LEFT(trecho,1))&amp;MID(trecho,2,LEN(trecho)))</f>
        <v/>
      </c>
      <c r="HX77">
        <f>LET(trecho,IF(OR('DADOS_FORMAS'!$AH20="",'DADOS_FORMAS'!$HM72="",'DADOS_FORMAS'!$HO72=""),"",IF('DADOS_FORMAS'!$HO72="—","—",'DADOS_FORMAS'!$HP72&amp;IF('DADOS_FORMAS'!$HN72="alcance",INDEX('DADOS_FORMAS'!$GL$2:$GL$7,MIN(6,'DADOS_FORMAS'!$HR72+3)),IF('DADOS_FORMAS'!$HN72="raio",INDEX('DADOS_FORMAS'!$GN$2:$GN$6,MIN(5,'DADOS_FORMAS'!$HR72+3)),IF('DADOS_FORMAS'!$HN72="comprimento",INDEX('DADOS_FORMAS'!$GP$2:$GP$6,MIN(5,'DADOS_FORMAS'!$HR72+3)),'DADOS_FORMAS'!$HO72)))&amp;SUBSTITUTE('DADOS_FORMAS'!$HQ72,"em você","nela"))),UPPER(LEFT(trecho,1))&amp;MID(trecho,2,LEN(trecho)))</f>
        <v/>
      </c>
      <c r="HY77">
        <f>LET(trecho,IF(OR('DADOS_FORMAS'!$AH20="",'DADOS_FORMAS'!$HM72="",'DADOS_FORMAS'!$HO72=""),"",IF('DADOS_FORMAS'!$HO72="—","—",'DADOS_FORMAS'!$HP72&amp;IF('DADOS_FORMAS'!$HN72="alcance",INDEX('DADOS_FORMAS'!$GL$2:$GL$7,MIN(6,'DADOS_FORMAS'!$HR72+4)),IF('DADOS_FORMAS'!$HN72="raio",INDEX('DADOS_FORMAS'!$GN$2:$GN$6,MIN(5,'DADOS_FORMAS'!$HR72+4)),IF('DADOS_FORMAS'!$HN72="comprimento",INDEX('DADOS_FORMAS'!$GP$2:$GP$6,MIN(5,'DADOS_FORMAS'!$HR72+4)),'DADOS_FORMAS'!$HO72)))&amp;SUBSTITUTE('DADOS_FORMAS'!$HQ72,"em você","nela"))),UPPER(LEFT(trecho,1))&amp;MID(trecho,2,LEN(trecho)))</f>
        <v/>
      </c>
      <c r="HZ77">
        <f>LET(trecho,IF(OR('DADOS_FORMAS'!$AH20="",'DADOS_FORMAS'!$HM72="",'DADOS_FORMAS'!$HO72=""),"",IF('DADOS_FORMAS'!$HO72="—","—",'DADOS_FORMAS'!$HP72&amp;IF('DADOS_FORMAS'!$HN72="alcance",INDEX('DADOS_FORMAS'!$GL$2:$GL$7,MIN(6,'DADOS_FORMAS'!$HR72+5)),IF('DADOS_FORMAS'!$HN72="raio",INDEX('DADOS_FORMAS'!$GN$2:$GN$6,MIN(5,'DADOS_FORMAS'!$HR72+5)),IF('DADOS_FORMAS'!$HN72="comprimento",INDEX('DADOS_FORMAS'!$GP$2:$GP$6,MIN(5,'DADOS_FORMAS'!$HR72+5)),'DADOS_FORMAS'!$HO72)))&amp;SUBSTITUTE('DADOS_FORMAS'!$HQ72,"em você","nela"))),UPPER(LEFT(trecho,1))&amp;MID(trecho,2,LEN(trecho)))</f>
        <v/>
      </c>
      <c r="IA77">
        <f>IF(OR('DADOS_FORMAS'!$AH20="",'DADOS_FORMAS'!$HM73="",'DADOS_FORMAS'!$HO73=""),"",IF('DADOS_FORMAS'!$HO73="—","—",'DADOS_FORMAS'!$HP73&amp;'DADOS_FORMAS'!$HO73&amp;SUBSTITUTE('DADOS_FORMAS'!$HQ73,"em você","nela")))</f>
        <v/>
      </c>
      <c r="IB77">
        <f>IF(OR('DADOS_FORMAS'!$AH20="",'DADOS_FORMAS'!$HM73="",'DADOS_FORMAS'!$HO73=""),"",IF('DADOS_FORMAS'!$HO73="—","—",'DADOS_FORMAS'!$HP73&amp;IF('DADOS_FORMAS'!$HN73="alcance",INDEX('DADOS_FORMAS'!$GL$2:$GL$7,MIN(6,'DADOS_FORMAS'!$HR73+1)),IF('DADOS_FORMAS'!$HN73="raio",INDEX('DADOS_FORMAS'!$GN$2:$GN$6,MIN(5,'DADOS_FORMAS'!$HR73+1)),IF('DADOS_FORMAS'!$HN73="comprimento",INDEX('DADOS_FORMAS'!$GP$2:$GP$6,MIN(5,'DADOS_FORMAS'!$HR73+1)),'DADOS_FORMAS'!$HO73)))&amp;SUBSTITUTE('DADOS_FORMAS'!$HQ73,"em você","nela")))</f>
        <v/>
      </c>
      <c r="IC77">
        <f>IF(OR('DADOS_FORMAS'!$AH20="",'DADOS_FORMAS'!$HM73="",'DADOS_FORMAS'!$HO73=""),"",IF('DADOS_FORMAS'!$HO73="—","—",'DADOS_FORMAS'!$HP73&amp;IF('DADOS_FORMAS'!$HN73="alcance",INDEX('DADOS_FORMAS'!$GL$2:$GL$7,MIN(6,'DADOS_FORMAS'!$HR73+2)),IF('DADOS_FORMAS'!$HN73="raio",INDEX('DADOS_FORMAS'!$GN$2:$GN$6,MIN(5,'DADOS_FORMAS'!$HR73+2)),IF('DADOS_FORMAS'!$HN73="comprimento",INDEX('DADOS_FORMAS'!$GP$2:$GP$6,MIN(5,'DADOS_FORMAS'!$HR73+2)),'DADOS_FORMAS'!$HO73)))&amp;SUBSTITUTE('DADOS_FORMAS'!$HQ73,"em você","nela")))</f>
        <v/>
      </c>
      <c r="ID77">
        <f>IF(OR('DADOS_FORMAS'!$AH20="",'DADOS_FORMAS'!$HM73="",'DADOS_FORMAS'!$HO73=""),"",IF('DADOS_FORMAS'!$HO73="—","—",'DADOS_FORMAS'!$HP73&amp;IF('DADOS_FORMAS'!$HN73="alcance",INDEX('DADOS_FORMAS'!$GL$2:$GL$7,MIN(6,'DADOS_FORMAS'!$HR73+3)),IF('DADOS_FORMAS'!$HN73="raio",INDEX('DADOS_FORMAS'!$GN$2:$GN$6,MIN(5,'DADOS_FORMAS'!$HR73+3)),IF('DADOS_FORMAS'!$HN73="comprimento",INDEX('DADOS_FORMAS'!$GP$2:$GP$6,MIN(5,'DADOS_FORMAS'!$HR73+3)),'DADOS_FORMAS'!$HO73)))&amp;SUBSTITUTE('DADOS_FORMAS'!$HQ73,"em você","nela")))</f>
        <v/>
      </c>
      <c r="IE77">
        <f>IF(OR('DADOS_FORMAS'!$AH20="",'DADOS_FORMAS'!$HM73="",'DADOS_FORMAS'!$HO73=""),"",IF('DADOS_FORMAS'!$HO73="—","—",'DADOS_FORMAS'!$HP73&amp;IF('DADOS_FORMAS'!$HN73="alcance",INDEX('DADOS_FORMAS'!$GL$2:$GL$7,MIN(6,'DADOS_FORMAS'!$HR73+4)),IF('DADOS_FORMAS'!$HN73="raio",INDEX('DADOS_FORMAS'!$GN$2:$GN$6,MIN(5,'DADOS_FORMAS'!$HR73+4)),IF('DADOS_FORMAS'!$HN73="comprimento",INDEX('DADOS_FORMAS'!$GP$2:$GP$6,MIN(5,'DADOS_FORMAS'!$HR73+4)),'DADOS_FORMAS'!$HO73)))&amp;SUBSTITUTE('DADOS_FORMAS'!$HQ73,"em você","nela")))</f>
        <v/>
      </c>
      <c r="IF77">
        <f>IF(OR('DADOS_FORMAS'!$AH20="",'DADOS_FORMAS'!$HM73="",'DADOS_FORMAS'!$HO73=""),"",IF('DADOS_FORMAS'!$HO73="—","—",'DADOS_FORMAS'!$HP73&amp;IF('DADOS_FORMAS'!$HN73="alcance",INDEX('DADOS_FORMAS'!$GL$2:$GL$7,MIN(6,'DADOS_FORMAS'!$HR73+5)),IF('DADOS_FORMAS'!$HN73="raio",INDEX('DADOS_FORMAS'!$GN$2:$GN$6,MIN(5,'DADOS_FORMAS'!$HR73+5)),IF('DADOS_FORMAS'!$HN73="comprimento",INDEX('DADOS_FORMAS'!$GP$2:$GP$6,MIN(5,'DADOS_FORMAS'!$HR73+5)),'DADOS_FORMAS'!$HO73)))&amp;SUBSTITUTE('DADOS_FORMAS'!$HQ73,"em você","nela")))</f>
        <v/>
      </c>
    </row>
    <row r="78">
      <c r="HM78">
        <f>'DADOS_FORMAS'!$BL21</f>
        <v/>
      </c>
      <c r="HN78">
        <f>IF('DADOS_FORMAS'!$BL21="area",'DADOS_FORMAS'!$AU21,'DADOS_FORMAS'!$AT21)</f>
        <v/>
      </c>
      <c r="HO78">
        <f>IF('DADOS_FORMAS'!$BL21="area",'DADOS_FORMAS'!$BH21,'DADOS_FORMAS'!$BA21)</f>
        <v/>
      </c>
      <c r="HP78">
        <f>'DADOS_FORMAS'!$BM21</f>
        <v/>
      </c>
      <c r="HQ78">
        <f>'DADOS_FORMAS'!$BN21</f>
        <v/>
      </c>
      <c r="HR78">
        <f>LET(base,'DADOS_FORMAS'!$HO78,escada,'DADOS_FORMAS'!$HN78,medida,LEFT(base,MAX(0,LEN(base)-2)),valor,IFERROR(VALUE(SUBSTITUTE(medida,",",""))/10^IFERROR(LEN(medida)-FIND(",",medida),0),1E99),IF(OR(escada="Fixo",base="—"),base,IF(escada="alcance",IFERROR(MATCH(base,{"1,5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8">
        <f>'DADOS_FORMAS'!$AH21&amp;" · classe 0"</f>
        <v/>
      </c>
      <c r="HU78">
        <f>LET(trecho,IF(OR('DADOS_FORMAS'!$AH21="",'DADOS_FORMAS'!$HM74="",'DADOS_FORMAS'!$HO74=""),"",IF('DADOS_FORMAS'!$HO74="—","—",'DADOS_FORMAS'!$HP74&amp;'DADOS_FORMAS'!$HO74&amp;SUBSTITUTE('DADOS_FORMAS'!$HQ74,"em você","nela"))),UPPER(LEFT(trecho,1))&amp;MID(trecho,2,LEN(trecho)))</f>
        <v/>
      </c>
      <c r="HV78">
        <f>LET(trecho,IF(OR('DADOS_FORMAS'!$AH21="",'DADOS_FORMAS'!$HM74="",'DADOS_FORMAS'!$HO74=""),"",IF('DADOS_FORMAS'!$HO74="—","—",'DADOS_FORMAS'!$HP74&amp;IF('DADOS_FORMAS'!$HN74="alcance",INDEX('DADOS_FORMAS'!$GL$2:$GL$7,MIN(6,'DADOS_FORMAS'!$HR74+1)),IF('DADOS_FORMAS'!$HN74="raio",INDEX('DADOS_FORMAS'!$GN$2:$GN$6,MIN(5,'DADOS_FORMAS'!$HR74+1)),IF('DADOS_FORMAS'!$HN74="comprimento",INDEX('DADOS_FORMAS'!$GP$2:$GP$6,MIN(5,'DADOS_FORMAS'!$HR74+1)),'DADOS_FORMAS'!$HO74)))&amp;SUBSTITUTE('DADOS_FORMAS'!$HQ74,"em você","nela"))),UPPER(LEFT(trecho,1))&amp;MID(trecho,2,LEN(trecho)))</f>
        <v/>
      </c>
      <c r="HW78">
        <f>LET(trecho,IF(OR('DADOS_FORMAS'!$AH21="",'DADOS_FORMAS'!$HM74="",'DADOS_FORMAS'!$HO74=""),"",IF('DADOS_FORMAS'!$HO74="—","—",'DADOS_FORMAS'!$HP74&amp;IF('DADOS_FORMAS'!$HN74="alcance",INDEX('DADOS_FORMAS'!$GL$2:$GL$7,MIN(6,'DADOS_FORMAS'!$HR74+2)),IF('DADOS_FORMAS'!$HN74="raio",INDEX('DADOS_FORMAS'!$GN$2:$GN$6,MIN(5,'DADOS_FORMAS'!$HR74+2)),IF('DADOS_FORMAS'!$HN74="comprimento",INDEX('DADOS_FORMAS'!$GP$2:$GP$6,MIN(5,'DADOS_FORMAS'!$HR74+2)),'DADOS_FORMAS'!$HO74)))&amp;SUBSTITUTE('DADOS_FORMAS'!$HQ74,"em você","nela"))),UPPER(LEFT(trecho,1))&amp;MID(trecho,2,LEN(trecho)))</f>
        <v/>
      </c>
      <c r="HX78">
        <f>LET(trecho,IF(OR('DADOS_FORMAS'!$AH21="",'DADOS_FORMAS'!$HM74="",'DADOS_FORMAS'!$HO74=""),"",IF('DADOS_FORMAS'!$HO74="—","—",'DADOS_FORMAS'!$HP74&amp;IF('DADOS_FORMAS'!$HN74="alcance",INDEX('DADOS_FORMAS'!$GL$2:$GL$7,MIN(6,'DADOS_FORMAS'!$HR74+3)),IF('DADOS_FORMAS'!$HN74="raio",INDEX('DADOS_FORMAS'!$GN$2:$GN$6,MIN(5,'DADOS_FORMAS'!$HR74+3)),IF('DADOS_FORMAS'!$HN74="comprimento",INDEX('DADOS_FORMAS'!$GP$2:$GP$6,MIN(5,'DADOS_FORMAS'!$HR74+3)),'DADOS_FORMAS'!$HO74)))&amp;SUBSTITUTE('DADOS_FORMAS'!$HQ74,"em você","nela"))),UPPER(LEFT(trecho,1))&amp;MID(trecho,2,LEN(trecho)))</f>
        <v/>
      </c>
      <c r="HY78">
        <f>LET(trecho,IF(OR('DADOS_FORMAS'!$AH21="",'DADOS_FORMAS'!$HM74="",'DADOS_FORMAS'!$HO74=""),"",IF('DADOS_FORMAS'!$HO74="—","—",'DADOS_FORMAS'!$HP74&amp;IF('DADOS_FORMAS'!$HN74="alcance",INDEX('DADOS_FORMAS'!$GL$2:$GL$7,MIN(6,'DADOS_FORMAS'!$HR74+4)),IF('DADOS_FORMAS'!$HN74="raio",INDEX('DADOS_FORMAS'!$GN$2:$GN$6,MIN(5,'DADOS_FORMAS'!$HR74+4)),IF('DADOS_FORMAS'!$HN74="comprimento",INDEX('DADOS_FORMAS'!$GP$2:$GP$6,MIN(5,'DADOS_FORMAS'!$HR74+4)),'DADOS_FORMAS'!$HO74)))&amp;SUBSTITUTE('DADOS_FORMAS'!$HQ74,"em você","nela"))),UPPER(LEFT(trecho,1))&amp;MID(trecho,2,LEN(trecho)))</f>
        <v/>
      </c>
      <c r="HZ78">
        <f>LET(trecho,IF(OR('DADOS_FORMAS'!$AH21="",'DADOS_FORMAS'!$HM74="",'DADOS_FORMAS'!$HO74=""),"",IF('DADOS_FORMAS'!$HO74="—","—",'DADOS_FORMAS'!$HP74&amp;IF('DADOS_FORMAS'!$HN74="alcance",INDEX('DADOS_FORMAS'!$GL$2:$GL$7,MIN(6,'DADOS_FORMAS'!$HR74+5)),IF('DADOS_FORMAS'!$HN74="raio",INDEX('DADOS_FORMAS'!$GN$2:$GN$6,MIN(5,'DADOS_FORMAS'!$HR74+5)),IF('DADOS_FORMAS'!$HN74="comprimento",INDEX('DADOS_FORMAS'!$GP$2:$GP$6,MIN(5,'DADOS_FORMAS'!$HR74+5)),'DADOS_FORMAS'!$HO74)))&amp;SUBSTITUTE('DADOS_FORMAS'!$HQ74,"em você","nela"))),UPPER(LEFT(trecho,1))&amp;MID(trecho,2,LEN(trecho)))</f>
        <v/>
      </c>
      <c r="IA78">
        <f>IF(OR('DADOS_FORMAS'!$AH21="",'DADOS_FORMAS'!$HM75="",'DADOS_FORMAS'!$HO75=""),"",IF('DADOS_FORMAS'!$HO75="—","—",'DADOS_FORMAS'!$HP75&amp;'DADOS_FORMAS'!$HO75&amp;SUBSTITUTE('DADOS_FORMAS'!$HQ75,"em você","nela")))</f>
        <v/>
      </c>
      <c r="IB78">
        <f>IF(OR('DADOS_FORMAS'!$AH21="",'DADOS_FORMAS'!$HM75="",'DADOS_FORMAS'!$HO75=""),"",IF('DADOS_FORMAS'!$HO75="—","—",'DADOS_FORMAS'!$HP75&amp;IF('DADOS_FORMAS'!$HN75="alcance",INDEX('DADOS_FORMAS'!$GL$2:$GL$7,MIN(6,'DADOS_FORMAS'!$HR75+1)),IF('DADOS_FORMAS'!$HN75="raio",INDEX('DADOS_FORMAS'!$GN$2:$GN$6,MIN(5,'DADOS_FORMAS'!$HR75+1)),IF('DADOS_FORMAS'!$HN75="comprimento",INDEX('DADOS_FORMAS'!$GP$2:$GP$6,MIN(5,'DADOS_FORMAS'!$HR75+1)),'DADOS_FORMAS'!$HO75)))&amp;SUBSTITUTE('DADOS_FORMAS'!$HQ75,"em você","nela")))</f>
        <v/>
      </c>
      <c r="IC78">
        <f>IF(OR('DADOS_FORMAS'!$AH21="",'DADOS_FORMAS'!$HM75="",'DADOS_FORMAS'!$HO75=""),"",IF('DADOS_FORMAS'!$HO75="—","—",'DADOS_FORMAS'!$HP75&amp;IF('DADOS_FORMAS'!$HN75="alcance",INDEX('DADOS_FORMAS'!$GL$2:$GL$7,MIN(6,'DADOS_FORMAS'!$HR75+2)),IF('DADOS_FORMAS'!$HN75="raio",INDEX('DADOS_FORMAS'!$GN$2:$GN$6,MIN(5,'DADOS_FORMAS'!$HR75+2)),IF('DADOS_FORMAS'!$HN75="comprimento",INDEX('DADOS_FORMAS'!$GP$2:$GP$6,MIN(5,'DADOS_FORMAS'!$HR75+2)),'DADOS_FORMAS'!$HO75)))&amp;SUBSTITUTE('DADOS_FORMAS'!$HQ75,"em você","nela")))</f>
        <v/>
      </c>
      <c r="ID78">
        <f>IF(OR('DADOS_FORMAS'!$AH21="",'DADOS_FORMAS'!$HM75="",'DADOS_FORMAS'!$HO75=""),"",IF('DADOS_FORMAS'!$HO75="—","—",'DADOS_FORMAS'!$HP75&amp;IF('DADOS_FORMAS'!$HN75="alcance",INDEX('DADOS_FORMAS'!$GL$2:$GL$7,MIN(6,'DADOS_FORMAS'!$HR75+3)),IF('DADOS_FORMAS'!$HN75="raio",INDEX('DADOS_FORMAS'!$GN$2:$GN$6,MIN(5,'DADOS_FORMAS'!$HR75+3)),IF('DADOS_FORMAS'!$HN75="comprimento",INDEX('DADOS_FORMAS'!$GP$2:$GP$6,MIN(5,'DADOS_FORMAS'!$HR75+3)),'DADOS_FORMAS'!$HO75)))&amp;SUBSTITUTE('DADOS_FORMAS'!$HQ75,"em você","nela")))</f>
        <v/>
      </c>
      <c r="IE78">
        <f>IF(OR('DADOS_FORMAS'!$AH21="",'DADOS_FORMAS'!$HM75="",'DADOS_FORMAS'!$HO75=""),"",IF('DADOS_FORMAS'!$HO75="—","—",'DADOS_FORMAS'!$HP75&amp;IF('DADOS_FORMAS'!$HN75="alcance",INDEX('DADOS_FORMAS'!$GL$2:$GL$7,MIN(6,'DADOS_FORMAS'!$HR75+4)),IF('DADOS_FORMAS'!$HN75="raio",INDEX('DADOS_FORMAS'!$GN$2:$GN$6,MIN(5,'DADOS_FORMAS'!$HR75+4)),IF('DADOS_FORMAS'!$HN75="comprimento",INDEX('DADOS_FORMAS'!$GP$2:$GP$6,MIN(5,'DADOS_FORMAS'!$HR75+4)),'DADOS_FORMAS'!$HO75)))&amp;SUBSTITUTE('DADOS_FORMAS'!$HQ75,"em você","nela")))</f>
        <v/>
      </c>
      <c r="IF78">
        <f>IF(OR('DADOS_FORMAS'!$AH21="",'DADOS_FORMAS'!$HM75="",'DADOS_FORMAS'!$HO75=""),"",IF('DADOS_FORMAS'!$HO75="—","—",'DADOS_FORMAS'!$HP75&amp;IF('DADOS_FORMAS'!$HN75="alcance",INDEX('DADOS_FORMAS'!$GL$2:$GL$7,MIN(6,'DADOS_FORMAS'!$HR75+5)),IF('DADOS_FORMAS'!$HN75="raio",INDEX('DADOS_FORMAS'!$GN$2:$GN$6,MIN(5,'DADOS_FORMAS'!$HR75+5)),IF('DADOS_FORMAS'!$HN75="comprimento",INDEX('DADOS_FORMAS'!$GP$2:$GP$6,MIN(5,'DADOS_FORMAS'!$HR75+5)),'DADOS_FORMAS'!$HO75)))&amp;SUBSTITUTE('DADOS_FORMAS'!$HQ75,"em você","nela")))</f>
        <v/>
      </c>
    </row>
    <row r="79">
      <c r="HM79">
        <f>'DADOS_FORMAS'!$BP21</f>
        <v/>
      </c>
      <c r="HN79">
        <f>IF('DADOS_FORMAS'!$BP21="area",'DADOS_FORMAS'!$AU21,'DADOS_FORMAS'!$AT21)</f>
        <v/>
      </c>
      <c r="HO79">
        <f>IF('DADOS_FORMAS'!$BP21="area",'DADOS_FORMAS'!$BH21,'DADOS_FORMAS'!$BA21)</f>
        <v/>
      </c>
      <c r="HP79">
        <f>'DADOS_FORMAS'!$BQ21</f>
        <v/>
      </c>
      <c r="HQ79">
        <f>'DADOS_FORMAS'!$BR21</f>
        <v/>
      </c>
      <c r="HR79">
        <f>LET(base,'DADOS_FORMAS'!$HO79,escada,'DADOS_FORMAS'!$HN79,medida,LEFT(base,MAX(0,LEN(base)-2)),valor,IFERROR(VALUE(SUBSTITUTE(medida,",",""))/10^IFERROR(LEN(medida)-FIND(",",medida),0),1E99),IF(OR(escada="Fixo",base="—"),base,IF(escada="alcance",IFERROR(MATCH(base,{"1,5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9">
        <f>'DADOS_FORMAS'!$AH21&amp;" · classes 1 a 5"</f>
        <v/>
      </c>
      <c r="HU79">
        <f>LET(trecho,IF(OR('DADOS_FORMAS'!$AH21="",'DADOS_FORMAS'!$HM76="",'DADOS_FORMAS'!$HO76=""),"",IF('DADOS_FORMAS'!$HO76="—","—",'DADOS_FORMAS'!$HP76&amp;'DADOS_FORMAS'!$HO76&amp;SUBSTITUTE('DADOS_FORMAS'!$HQ76,"em você","nela"))),UPPER(LEFT(trecho,1))&amp;MID(trecho,2,LEN(trecho)))</f>
        <v/>
      </c>
      <c r="HV79">
        <f>LET(trecho,IF(OR('DADOS_FORMAS'!$AH21="",'DADOS_FORMAS'!$HM76="",'DADOS_FORMAS'!$HO76=""),"",IF('DADOS_FORMAS'!$HO76="—","—",'DADOS_FORMAS'!$HP76&amp;IF('DADOS_FORMAS'!$HN76="alcance",INDEX('DADOS_FORMAS'!$GL$2:$GL$7,MIN(6,'DADOS_FORMAS'!$HR76+1)),IF('DADOS_FORMAS'!$HN76="raio",INDEX('DADOS_FORMAS'!$GN$2:$GN$6,MIN(5,'DADOS_FORMAS'!$HR76+1)),IF('DADOS_FORMAS'!$HN76="comprimento",INDEX('DADOS_FORMAS'!$GP$2:$GP$6,MIN(5,'DADOS_FORMAS'!$HR76+1)),'DADOS_FORMAS'!$HO76)))&amp;SUBSTITUTE('DADOS_FORMAS'!$HQ76,"em você","nela"))),UPPER(LEFT(trecho,1))&amp;MID(trecho,2,LEN(trecho)))</f>
        <v/>
      </c>
      <c r="HW79">
        <f>LET(trecho,IF(OR('DADOS_FORMAS'!$AH21="",'DADOS_FORMAS'!$HM76="",'DADOS_FORMAS'!$HO76=""),"",IF('DADOS_FORMAS'!$HO76="—","—",'DADOS_FORMAS'!$HP76&amp;IF('DADOS_FORMAS'!$HN76="alcance",INDEX('DADOS_FORMAS'!$GL$2:$GL$7,MIN(6,'DADOS_FORMAS'!$HR76+2)),IF('DADOS_FORMAS'!$HN76="raio",INDEX('DADOS_FORMAS'!$GN$2:$GN$6,MIN(5,'DADOS_FORMAS'!$HR76+2)),IF('DADOS_FORMAS'!$HN76="comprimento",INDEX('DADOS_FORMAS'!$GP$2:$GP$6,MIN(5,'DADOS_FORMAS'!$HR76+2)),'DADOS_FORMAS'!$HO76)))&amp;SUBSTITUTE('DADOS_FORMAS'!$HQ76,"em você","nela"))),UPPER(LEFT(trecho,1))&amp;MID(trecho,2,LEN(trecho)))</f>
        <v/>
      </c>
      <c r="HX79">
        <f>LET(trecho,IF(OR('DADOS_FORMAS'!$AH21="",'DADOS_FORMAS'!$HM76="",'DADOS_FORMAS'!$HO76=""),"",IF('DADOS_FORMAS'!$HO76="—","—",'DADOS_FORMAS'!$HP76&amp;IF('DADOS_FORMAS'!$HN76="alcance",INDEX('DADOS_FORMAS'!$GL$2:$GL$7,MIN(6,'DADOS_FORMAS'!$HR76+3)),IF('DADOS_FORMAS'!$HN76="raio",INDEX('DADOS_FORMAS'!$GN$2:$GN$6,MIN(5,'DADOS_FORMAS'!$HR76+3)),IF('DADOS_FORMAS'!$HN76="comprimento",INDEX('DADOS_FORMAS'!$GP$2:$GP$6,MIN(5,'DADOS_FORMAS'!$HR76+3)),'DADOS_FORMAS'!$HO76)))&amp;SUBSTITUTE('DADOS_FORMAS'!$HQ76,"em você","nela"))),UPPER(LEFT(trecho,1))&amp;MID(trecho,2,LEN(trecho)))</f>
        <v/>
      </c>
      <c r="HY79">
        <f>LET(trecho,IF(OR('DADOS_FORMAS'!$AH21="",'DADOS_FORMAS'!$HM76="",'DADOS_FORMAS'!$HO76=""),"",IF('DADOS_FORMAS'!$HO76="—","—",'DADOS_FORMAS'!$HP76&amp;IF('DADOS_FORMAS'!$HN76="alcance",INDEX('DADOS_FORMAS'!$GL$2:$GL$7,MIN(6,'DADOS_FORMAS'!$HR76+4)),IF('DADOS_FORMAS'!$HN76="raio",INDEX('DADOS_FORMAS'!$GN$2:$GN$6,MIN(5,'DADOS_FORMAS'!$HR76+4)),IF('DADOS_FORMAS'!$HN76="comprimento",INDEX('DADOS_FORMAS'!$GP$2:$GP$6,MIN(5,'DADOS_FORMAS'!$HR76+4)),'DADOS_FORMAS'!$HO76)))&amp;SUBSTITUTE('DADOS_FORMAS'!$HQ76,"em você","nela"))),UPPER(LEFT(trecho,1))&amp;MID(trecho,2,LEN(trecho)))</f>
        <v/>
      </c>
      <c r="HZ79">
        <f>LET(trecho,IF(OR('DADOS_FORMAS'!$AH21="",'DADOS_FORMAS'!$HM76="",'DADOS_FORMAS'!$HO76=""),"",IF('DADOS_FORMAS'!$HO76="—","—",'DADOS_FORMAS'!$HP76&amp;IF('DADOS_FORMAS'!$HN76="alcance",INDEX('DADOS_FORMAS'!$GL$2:$GL$7,MIN(6,'DADOS_FORMAS'!$HR76+5)),IF('DADOS_FORMAS'!$HN76="raio",INDEX('DADOS_FORMAS'!$GN$2:$GN$6,MIN(5,'DADOS_FORMAS'!$HR76+5)),IF('DADOS_FORMAS'!$HN76="comprimento",INDEX('DADOS_FORMAS'!$GP$2:$GP$6,MIN(5,'DADOS_FORMAS'!$HR76+5)),'DADOS_FORMAS'!$HO76)))&amp;SUBSTITUTE('DADOS_FORMAS'!$HQ76,"em você","nela"))),UPPER(LEFT(trecho,1))&amp;MID(trecho,2,LEN(trecho)))</f>
        <v/>
      </c>
      <c r="IA79">
        <f>IF(OR('DADOS_FORMAS'!$AH21="",'DADOS_FORMAS'!$HM77="",'DADOS_FORMAS'!$HO77=""),"",IF('DADOS_FORMAS'!$HO77="—","—",'DADOS_FORMAS'!$HP77&amp;'DADOS_FORMAS'!$HO77&amp;SUBSTITUTE('DADOS_FORMAS'!$HQ77,"em você","nela")))</f>
        <v/>
      </c>
      <c r="IB79">
        <f>IF(OR('DADOS_FORMAS'!$AH21="",'DADOS_FORMAS'!$HM77="",'DADOS_FORMAS'!$HO77=""),"",IF('DADOS_FORMAS'!$HO77="—","—",'DADOS_FORMAS'!$HP77&amp;IF('DADOS_FORMAS'!$HN77="alcance",INDEX('DADOS_FORMAS'!$GL$2:$GL$7,MIN(6,'DADOS_FORMAS'!$HR77+1)),IF('DADOS_FORMAS'!$HN77="raio",INDEX('DADOS_FORMAS'!$GN$2:$GN$6,MIN(5,'DADOS_FORMAS'!$HR77+1)),IF('DADOS_FORMAS'!$HN77="comprimento",INDEX('DADOS_FORMAS'!$GP$2:$GP$6,MIN(5,'DADOS_FORMAS'!$HR77+1)),'DADOS_FORMAS'!$HO77)))&amp;SUBSTITUTE('DADOS_FORMAS'!$HQ77,"em você","nela")))</f>
        <v/>
      </c>
      <c r="IC79">
        <f>IF(OR('DADOS_FORMAS'!$AH21="",'DADOS_FORMAS'!$HM77="",'DADOS_FORMAS'!$HO77=""),"",IF('DADOS_FORMAS'!$HO77="—","—",'DADOS_FORMAS'!$HP77&amp;IF('DADOS_FORMAS'!$HN77="alcance",INDEX('DADOS_FORMAS'!$GL$2:$GL$7,MIN(6,'DADOS_FORMAS'!$HR77+2)),IF('DADOS_FORMAS'!$HN77="raio",INDEX('DADOS_FORMAS'!$GN$2:$GN$6,MIN(5,'DADOS_FORMAS'!$HR77+2)),IF('DADOS_FORMAS'!$HN77="comprimento",INDEX('DADOS_FORMAS'!$GP$2:$GP$6,MIN(5,'DADOS_FORMAS'!$HR77+2)),'DADOS_FORMAS'!$HO77)))&amp;SUBSTITUTE('DADOS_FORMAS'!$HQ77,"em você","nela")))</f>
        <v/>
      </c>
      <c r="ID79">
        <f>IF(OR('DADOS_FORMAS'!$AH21="",'DADOS_FORMAS'!$HM77="",'DADOS_FORMAS'!$HO77=""),"",IF('DADOS_FORMAS'!$HO77="—","—",'DADOS_FORMAS'!$HP77&amp;IF('DADOS_FORMAS'!$HN77="alcance",INDEX('DADOS_FORMAS'!$GL$2:$GL$7,MIN(6,'DADOS_FORMAS'!$HR77+3)),IF('DADOS_FORMAS'!$HN77="raio",INDEX('DADOS_FORMAS'!$GN$2:$GN$6,MIN(5,'DADOS_FORMAS'!$HR77+3)),IF('DADOS_FORMAS'!$HN77="comprimento",INDEX('DADOS_FORMAS'!$GP$2:$GP$6,MIN(5,'DADOS_FORMAS'!$HR77+3)),'DADOS_FORMAS'!$HO77)))&amp;SUBSTITUTE('DADOS_FORMAS'!$HQ77,"em você","nela")))</f>
        <v/>
      </c>
      <c r="IE79">
        <f>IF(OR('DADOS_FORMAS'!$AH21="",'DADOS_FORMAS'!$HM77="",'DADOS_FORMAS'!$HO77=""),"",IF('DADOS_FORMAS'!$HO77="—","—",'DADOS_FORMAS'!$HP77&amp;IF('DADOS_FORMAS'!$HN77="alcance",INDEX('DADOS_FORMAS'!$GL$2:$GL$7,MIN(6,'DADOS_FORMAS'!$HR77+4)),IF('DADOS_FORMAS'!$HN77="raio",INDEX('DADOS_FORMAS'!$GN$2:$GN$6,MIN(5,'DADOS_FORMAS'!$HR77+4)),IF('DADOS_FORMAS'!$HN77="comprimento",INDEX('DADOS_FORMAS'!$GP$2:$GP$6,MIN(5,'DADOS_FORMAS'!$HR77+4)),'DADOS_FORMAS'!$HO77)))&amp;SUBSTITUTE('DADOS_FORMAS'!$HQ77,"em você","nela")))</f>
        <v/>
      </c>
      <c r="IF79">
        <f>IF(OR('DADOS_FORMAS'!$AH21="",'DADOS_FORMAS'!$HM77="",'DADOS_FORMAS'!$HO77=""),"",IF('DADOS_FORMAS'!$HO77="—","—",'DADOS_FORMAS'!$HP77&amp;IF('DADOS_FORMAS'!$HN77="alcance",INDEX('DADOS_FORMAS'!$GL$2:$GL$7,MIN(6,'DADOS_FORMAS'!$HR77+5)),IF('DADOS_FORMAS'!$HN77="raio",INDEX('DADOS_FORMAS'!$GN$2:$GN$6,MIN(5,'DADOS_FORMAS'!$HR77+5)),IF('DADOS_FORMAS'!$HN77="comprimento",INDEX('DADOS_FORMAS'!$GP$2:$GP$6,MIN(5,'DADOS_FORMAS'!$HR77+5)),'DADOS_FORMAS'!$HO77)))&amp;SUBSTITUTE('DADOS_FORMAS'!$HQ77,"em você","nela")))</f>
        <v/>
      </c>
    </row>
    <row r="80">
      <c r="HM80">
        <f>'DADOS_FORMAS'!$BL21</f>
        <v/>
      </c>
      <c r="HN80">
        <f>IF('DADOS_FORMAS'!$BL21="area",'DADOS_FORMAS'!$AU21,'DADOS_FORMAS'!$AT21)</f>
        <v/>
      </c>
      <c r="HO80">
        <f>IF('DADOS_FORMAS'!$BL21="area",'DADOS_FORMAS'!$BI21,'DADOS_FORMAS'!$BB21)</f>
        <v/>
      </c>
      <c r="HP80">
        <f>'DADOS_FORMAS'!$BM21</f>
        <v/>
      </c>
      <c r="HQ80">
        <f>'DADOS_FORMAS'!$BN21</f>
        <v/>
      </c>
      <c r="HR80">
        <f>LET(base,'DADOS_FORMAS'!$HO80,escada,'DADOS_FORMAS'!$HN80,medida,LEFT(base,MAX(0,LEN(base)-2)),valor,IFERROR(VALUE(SUBSTITUTE(medida,",",""))/10^IFERROR(LEN(medida)-FIND(",",medida),0),1E99),IF(OR(escada="Fixo",base="—"),base,IF(escada="alcance",IFERROR(MATCH(base,{"1,5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0">
        <f>'DADOS_FORMAS'!$AH21&amp;" · classe 6"</f>
        <v/>
      </c>
      <c r="HU80">
        <f>LET(trecho,IF(OR('DADOS_FORMAS'!$AH21="",'DADOS_FORMAS'!$HM78="",'DADOS_FORMAS'!$HO78=""),"",IF('DADOS_FORMAS'!$HO78="—","—",'DADOS_FORMAS'!$HP78&amp;'DADOS_FORMAS'!$HO78&amp;SUBSTITUTE('DADOS_FORMAS'!$HQ78,"em você","nela"))),UPPER(LEFT(trecho,1))&amp;MID(trecho,2,LEN(trecho)))</f>
        <v/>
      </c>
      <c r="HV80">
        <f>LET(trecho,IF(OR('DADOS_FORMAS'!$AH21="",'DADOS_FORMAS'!$HM78="",'DADOS_FORMAS'!$HO78=""),"",IF('DADOS_FORMAS'!$HO78="—","—",'DADOS_FORMAS'!$HP78&amp;IF('DADOS_FORMAS'!$HN78="alcance",INDEX('DADOS_FORMAS'!$GL$2:$GL$7,MIN(6,'DADOS_FORMAS'!$HR78+1)),IF('DADOS_FORMAS'!$HN78="raio",INDEX('DADOS_FORMAS'!$GN$2:$GN$6,MIN(5,'DADOS_FORMAS'!$HR78+1)),IF('DADOS_FORMAS'!$HN78="comprimento",INDEX('DADOS_FORMAS'!$GP$2:$GP$6,MIN(5,'DADOS_FORMAS'!$HR78+1)),'DADOS_FORMAS'!$HO78)))&amp;SUBSTITUTE('DADOS_FORMAS'!$HQ78,"em você","nela"))),UPPER(LEFT(trecho,1))&amp;MID(trecho,2,LEN(trecho)))</f>
        <v/>
      </c>
      <c r="HW80">
        <f>LET(trecho,IF(OR('DADOS_FORMAS'!$AH21="",'DADOS_FORMAS'!$HM78="",'DADOS_FORMAS'!$HO78=""),"",IF('DADOS_FORMAS'!$HO78="—","—",'DADOS_FORMAS'!$HP78&amp;IF('DADOS_FORMAS'!$HN78="alcance",INDEX('DADOS_FORMAS'!$GL$2:$GL$7,MIN(6,'DADOS_FORMAS'!$HR78+2)),IF('DADOS_FORMAS'!$HN78="raio",INDEX('DADOS_FORMAS'!$GN$2:$GN$6,MIN(5,'DADOS_FORMAS'!$HR78+2)),IF('DADOS_FORMAS'!$HN78="comprimento",INDEX('DADOS_FORMAS'!$GP$2:$GP$6,MIN(5,'DADOS_FORMAS'!$HR78+2)),'DADOS_FORMAS'!$HO78)))&amp;SUBSTITUTE('DADOS_FORMAS'!$HQ78,"em você","nela"))),UPPER(LEFT(trecho,1))&amp;MID(trecho,2,LEN(trecho)))</f>
        <v/>
      </c>
      <c r="HX80">
        <f>LET(trecho,IF(OR('DADOS_FORMAS'!$AH21="",'DADOS_FORMAS'!$HM78="",'DADOS_FORMAS'!$HO78=""),"",IF('DADOS_FORMAS'!$HO78="—","—",'DADOS_FORMAS'!$HP78&amp;IF('DADOS_FORMAS'!$HN78="alcance",INDEX('DADOS_FORMAS'!$GL$2:$GL$7,MIN(6,'DADOS_FORMAS'!$HR78+3)),IF('DADOS_FORMAS'!$HN78="raio",INDEX('DADOS_FORMAS'!$GN$2:$GN$6,MIN(5,'DADOS_FORMAS'!$HR78+3)),IF('DADOS_FORMAS'!$HN78="comprimento",INDEX('DADOS_FORMAS'!$GP$2:$GP$6,MIN(5,'DADOS_FORMAS'!$HR78+3)),'DADOS_FORMAS'!$HO78)))&amp;SUBSTITUTE('DADOS_FORMAS'!$HQ78,"em você","nela"))),UPPER(LEFT(trecho,1))&amp;MID(trecho,2,LEN(trecho)))</f>
        <v/>
      </c>
      <c r="HY80">
        <f>LET(trecho,IF(OR('DADOS_FORMAS'!$AH21="",'DADOS_FORMAS'!$HM78="",'DADOS_FORMAS'!$HO78=""),"",IF('DADOS_FORMAS'!$HO78="—","—",'DADOS_FORMAS'!$HP78&amp;IF('DADOS_FORMAS'!$HN78="alcance",INDEX('DADOS_FORMAS'!$GL$2:$GL$7,MIN(6,'DADOS_FORMAS'!$HR78+4)),IF('DADOS_FORMAS'!$HN78="raio",INDEX('DADOS_FORMAS'!$GN$2:$GN$6,MIN(5,'DADOS_FORMAS'!$HR78+4)),IF('DADOS_FORMAS'!$HN78="comprimento",INDEX('DADOS_FORMAS'!$GP$2:$GP$6,MIN(5,'DADOS_FORMAS'!$HR78+4)),'DADOS_FORMAS'!$HO78)))&amp;SUBSTITUTE('DADOS_FORMAS'!$HQ78,"em você","nela"))),UPPER(LEFT(trecho,1))&amp;MID(trecho,2,LEN(trecho)))</f>
        <v/>
      </c>
      <c r="HZ80">
        <f>LET(trecho,IF(OR('DADOS_FORMAS'!$AH21="",'DADOS_FORMAS'!$HM78="",'DADOS_FORMAS'!$HO78=""),"",IF('DADOS_FORMAS'!$HO78="—","—",'DADOS_FORMAS'!$HP78&amp;IF('DADOS_FORMAS'!$HN78="alcance",INDEX('DADOS_FORMAS'!$GL$2:$GL$7,MIN(6,'DADOS_FORMAS'!$HR78+5)),IF('DADOS_FORMAS'!$HN78="raio",INDEX('DADOS_FORMAS'!$GN$2:$GN$6,MIN(5,'DADOS_FORMAS'!$HR78+5)),IF('DADOS_FORMAS'!$HN78="comprimento",INDEX('DADOS_FORMAS'!$GP$2:$GP$6,MIN(5,'DADOS_FORMAS'!$HR78+5)),'DADOS_FORMAS'!$HO78)))&amp;SUBSTITUTE('DADOS_FORMAS'!$HQ78,"em você","nela"))),UPPER(LEFT(trecho,1))&amp;MID(trecho,2,LEN(trecho)))</f>
        <v/>
      </c>
      <c r="IA80">
        <f>IF(OR('DADOS_FORMAS'!$AH21="",'DADOS_FORMAS'!$HM79="",'DADOS_FORMAS'!$HO79=""),"",IF('DADOS_FORMAS'!$HO79="—","—",'DADOS_FORMAS'!$HP79&amp;'DADOS_FORMAS'!$HO79&amp;SUBSTITUTE('DADOS_FORMAS'!$HQ79,"em você","nela")))</f>
        <v/>
      </c>
      <c r="IB80">
        <f>IF(OR('DADOS_FORMAS'!$AH21="",'DADOS_FORMAS'!$HM79="",'DADOS_FORMAS'!$HO79=""),"",IF('DADOS_FORMAS'!$HO79="—","—",'DADOS_FORMAS'!$HP79&amp;IF('DADOS_FORMAS'!$HN79="alcance",INDEX('DADOS_FORMAS'!$GL$2:$GL$7,MIN(6,'DADOS_FORMAS'!$HR79+1)),IF('DADOS_FORMAS'!$HN79="raio",INDEX('DADOS_FORMAS'!$GN$2:$GN$6,MIN(5,'DADOS_FORMAS'!$HR79+1)),IF('DADOS_FORMAS'!$HN79="comprimento",INDEX('DADOS_FORMAS'!$GP$2:$GP$6,MIN(5,'DADOS_FORMAS'!$HR79+1)),'DADOS_FORMAS'!$HO79)))&amp;SUBSTITUTE('DADOS_FORMAS'!$HQ79,"em você","nela")))</f>
        <v/>
      </c>
      <c r="IC80">
        <f>IF(OR('DADOS_FORMAS'!$AH21="",'DADOS_FORMAS'!$HM79="",'DADOS_FORMAS'!$HO79=""),"",IF('DADOS_FORMAS'!$HO79="—","—",'DADOS_FORMAS'!$HP79&amp;IF('DADOS_FORMAS'!$HN79="alcance",INDEX('DADOS_FORMAS'!$GL$2:$GL$7,MIN(6,'DADOS_FORMAS'!$HR79+2)),IF('DADOS_FORMAS'!$HN79="raio",INDEX('DADOS_FORMAS'!$GN$2:$GN$6,MIN(5,'DADOS_FORMAS'!$HR79+2)),IF('DADOS_FORMAS'!$HN79="comprimento",INDEX('DADOS_FORMAS'!$GP$2:$GP$6,MIN(5,'DADOS_FORMAS'!$HR79+2)),'DADOS_FORMAS'!$HO79)))&amp;SUBSTITUTE('DADOS_FORMAS'!$HQ79,"em você","nela")))</f>
        <v/>
      </c>
      <c r="ID80">
        <f>IF(OR('DADOS_FORMAS'!$AH21="",'DADOS_FORMAS'!$HM79="",'DADOS_FORMAS'!$HO79=""),"",IF('DADOS_FORMAS'!$HO79="—","—",'DADOS_FORMAS'!$HP79&amp;IF('DADOS_FORMAS'!$HN79="alcance",INDEX('DADOS_FORMAS'!$GL$2:$GL$7,MIN(6,'DADOS_FORMAS'!$HR79+3)),IF('DADOS_FORMAS'!$HN79="raio",INDEX('DADOS_FORMAS'!$GN$2:$GN$6,MIN(5,'DADOS_FORMAS'!$HR79+3)),IF('DADOS_FORMAS'!$HN79="comprimento",INDEX('DADOS_FORMAS'!$GP$2:$GP$6,MIN(5,'DADOS_FORMAS'!$HR79+3)),'DADOS_FORMAS'!$HO79)))&amp;SUBSTITUTE('DADOS_FORMAS'!$HQ79,"em você","nela")))</f>
        <v/>
      </c>
      <c r="IE80">
        <f>IF(OR('DADOS_FORMAS'!$AH21="",'DADOS_FORMAS'!$HM79="",'DADOS_FORMAS'!$HO79=""),"",IF('DADOS_FORMAS'!$HO79="—","—",'DADOS_FORMAS'!$HP79&amp;IF('DADOS_FORMAS'!$HN79="alcance",INDEX('DADOS_FORMAS'!$GL$2:$GL$7,MIN(6,'DADOS_FORMAS'!$HR79+4)),IF('DADOS_FORMAS'!$HN79="raio",INDEX('DADOS_FORMAS'!$GN$2:$GN$6,MIN(5,'DADOS_FORMAS'!$HR79+4)),IF('DADOS_FORMAS'!$HN79="comprimento",INDEX('DADOS_FORMAS'!$GP$2:$GP$6,MIN(5,'DADOS_FORMAS'!$HR79+4)),'DADOS_FORMAS'!$HO79)))&amp;SUBSTITUTE('DADOS_FORMAS'!$HQ79,"em você","nela")))</f>
        <v/>
      </c>
      <c r="IF80">
        <f>IF(OR('DADOS_FORMAS'!$AH21="",'DADOS_FORMAS'!$HM79="",'DADOS_FORMAS'!$HO79=""),"",IF('DADOS_FORMAS'!$HO79="—","—",'DADOS_FORMAS'!$HP79&amp;IF('DADOS_FORMAS'!$HN79="alcance",INDEX('DADOS_FORMAS'!$GL$2:$GL$7,MIN(6,'DADOS_FORMAS'!$HR79+5)),IF('DADOS_FORMAS'!$HN79="raio",INDEX('DADOS_FORMAS'!$GN$2:$GN$6,MIN(5,'DADOS_FORMAS'!$HR79+5)),IF('DADOS_FORMAS'!$HN79="comprimento",INDEX('DADOS_FORMAS'!$GP$2:$GP$6,MIN(5,'DADOS_FORMAS'!$HR79+5)),'DADOS_FORMAS'!$HO79)))&amp;SUBSTITUTE('DADOS_FORMAS'!$HQ79,"em você","nela")))</f>
        <v/>
      </c>
    </row>
    <row r="81">
      <c r="HM81">
        <f>'DADOS_FORMAS'!$BP21</f>
        <v/>
      </c>
      <c r="HN81">
        <f>IF('DADOS_FORMAS'!$BP21="area",'DADOS_FORMAS'!$AU21,'DADOS_FORMAS'!$AT21)</f>
        <v/>
      </c>
      <c r="HO81">
        <f>IF('DADOS_FORMAS'!$BP21="area",'DADOS_FORMAS'!$BI21,'DADOS_FORMAS'!$BB21)</f>
        <v/>
      </c>
      <c r="HP81">
        <f>'DADOS_FORMAS'!$BQ21</f>
        <v/>
      </c>
      <c r="HQ81">
        <f>'DADOS_FORMAS'!$BR21</f>
        <v/>
      </c>
      <c r="HR81">
        <f>LET(base,'DADOS_FORMAS'!$HO81,escada,'DADOS_FORMAS'!$HN81,medida,LEFT(base,MAX(0,LEN(base)-2)),valor,IFERROR(VALUE(SUBSTITUTE(medida,",",""))/10^IFERROR(LEN(medida)-FIND(",",medida),0),1E99),IF(OR(escada="Fixo",base="—"),base,IF(escada="alcance",IFERROR(MATCH(base,{"1,5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1">
        <f>'DADOS_FORMAS'!$AH21&amp;" · classe 7"</f>
        <v/>
      </c>
      <c r="HU81">
        <f>LET(trecho,IF(OR('DADOS_FORMAS'!$AH21="",'DADOS_FORMAS'!$HM80="",'DADOS_FORMAS'!$HO80=""),"",IF('DADOS_FORMAS'!$HO80="—","—",'DADOS_FORMAS'!$HP80&amp;'DADOS_FORMAS'!$HO80&amp;SUBSTITUTE('DADOS_FORMAS'!$HQ80,"em você","nela"))),UPPER(LEFT(trecho,1))&amp;MID(trecho,2,LEN(trecho)))</f>
        <v/>
      </c>
      <c r="HV81">
        <f>LET(trecho,IF(OR('DADOS_FORMAS'!$AH21="",'DADOS_FORMAS'!$HM80="",'DADOS_FORMAS'!$HO80=""),"",IF('DADOS_FORMAS'!$HO80="—","—",'DADOS_FORMAS'!$HP80&amp;IF('DADOS_FORMAS'!$HN80="alcance",INDEX('DADOS_FORMAS'!$GL$2:$GL$7,MIN(6,'DADOS_FORMAS'!$HR80+1)),IF('DADOS_FORMAS'!$HN80="raio",INDEX('DADOS_FORMAS'!$GN$2:$GN$6,MIN(5,'DADOS_FORMAS'!$HR80+1)),IF('DADOS_FORMAS'!$HN80="comprimento",INDEX('DADOS_FORMAS'!$GP$2:$GP$6,MIN(5,'DADOS_FORMAS'!$HR80+1)),'DADOS_FORMAS'!$HO80)))&amp;SUBSTITUTE('DADOS_FORMAS'!$HQ80,"em você","nela"))),UPPER(LEFT(trecho,1))&amp;MID(trecho,2,LEN(trecho)))</f>
        <v/>
      </c>
      <c r="HW81">
        <f>LET(trecho,IF(OR('DADOS_FORMAS'!$AH21="",'DADOS_FORMAS'!$HM80="",'DADOS_FORMAS'!$HO80=""),"",IF('DADOS_FORMAS'!$HO80="—","—",'DADOS_FORMAS'!$HP80&amp;IF('DADOS_FORMAS'!$HN80="alcance",INDEX('DADOS_FORMAS'!$GL$2:$GL$7,MIN(6,'DADOS_FORMAS'!$HR80+2)),IF('DADOS_FORMAS'!$HN80="raio",INDEX('DADOS_FORMAS'!$GN$2:$GN$6,MIN(5,'DADOS_FORMAS'!$HR80+2)),IF('DADOS_FORMAS'!$HN80="comprimento",INDEX('DADOS_FORMAS'!$GP$2:$GP$6,MIN(5,'DADOS_FORMAS'!$HR80+2)),'DADOS_FORMAS'!$HO80)))&amp;SUBSTITUTE('DADOS_FORMAS'!$HQ80,"em você","nela"))),UPPER(LEFT(trecho,1))&amp;MID(trecho,2,LEN(trecho)))</f>
        <v/>
      </c>
      <c r="HX81">
        <f>LET(trecho,IF(OR('DADOS_FORMAS'!$AH21="",'DADOS_FORMAS'!$HM80="",'DADOS_FORMAS'!$HO80=""),"",IF('DADOS_FORMAS'!$HO80="—","—",'DADOS_FORMAS'!$HP80&amp;IF('DADOS_FORMAS'!$HN80="alcance",INDEX('DADOS_FORMAS'!$GL$2:$GL$7,MIN(6,'DADOS_FORMAS'!$HR80+3)),IF('DADOS_FORMAS'!$HN80="raio",INDEX('DADOS_FORMAS'!$GN$2:$GN$6,MIN(5,'DADOS_FORMAS'!$HR80+3)),IF('DADOS_FORMAS'!$HN80="comprimento",INDEX('DADOS_FORMAS'!$GP$2:$GP$6,MIN(5,'DADOS_FORMAS'!$HR80+3)),'DADOS_FORMAS'!$HO80)))&amp;SUBSTITUTE('DADOS_FORMAS'!$HQ80,"em você","nela"))),UPPER(LEFT(trecho,1))&amp;MID(trecho,2,LEN(trecho)))</f>
        <v/>
      </c>
      <c r="HY81">
        <f>LET(trecho,IF(OR('DADOS_FORMAS'!$AH21="",'DADOS_FORMAS'!$HM80="",'DADOS_FORMAS'!$HO80=""),"",IF('DADOS_FORMAS'!$HO80="—","—",'DADOS_FORMAS'!$HP80&amp;IF('DADOS_FORMAS'!$HN80="alcance",INDEX('DADOS_FORMAS'!$GL$2:$GL$7,MIN(6,'DADOS_FORMAS'!$HR80+4)),IF('DADOS_FORMAS'!$HN80="raio",INDEX('DADOS_FORMAS'!$GN$2:$GN$6,MIN(5,'DADOS_FORMAS'!$HR80+4)),IF('DADOS_FORMAS'!$HN80="comprimento",INDEX('DADOS_FORMAS'!$GP$2:$GP$6,MIN(5,'DADOS_FORMAS'!$HR80+4)),'DADOS_FORMAS'!$HO80)))&amp;SUBSTITUTE('DADOS_FORMAS'!$HQ80,"em você","nela"))),UPPER(LEFT(trecho,1))&amp;MID(trecho,2,LEN(trecho)))</f>
        <v/>
      </c>
      <c r="HZ81">
        <f>LET(trecho,IF(OR('DADOS_FORMAS'!$AH21="",'DADOS_FORMAS'!$HM80="",'DADOS_FORMAS'!$HO80=""),"",IF('DADOS_FORMAS'!$HO80="—","—",'DADOS_FORMAS'!$HP80&amp;IF('DADOS_FORMAS'!$HN80="alcance",INDEX('DADOS_FORMAS'!$GL$2:$GL$7,MIN(6,'DADOS_FORMAS'!$HR80+5)),IF('DADOS_FORMAS'!$HN80="raio",INDEX('DADOS_FORMAS'!$GN$2:$GN$6,MIN(5,'DADOS_FORMAS'!$HR80+5)),IF('DADOS_FORMAS'!$HN80="comprimento",INDEX('DADOS_FORMAS'!$GP$2:$GP$6,MIN(5,'DADOS_FORMAS'!$HR80+5)),'DADOS_FORMAS'!$HO80)))&amp;SUBSTITUTE('DADOS_FORMAS'!$HQ80,"em você","nela"))),UPPER(LEFT(trecho,1))&amp;MID(trecho,2,LEN(trecho)))</f>
        <v/>
      </c>
      <c r="IA81">
        <f>IF(OR('DADOS_FORMAS'!$AH21="",'DADOS_FORMAS'!$HM81="",'DADOS_FORMAS'!$HO81=""),"",IF('DADOS_FORMAS'!$HO81="—","—",'DADOS_FORMAS'!$HP81&amp;'DADOS_FORMAS'!$HO81&amp;SUBSTITUTE('DADOS_FORMAS'!$HQ81,"em você","nela")))</f>
        <v/>
      </c>
      <c r="IB81">
        <f>IF(OR('DADOS_FORMAS'!$AH21="",'DADOS_FORMAS'!$HM81="",'DADOS_FORMAS'!$HO81=""),"",IF('DADOS_FORMAS'!$HO81="—","—",'DADOS_FORMAS'!$HP81&amp;IF('DADOS_FORMAS'!$HN81="alcance",INDEX('DADOS_FORMAS'!$GL$2:$GL$7,MIN(6,'DADOS_FORMAS'!$HR81+1)),IF('DADOS_FORMAS'!$HN81="raio",INDEX('DADOS_FORMAS'!$GN$2:$GN$6,MIN(5,'DADOS_FORMAS'!$HR81+1)),IF('DADOS_FORMAS'!$HN81="comprimento",INDEX('DADOS_FORMAS'!$GP$2:$GP$6,MIN(5,'DADOS_FORMAS'!$HR81+1)),'DADOS_FORMAS'!$HO81)))&amp;SUBSTITUTE('DADOS_FORMAS'!$HQ81,"em você","nela")))</f>
        <v/>
      </c>
      <c r="IC81">
        <f>IF(OR('DADOS_FORMAS'!$AH21="",'DADOS_FORMAS'!$HM81="",'DADOS_FORMAS'!$HO81=""),"",IF('DADOS_FORMAS'!$HO81="—","—",'DADOS_FORMAS'!$HP81&amp;IF('DADOS_FORMAS'!$HN81="alcance",INDEX('DADOS_FORMAS'!$GL$2:$GL$7,MIN(6,'DADOS_FORMAS'!$HR81+2)),IF('DADOS_FORMAS'!$HN81="raio",INDEX('DADOS_FORMAS'!$GN$2:$GN$6,MIN(5,'DADOS_FORMAS'!$HR81+2)),IF('DADOS_FORMAS'!$HN81="comprimento",INDEX('DADOS_FORMAS'!$GP$2:$GP$6,MIN(5,'DADOS_FORMAS'!$HR81+2)),'DADOS_FORMAS'!$HO81)))&amp;SUBSTITUTE('DADOS_FORMAS'!$HQ81,"em você","nela")))</f>
        <v/>
      </c>
      <c r="ID81">
        <f>IF(OR('DADOS_FORMAS'!$AH21="",'DADOS_FORMAS'!$HM81="",'DADOS_FORMAS'!$HO81=""),"",IF('DADOS_FORMAS'!$HO81="—","—",'DADOS_FORMAS'!$HP81&amp;IF('DADOS_FORMAS'!$HN81="alcance",INDEX('DADOS_FORMAS'!$GL$2:$GL$7,MIN(6,'DADOS_FORMAS'!$HR81+3)),IF('DADOS_FORMAS'!$HN81="raio",INDEX('DADOS_FORMAS'!$GN$2:$GN$6,MIN(5,'DADOS_FORMAS'!$HR81+3)),IF('DADOS_FORMAS'!$HN81="comprimento",INDEX('DADOS_FORMAS'!$GP$2:$GP$6,MIN(5,'DADOS_FORMAS'!$HR81+3)),'DADOS_FORMAS'!$HO81)))&amp;SUBSTITUTE('DADOS_FORMAS'!$HQ81,"em você","nela")))</f>
        <v/>
      </c>
      <c r="IE81">
        <f>IF(OR('DADOS_FORMAS'!$AH21="",'DADOS_FORMAS'!$HM81="",'DADOS_FORMAS'!$HO81=""),"",IF('DADOS_FORMAS'!$HO81="—","—",'DADOS_FORMAS'!$HP81&amp;IF('DADOS_FORMAS'!$HN81="alcance",INDEX('DADOS_FORMAS'!$GL$2:$GL$7,MIN(6,'DADOS_FORMAS'!$HR81+4)),IF('DADOS_FORMAS'!$HN81="raio",INDEX('DADOS_FORMAS'!$GN$2:$GN$6,MIN(5,'DADOS_FORMAS'!$HR81+4)),IF('DADOS_FORMAS'!$HN81="comprimento",INDEX('DADOS_FORMAS'!$GP$2:$GP$6,MIN(5,'DADOS_FORMAS'!$HR81+4)),'DADOS_FORMAS'!$HO81)))&amp;SUBSTITUTE('DADOS_FORMAS'!$HQ81,"em você","nela")))</f>
        <v/>
      </c>
      <c r="IF81">
        <f>IF(OR('DADOS_FORMAS'!$AH21="",'DADOS_FORMAS'!$HM81="",'DADOS_FORMAS'!$HO81=""),"",IF('DADOS_FORMAS'!$HO81="—","—",'DADOS_FORMAS'!$HP81&amp;IF('DADOS_FORMAS'!$HN81="alcance",INDEX('DADOS_FORMAS'!$GL$2:$GL$7,MIN(6,'DADOS_FORMAS'!$HR81+5)),IF('DADOS_FORMAS'!$HN81="raio",INDEX('DADOS_FORMAS'!$GN$2:$GN$6,MIN(5,'DADOS_FORMAS'!$HR81+5)),IF('DADOS_FORMAS'!$HN81="comprimento",INDEX('DADOS_FORMAS'!$GP$2:$GP$6,MIN(5,'DADOS_FORMAS'!$HR81+5)),'DADOS_FORMAS'!$HO81)))&amp;SUBSTITUTE('DADOS_FORMAS'!$HQ81,"em você","nela")))</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U45"/>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entrada.nivel_minimo</t>
        </is>
      </c>
      <c r="I1" t="inlineStr">
        <is>
          <t>entrada.refino_minimo</t>
        </is>
      </c>
      <c r="J1" t="inlineStr">
        <is>
          <t>entrada.escolha</t>
        </is>
      </c>
      <c r="K1" t="inlineStr">
        <is>
          <t>aviso</t>
        </is>
      </c>
      <c r="L1" t="inlineStr">
        <is>
          <t>linha_base</t>
        </is>
      </c>
      <c r="M1" t="inlineStr">
        <is>
          <t>ativo</t>
        </is>
      </c>
      <c r="N1" t="inlineStr">
        <is>
          <t>tipo</t>
        </is>
      </c>
      <c r="O1" t="inlineStr">
        <is>
          <t>nome</t>
        </is>
      </c>
      <c r="P1" t="inlineStr">
        <is>
          <t>base</t>
        </is>
      </c>
      <c r="Q1" t="inlineStr">
        <is>
          <t>mestre_viu</t>
        </is>
      </c>
      <c r="R1" t="inlineStr">
        <is>
          <t>requisitos</t>
        </is>
      </c>
      <c r="S1" t="inlineStr">
        <is>
          <t>efeito</t>
        </is>
      </c>
      <c r="T1" t="inlineStr">
        <is>
          <t>ce</t>
        </is>
      </c>
      <c r="U1" t="inlineStr">
        <is>
          <t>nivel_minimo</t>
        </is>
      </c>
      <c r="V1" t="inlineStr">
        <is>
          <t>refino_minimo</t>
        </is>
      </c>
      <c r="W1" t="inlineStr">
        <is>
          <t>escolha</t>
        </is>
      </c>
      <c r="X1" t="inlineStr">
        <is>
          <t>identidade</t>
        </is>
      </c>
      <c r="Y1" t="inlineStr">
        <is>
          <t>extensao</t>
        </is>
      </c>
      <c r="Z1" t="inlineStr">
        <is>
          <t>escala</t>
        </is>
      </c>
      <c r="AA1" t="inlineStr">
        <is>
          <t>automatica</t>
        </is>
      </c>
      <c r="BF1" t="inlineStr">
        <is>
          <t>aptidoes.0</t>
        </is>
      </c>
      <c r="BG1" t="inlineStr">
        <is>
          <t>aptidoes.1</t>
        </is>
      </c>
      <c r="BH1" t="inlineStr">
        <is>
          <t>aptidoes.2</t>
        </is>
      </c>
      <c r="BI1" t="inlineStr">
        <is>
          <t>aptidoes.3</t>
        </is>
      </c>
      <c r="BJ1" t="inlineStr">
        <is>
          <t>aptidoes.4</t>
        </is>
      </c>
      <c r="BK1" t="inlineStr">
        <is>
          <t>aptidoes.5</t>
        </is>
      </c>
      <c r="BL1" t="inlineStr">
        <is>
          <t>aptidoes.6</t>
        </is>
      </c>
      <c r="BM1" t="inlineStr">
        <is>
          <t>aptidoes.7</t>
        </is>
      </c>
      <c r="BN1" t="inlineStr">
        <is>
          <t>aptidoes.8</t>
        </is>
      </c>
      <c r="BO1" t="inlineStr">
        <is>
          <t>aptidoes.9</t>
        </is>
      </c>
    </row>
    <row r="2">
      <c r="A2">
        <f>IF(ISBLANK('CONFIGURAÇÃO'!$B$2118),"",'CONFIGURAÇÃO'!$B$2118)</f>
        <v/>
      </c>
      <c r="B2">
        <f>IF(ISBLANK('CONFIGURAÇÃO'!$B$2120),"",'CONFIGURAÇÃO'!$B$2120)</f>
        <v/>
      </c>
      <c r="C2">
        <f>IF(ISBLANK('CONFIGURAÇÃO'!$E$2121),"",'CONFIGURAÇÃO'!$E$2121)</f>
        <v/>
      </c>
      <c r="D2">
        <f>IF(ISBLANK('CONFIGURAÇÃO'!$F$2118),"",'CONFIGURAÇÃO'!$F$2118)</f>
        <v/>
      </c>
      <c r="E2">
        <f>IF(ISBLANK('CONFIGURAÇÃO'!$B$2128),"",'CONFIGURAÇÃO'!$B$2128)</f>
        <v/>
      </c>
      <c r="F2">
        <f>IF(ISBLANK('CONFIGURAÇÃO'!$B$2134),"",'CONFIGURAÇÃO'!$B$2134)</f>
        <v/>
      </c>
      <c r="G2">
        <f>IF(ISBLANK('CONFIGURAÇÃO'!$E$2122),"",'CONFIGURAÇÃO'!$E$2122)</f>
        <v/>
      </c>
      <c r="H2">
        <f>IF(ISBLANK('CONFIGURAÇÃO'!$E$2123),"",'CONFIGURAÇÃO'!$E$2123)</f>
        <v/>
      </c>
      <c r="I2">
        <f>IF(ISBLANK('CONFIGURAÇÃO'!$E$2124),"",'CONFIGURAÇÃO'!$E$2124)</f>
        <v/>
      </c>
      <c r="J2">
        <f>IF(ISBLANK('CONFIGURAÇÃO'!$E$2125),"",'CONFIGURAÇÃO'!$E$2125)</f>
        <v/>
      </c>
      <c r="K2">
        <f>IF($M2,TEXTJOIN(" · ",TRUE,$AS2:$BD2),"")</f>
        <v/>
      </c>
      <c r="L2">
        <f>IF(OR($C2="",$C2="Nenhuma"),0,IFERROR(MATCH(SUBSTITUTE(SUBSTITUTE(SUBSTITUTE($C2,"~","~~"),"*","~*"),"?","~?"),'DADOS_APTIDOES'!$O$2:$O$35,0),-1))</f>
        <v/>
      </c>
      <c r="M2">
        <f>OR($B2&lt;&gt;"",$C2&lt;&gt;"",$E2&lt;&gt;"",$F2&lt;&gt;"",$G2&lt;&gt;"",$H2&lt;&gt;"",$I2&lt;&gt;"",$J2&lt;&gt;"",AND($D2&lt;&gt;"",$D2&lt;&gt;FALSE),AND($A2&lt;&gt;"",$A2&lt;&gt;"Aptidão",$A2&lt;&gt;"Bênção"))</f>
        <v/>
      </c>
      <c r="N2" t="inlineStr">
        <is>
          <t>Aptidão</t>
        </is>
      </c>
      <c r="O2" t="inlineStr">
        <is>
          <t>Cobrir-se de Energia</t>
        </is>
      </c>
      <c r="P2">
        <f>""</f>
        <v/>
      </c>
      <c r="Q2" t="b">
        <v>0</v>
      </c>
      <c r="R2" t="inlineStr">
        <is>
          <t>Gratuita no Refino 1</t>
        </is>
      </c>
      <c r="S2"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T2" t="inlineStr">
        <is>
          <t>—</t>
        </is>
      </c>
      <c r="U2" t="n">
        <v>1</v>
      </c>
      <c r="V2" t="n">
        <v>1</v>
      </c>
      <c r="W2" t="inlineStr">
        <is>
          <t>Gratuita</t>
        </is>
      </c>
      <c r="X2" t="inlineStr">
        <is>
          <t>Cobrir-se de Energia</t>
        </is>
      </c>
      <c r="Y2" t="b">
        <v>0</v>
      </c>
      <c r="Z2" t="inlineStr">
        <is>
          <t>Proteção e Redução de Dano da Reação</t>
        </is>
      </c>
      <c r="AA2" t="b">
        <v>1</v>
      </c>
      <c r="AD2">
        <f>IF($A2="",IF($L2&gt;0,INDEX('DADOS_APTIDOES'!$N$2:$N$35,MAX(1,$L2)),""),$A2)</f>
        <v/>
      </c>
      <c r="AE2">
        <f>IF($B2="",IF($L2&gt;0,INDEX('DADOS_APTIDOES'!$O$2:$O$35,MAX(1,$L2)),""),$B2)</f>
        <v/>
      </c>
      <c r="AF2">
        <f>IF($C2="",IF($L2&gt;0,INDEX('DADOS_APTIDOES'!$P$2:$P$35,MAX(1,$L2)),""),$C2)</f>
        <v/>
      </c>
      <c r="AG2">
        <f>IF($D2="",IF($L2&gt;0,INDEX('DADOS_APTIDOES'!$Q$2:$Q$35,MAX(1,$L2)),FALSE),$D2)</f>
        <v/>
      </c>
      <c r="AH2">
        <f>IF($E2="",IF($L2&gt;0,INDEX('DADOS_APTIDOES'!$R$2:$R$35,MAX(1,$L2)),""),$E2)</f>
        <v/>
      </c>
      <c r="AI2">
        <f>IF($F2="",IF($L2&gt;0,INDEX('DADOS_APTIDOES'!$S$2:$S$35,MAX(1,$L2)),""),$F2)</f>
        <v/>
      </c>
      <c r="AJ2">
        <f>IF($G2="",IF($L2&gt;0,INDEX('DADOS_APTIDOES'!$T$2:$T$35,MAX(1,$L2)),"—"),$G2)</f>
        <v/>
      </c>
      <c r="AK2">
        <f>IF($H2="",IF($L2&gt;0,INDEX('DADOS_APTIDOES'!$U$2:$U$35,MAX(1,$L2)),1),$H2)</f>
        <v/>
      </c>
      <c r="AL2">
        <f>IF($I2="",IF($L2&gt;0,INDEX('DADOS_APTIDOES'!$V$2:$V$35,MAX(1,$L2)),1),$I2)</f>
        <v/>
      </c>
      <c r="AM2">
        <f>IF($J2="",IF($L2&gt;0,INDEX('DADOS_APTIDOES'!$W$2:$W$35,MAX(1,$L2)),"Consome uma escolha"),$J2)</f>
        <v/>
      </c>
      <c r="AN2">
        <f>IF($L2&gt;0,INDEX('DADOS_APTIDOES'!$X$2:$X$35,MAX(1,$L2)),"")</f>
        <v/>
      </c>
      <c r="AO2">
        <f>IF($L2&gt;0,INDEX('DADOS_APTIDOES'!$Y$2:$Y$35,MAX(1,$L2)),0)</f>
        <v/>
      </c>
      <c r="AP2">
        <f>IF($L2&gt;0,INDEX('DADOS_APTIDOES'!$Z$2:$Z$35,MAX(1,$L2)),"")</f>
        <v/>
      </c>
      <c r="AQ2">
        <f>FALSE</f>
        <v/>
      </c>
      <c r="AS2">
        <f>IF(AND(ISTEXT($B2),$B2&lt;&gt;"",TRIM($B2)=$B2),"","NOME precisa ser texto sem espaços nas pontas")</f>
        <v/>
      </c>
      <c r="AT2">
        <f>IF(COUNTIF('DADOS_APTIDOES'!$B$2:$B$11,SUBSTITUTE(SUBSTITUTE(SUBSTITUTE($B2,"~","~~"),"*","~*"),"?","~?"))+COUNTIF('DADOS_APTIDOES'!$O$2:$O$35,SUBSTITUTE(SUBSTITUTE(SUBSTITUTE($B2,"~","~~"),"*","~*"),"?","~?"))=1,"","Nome repetido no livro ou custom")</f>
        <v/>
      </c>
      <c r="AU2">
        <f>IF($L2&gt;=0,"","BASE DO LIVRO inválida para o grupo")</f>
        <v/>
      </c>
      <c r="AV2">
        <f>IF(OR($AD2="Aptidão",$AD2="Bênção"),"","TIPO inválido para o grupo")</f>
        <v/>
      </c>
      <c r="AW2">
        <f>IF(ISLOGICAL($AG2),"","MESTRE VIU precisa ser caixa de seleção")</f>
        <v/>
      </c>
      <c r="AX2">
        <f>IF(ISTEXT($AI2),"","EFEITO precisa ser texto")</f>
        <v/>
      </c>
      <c r="AY2">
        <f>IF(ISTEXT($AH2),"","REQUISITOS precisa ser texto")</f>
        <v/>
      </c>
      <c r="AZ2">
        <f>IF(OR($AJ2="—",IFERROR(AND(ISNUMBER($AJ2),NOT(ISLOGICAL($AJ2)),$AJ2=INT($AJ2),$AJ2&gt;=1,$AJ2&lt;=3),FALSE)),"","CE inválida")</f>
        <v/>
      </c>
      <c r="BA2">
        <f>IF(OR($L2&lt;=0,$AD2=INDEX('DADOS_APTIDOES'!$N$2:$N$35,MAX(1,$L2))),"","TIPO deve preservar a rota da base")</f>
        <v/>
      </c>
      <c r="BB2">
        <f>IF(IFERROR(AND(ISNUMBER($AK2),NOT(ISLOGICAL($AK2)),$AK2=INT($AK2),$AK2&gt;=1,$AK2&lt;=30),FALSE),"","nivel_minimo fora do limite")</f>
        <v/>
      </c>
      <c r="BC2">
        <f>IF(IFERROR(AND(ISNUMBER($AL2),NOT(ISLOGICAL($AL2)),$AL2=INT($AL2),$AL2&gt;=1,$AL2&lt;=10),FALSE),"","refino_minimo fora do limite")</f>
        <v/>
      </c>
      <c r="BD2">
        <f>IF(OR($AM2="Gratuita",$AM2="Consome uma escolha"),"","ESCOLHA inválida")</f>
        <v/>
      </c>
      <c r="BF2">
        <f>'DADOS_APTIDOES'!$O2</f>
        <v/>
      </c>
      <c r="BG2">
        <f>'DADOS_APTIDOES'!$R2</f>
        <v/>
      </c>
      <c r="BH2">
        <f>'DADOS_APTIDOES'!$T2</f>
        <v/>
      </c>
      <c r="BI2">
        <f>'DADOS_APTIDOES'!$Z2</f>
        <v/>
      </c>
      <c r="BJ2">
        <f>'DADOS_APTIDOES'!$S2</f>
        <v/>
      </c>
      <c r="BK2">
        <f>IF(AND(NOT('DADOS_APTIDOES'!$AA2),IF(DADOS_AM!$A$2=4,'DADOS_APTIDOES'!$N2="Bênção",AND(NOT('DADOS_APTIDOES'!$N2="Bênção"),NOT(AND(DADOS_AM!$A$2=3,'DADOS_APTIDOES'!$Y2))))),'DADOS_APTIDOES'!$O2,"")</f>
        <v/>
      </c>
      <c r="BL2">
        <f>N('DADOS_APTIDOES'!$N2="Bênção")</f>
        <v/>
      </c>
      <c r="BM2">
        <f>N('DADOS_APTIDOES'!$Y2)</f>
        <v/>
      </c>
      <c r="BN2">
        <f>IF('DADOS_APTIDOES'!$W2="Gratuita",1,0)</f>
        <v/>
      </c>
      <c r="BO2" t="inlineStr">
        <is>
          <t>A energia que envolve seu corpo concede proteção e pode ser concentrada para amortecer um golpe.</t>
        </is>
      </c>
      <c r="BP2" t="inlineStr">
        <is>
          <t>Aptidão</t>
        </is>
      </c>
      <c r="BQ2" t="inlineStr">
        <is>
          <t>Nenhuma</t>
        </is>
      </c>
      <c r="BR2" t="inlineStr">
        <is>
          <t>—</t>
        </is>
      </c>
      <c r="BS2" t="n">
        <v>1</v>
      </c>
      <c r="BT2" t="n">
        <v>1</v>
      </c>
      <c r="BU2" t="inlineStr">
        <is>
          <t>Consome uma escolha</t>
        </is>
      </c>
    </row>
    <row r="3">
      <c r="A3">
        <f>IF(ISBLANK('CONFIGURAÇÃO'!$J$2118),"",'CONFIGURAÇÃO'!$J$2118)</f>
        <v/>
      </c>
      <c r="B3">
        <f>IF(ISBLANK('CONFIGURAÇÃO'!$J$2120),"",'CONFIGURAÇÃO'!$J$2120)</f>
        <v/>
      </c>
      <c r="C3">
        <f>IF(ISBLANK('CONFIGURAÇÃO'!$M$2121),"",'CONFIGURAÇÃO'!$M$2121)</f>
        <v/>
      </c>
      <c r="D3">
        <f>IF(ISBLANK('CONFIGURAÇÃO'!$N$2118),"",'CONFIGURAÇÃO'!$N$2118)</f>
        <v/>
      </c>
      <c r="E3">
        <f>IF(ISBLANK('CONFIGURAÇÃO'!$J$2128),"",'CONFIGURAÇÃO'!$J$2128)</f>
        <v/>
      </c>
      <c r="F3">
        <f>IF(ISBLANK('CONFIGURAÇÃO'!$J$2134),"",'CONFIGURAÇÃO'!$J$2134)</f>
        <v/>
      </c>
      <c r="G3">
        <f>IF(ISBLANK('CONFIGURAÇÃO'!$M$2122),"",'CONFIGURAÇÃO'!$M$2122)</f>
        <v/>
      </c>
      <c r="H3">
        <f>IF(ISBLANK('CONFIGURAÇÃO'!$M$2123),"",'CONFIGURAÇÃO'!$M$2123)</f>
        <v/>
      </c>
      <c r="I3">
        <f>IF(ISBLANK('CONFIGURAÇÃO'!$M$2124),"",'CONFIGURAÇÃO'!$M$2124)</f>
        <v/>
      </c>
      <c r="J3">
        <f>IF(ISBLANK('CONFIGURAÇÃO'!$M$2125),"",'CONFIGURAÇÃO'!$M$2125)</f>
        <v/>
      </c>
      <c r="K3">
        <f>IF($M3,TEXTJOIN(" · ",TRUE,$AS3:$BD3),"")</f>
        <v/>
      </c>
      <c r="L3">
        <f>IF(OR($C3="",$C3="Nenhuma"),0,IFERROR(MATCH(SUBSTITUTE(SUBSTITUTE(SUBSTITUTE($C3,"~","~~"),"*","~*"),"?","~?"),'DADOS_APTIDOES'!$O$2:$O$35,0),-1))</f>
        <v/>
      </c>
      <c r="M3">
        <f>OR($B3&lt;&gt;"",$C3&lt;&gt;"",$E3&lt;&gt;"",$F3&lt;&gt;"",$G3&lt;&gt;"",$H3&lt;&gt;"",$I3&lt;&gt;"",$J3&lt;&gt;"",AND($D3&lt;&gt;"",$D3&lt;&gt;FALSE),AND($A3&lt;&gt;"",$A3&lt;&gt;"Aptidão",$A3&lt;&gt;"Bênção"))</f>
        <v/>
      </c>
      <c r="N3" t="inlineStr">
        <is>
          <t>Aptidão</t>
        </is>
      </c>
      <c r="O3" t="inlineStr">
        <is>
          <t>Canalizar Energia</t>
        </is>
      </c>
      <c r="P3">
        <f>""</f>
        <v/>
      </c>
      <c r="Q3" t="b">
        <v>0</v>
      </c>
      <c r="R3" t="inlineStr">
        <is>
          <t>Gratuita no Refino 1</t>
        </is>
      </c>
      <c r="S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T3" t="inlineStr">
        <is>
          <t>—</t>
        </is>
      </c>
      <c r="U3" t="n">
        <v>1</v>
      </c>
      <c r="V3" t="n">
        <v>1</v>
      </c>
      <c r="W3" t="inlineStr">
        <is>
          <t>Gratuita</t>
        </is>
      </c>
      <c r="X3" t="inlineStr">
        <is>
          <t>Canalizar Energia</t>
        </is>
      </c>
      <c r="Y3" t="b">
        <v>0</v>
      </c>
      <c r="Z3" t="inlineStr">
        <is>
          <t>Dados adicionais</t>
        </is>
      </c>
      <c r="AA3" t="b">
        <v>1</v>
      </c>
      <c r="AD3">
        <f>IF($A3="",IF($L3&gt;0,INDEX('DADOS_APTIDOES'!$N$2:$N$35,MAX(1,$L3)),""),$A3)</f>
        <v/>
      </c>
      <c r="AE3">
        <f>IF($B3="",IF($L3&gt;0,INDEX('DADOS_APTIDOES'!$O$2:$O$35,MAX(1,$L3)),""),$B3)</f>
        <v/>
      </c>
      <c r="AF3">
        <f>IF($C3="",IF($L3&gt;0,INDEX('DADOS_APTIDOES'!$P$2:$P$35,MAX(1,$L3)),""),$C3)</f>
        <v/>
      </c>
      <c r="AG3">
        <f>IF($D3="",IF($L3&gt;0,INDEX('DADOS_APTIDOES'!$Q$2:$Q$35,MAX(1,$L3)),FALSE),$D3)</f>
        <v/>
      </c>
      <c r="AH3">
        <f>IF($E3="",IF($L3&gt;0,INDEX('DADOS_APTIDOES'!$R$2:$R$35,MAX(1,$L3)),""),$E3)</f>
        <v/>
      </c>
      <c r="AI3">
        <f>IF($F3="",IF($L3&gt;0,INDEX('DADOS_APTIDOES'!$S$2:$S$35,MAX(1,$L3)),""),$F3)</f>
        <v/>
      </c>
      <c r="AJ3">
        <f>IF($G3="",IF($L3&gt;0,INDEX('DADOS_APTIDOES'!$T$2:$T$35,MAX(1,$L3)),"—"),$G3)</f>
        <v/>
      </c>
      <c r="AK3">
        <f>IF($H3="",IF($L3&gt;0,INDEX('DADOS_APTIDOES'!$U$2:$U$35,MAX(1,$L3)),1),$H3)</f>
        <v/>
      </c>
      <c r="AL3">
        <f>IF($I3="",IF($L3&gt;0,INDEX('DADOS_APTIDOES'!$V$2:$V$35,MAX(1,$L3)),1),$I3)</f>
        <v/>
      </c>
      <c r="AM3">
        <f>IF($J3="",IF($L3&gt;0,INDEX('DADOS_APTIDOES'!$W$2:$W$35,MAX(1,$L3)),"Consome uma escolha"),$J3)</f>
        <v/>
      </c>
      <c r="AN3">
        <f>IF($L3&gt;0,INDEX('DADOS_APTIDOES'!$X$2:$X$35,MAX(1,$L3)),"")</f>
        <v/>
      </c>
      <c r="AO3">
        <f>IF($L3&gt;0,INDEX('DADOS_APTIDOES'!$Y$2:$Y$35,MAX(1,$L3)),0)</f>
        <v/>
      </c>
      <c r="AP3">
        <f>IF($L3&gt;0,INDEX('DADOS_APTIDOES'!$Z$2:$Z$35,MAX(1,$L3)),"")</f>
        <v/>
      </c>
      <c r="AQ3">
        <f>FALSE</f>
        <v/>
      </c>
      <c r="AS3">
        <f>IF(AND(ISTEXT($B3),$B3&lt;&gt;"",TRIM($B3)=$B3),"","NOME precisa ser texto sem espaços nas pontas")</f>
        <v/>
      </c>
      <c r="AT3">
        <f>IF(COUNTIF('DADOS_APTIDOES'!$B$2:$B$11,SUBSTITUTE(SUBSTITUTE(SUBSTITUTE($B3,"~","~~"),"*","~*"),"?","~?"))+COUNTIF('DADOS_APTIDOES'!$O$2:$O$35,SUBSTITUTE(SUBSTITUTE(SUBSTITUTE($B3,"~","~~"),"*","~*"),"?","~?"))=1,"","Nome repetido no livro ou custom")</f>
        <v/>
      </c>
      <c r="AU3">
        <f>IF($L3&gt;=0,"","BASE DO LIVRO inválida para o grupo")</f>
        <v/>
      </c>
      <c r="AV3">
        <f>IF(OR($AD3="Aptidão",$AD3="Bênção"),"","TIPO inválido para o grupo")</f>
        <v/>
      </c>
      <c r="AW3">
        <f>IF(ISLOGICAL($AG3),"","MESTRE VIU precisa ser caixa de seleção")</f>
        <v/>
      </c>
      <c r="AX3">
        <f>IF(ISTEXT($AI3),"","EFEITO precisa ser texto")</f>
        <v/>
      </c>
      <c r="AY3">
        <f>IF(ISTEXT($AH3),"","REQUISITOS precisa ser texto")</f>
        <v/>
      </c>
      <c r="AZ3">
        <f>IF(OR($AJ3="—",IFERROR(AND(ISNUMBER($AJ3),NOT(ISLOGICAL($AJ3)),$AJ3=INT($AJ3),$AJ3&gt;=1,$AJ3&lt;=3),FALSE)),"","CE inválida")</f>
        <v/>
      </c>
      <c r="BA3">
        <f>IF(OR($L3&lt;=0,$AD3=INDEX('DADOS_APTIDOES'!$N$2:$N$35,MAX(1,$L3))),"","TIPO deve preservar a rota da base")</f>
        <v/>
      </c>
      <c r="BB3">
        <f>IF(IFERROR(AND(ISNUMBER($AK3),NOT(ISLOGICAL($AK3)),$AK3=INT($AK3),$AK3&gt;=1,$AK3&lt;=30),FALSE),"","nivel_minimo fora do limite")</f>
        <v/>
      </c>
      <c r="BC3">
        <f>IF(IFERROR(AND(ISNUMBER($AL3),NOT(ISLOGICAL($AL3)),$AL3=INT($AL3),$AL3&gt;=1,$AL3&lt;=10),FALSE),"","refino_minimo fora do limite")</f>
        <v/>
      </c>
      <c r="BD3">
        <f>IF(OR($AM3="Gratuita",$AM3="Consome uma escolha"),"","ESCOLHA inválida")</f>
        <v/>
      </c>
      <c r="BF3">
        <f>'DADOS_APTIDOES'!$O3</f>
        <v/>
      </c>
      <c r="BG3">
        <f>'DADOS_APTIDOES'!$R3</f>
        <v/>
      </c>
      <c r="BH3">
        <f>'DADOS_APTIDOES'!$T3</f>
        <v/>
      </c>
      <c r="BI3">
        <f>'DADOS_APTIDOES'!$Z3</f>
        <v/>
      </c>
      <c r="BJ3">
        <f>'DADOS_APTIDOES'!$S3</f>
        <v/>
      </c>
      <c r="BK3">
        <f>IF(AND(NOT('DADOS_APTIDOES'!$AA3),IF(DADOS_AM!$A$2=4,'DADOS_APTIDOES'!$N3="Bênção",AND(NOT('DADOS_APTIDOES'!$N3="Bênção"),NOT(AND(DADOS_AM!$A$2=3,'DADOS_APTIDOES'!$Y3))))),'DADOS_APTIDOES'!$O3,"")</f>
        <v/>
      </c>
      <c r="BL3">
        <f>N('DADOS_APTIDOES'!$N3="Bênção")</f>
        <v/>
      </c>
      <c r="BM3">
        <f>N('DADOS_APTIDOES'!$Y3)</f>
        <v/>
      </c>
      <c r="BN3">
        <f>IF('DADOS_APTIDOES'!$W3="Gratuita",1,0)</f>
        <v/>
      </c>
      <c r="BO3" t="inlineStr">
        <is>
          <t>Você envolve seus golpes em energia amaldiçoada.</t>
        </is>
      </c>
      <c r="BP3" t="inlineStr">
        <is>
          <t>Bênção</t>
        </is>
      </c>
      <c r="BQ3" t="inlineStr">
        <is>
          <t>Cobrir-se de Energia</t>
        </is>
      </c>
      <c r="BR3" t="n">
        <v>1</v>
      </c>
      <c r="BS3" t="n">
        <v>2</v>
      </c>
      <c r="BT3" t="n">
        <v>2</v>
      </c>
      <c r="BU3" t="inlineStr">
        <is>
          <t>Gratuita</t>
        </is>
      </c>
    </row>
    <row r="4">
      <c r="A4">
        <f>IF(ISBLANK('CONFIGURAÇÃO'!$B$2145),"",'CONFIGURAÇÃO'!$B$2145)</f>
        <v/>
      </c>
      <c r="B4">
        <f>IF(ISBLANK('CONFIGURAÇÃO'!$B$2147),"",'CONFIGURAÇÃO'!$B$2147)</f>
        <v/>
      </c>
      <c r="C4">
        <f>IF(ISBLANK('CONFIGURAÇÃO'!$E$2148),"",'CONFIGURAÇÃO'!$E$2148)</f>
        <v/>
      </c>
      <c r="D4">
        <f>IF(ISBLANK('CONFIGURAÇÃO'!$F$2145),"",'CONFIGURAÇÃO'!$F$2145)</f>
        <v/>
      </c>
      <c r="E4">
        <f>IF(ISBLANK('CONFIGURAÇÃO'!$B$2155),"",'CONFIGURAÇÃO'!$B$2155)</f>
        <v/>
      </c>
      <c r="F4">
        <f>IF(ISBLANK('CONFIGURAÇÃO'!$B$2161),"",'CONFIGURAÇÃO'!$B$2161)</f>
        <v/>
      </c>
      <c r="G4">
        <f>IF(ISBLANK('CONFIGURAÇÃO'!$E$2149),"",'CONFIGURAÇÃO'!$E$2149)</f>
        <v/>
      </c>
      <c r="H4">
        <f>IF(ISBLANK('CONFIGURAÇÃO'!$E$2150),"",'CONFIGURAÇÃO'!$E$2150)</f>
        <v/>
      </c>
      <c r="I4">
        <f>IF(ISBLANK('CONFIGURAÇÃO'!$E$2151),"",'CONFIGURAÇÃO'!$E$2151)</f>
        <v/>
      </c>
      <c r="J4">
        <f>IF(ISBLANK('CONFIGURAÇÃO'!$E$2152),"",'CONFIGURAÇÃO'!$E$2152)</f>
        <v/>
      </c>
      <c r="K4">
        <f>IF($M4,TEXTJOIN(" · ",TRUE,$AS4:$BD4),"")</f>
        <v/>
      </c>
      <c r="L4">
        <f>IF(OR($C4="",$C4="Nenhuma"),0,IFERROR(MATCH(SUBSTITUTE(SUBSTITUTE(SUBSTITUTE($C4,"~","~~"),"*","~*"),"?","~?"),'DADOS_APTIDOES'!$O$2:$O$35,0),-1))</f>
        <v/>
      </c>
      <c r="M4">
        <f>OR($B4&lt;&gt;"",$C4&lt;&gt;"",$E4&lt;&gt;"",$F4&lt;&gt;"",$G4&lt;&gt;"",$H4&lt;&gt;"",$I4&lt;&gt;"",$J4&lt;&gt;"",AND($D4&lt;&gt;"",$D4&lt;&gt;FALSE),AND($A4&lt;&gt;"",$A4&lt;&gt;"Aptidão",$A4&lt;&gt;"Bênção"))</f>
        <v/>
      </c>
      <c r="N4" t="inlineStr">
        <is>
          <t>Aptidão</t>
        </is>
      </c>
      <c r="O4" t="inlineStr">
        <is>
          <t>Projetar Energia</t>
        </is>
      </c>
      <c r="P4">
        <f>""</f>
        <v/>
      </c>
      <c r="Q4" t="b">
        <v>0</v>
      </c>
      <c r="R4" t="inlineStr">
        <is>
          <t>Uma escolha de aptidão</t>
        </is>
      </c>
      <c r="S4"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T4" t="inlineStr">
        <is>
          <t>—</t>
        </is>
      </c>
      <c r="U4" t="n">
        <v>1</v>
      </c>
      <c r="V4" t="n">
        <v>1</v>
      </c>
      <c r="W4" t="inlineStr">
        <is>
          <t>Consome uma escolha</t>
        </is>
      </c>
      <c r="X4" t="inlineStr">
        <is>
          <t>Projetar Energia</t>
        </is>
      </c>
      <c r="Y4" t="b">
        <v>0</v>
      </c>
      <c r="Z4" t="inlineStr">
        <is>
          <t>—</t>
        </is>
      </c>
      <c r="AA4" t="b">
        <v>0</v>
      </c>
      <c r="AD4">
        <f>IF($A4="",IF($L4&gt;0,INDEX('DADOS_APTIDOES'!$N$2:$N$35,MAX(1,$L4)),""),$A4)</f>
        <v/>
      </c>
      <c r="AE4">
        <f>IF($B4="",IF($L4&gt;0,INDEX('DADOS_APTIDOES'!$O$2:$O$35,MAX(1,$L4)),""),$B4)</f>
        <v/>
      </c>
      <c r="AF4">
        <f>IF($C4="",IF($L4&gt;0,INDEX('DADOS_APTIDOES'!$P$2:$P$35,MAX(1,$L4)),""),$C4)</f>
        <v/>
      </c>
      <c r="AG4">
        <f>IF($D4="",IF($L4&gt;0,INDEX('DADOS_APTIDOES'!$Q$2:$Q$35,MAX(1,$L4)),FALSE),$D4)</f>
        <v/>
      </c>
      <c r="AH4">
        <f>IF($E4="",IF($L4&gt;0,INDEX('DADOS_APTIDOES'!$R$2:$R$35,MAX(1,$L4)),""),$E4)</f>
        <v/>
      </c>
      <c r="AI4">
        <f>IF($F4="",IF($L4&gt;0,INDEX('DADOS_APTIDOES'!$S$2:$S$35,MAX(1,$L4)),""),$F4)</f>
        <v/>
      </c>
      <c r="AJ4">
        <f>IF($G4="",IF($L4&gt;0,INDEX('DADOS_APTIDOES'!$T$2:$T$35,MAX(1,$L4)),"—"),$G4)</f>
        <v/>
      </c>
      <c r="AK4">
        <f>IF($H4="",IF($L4&gt;0,INDEX('DADOS_APTIDOES'!$U$2:$U$35,MAX(1,$L4)),1),$H4)</f>
        <v/>
      </c>
      <c r="AL4">
        <f>IF($I4="",IF($L4&gt;0,INDEX('DADOS_APTIDOES'!$V$2:$V$35,MAX(1,$L4)),1),$I4)</f>
        <v/>
      </c>
      <c r="AM4">
        <f>IF($J4="",IF($L4&gt;0,INDEX('DADOS_APTIDOES'!$W$2:$W$35,MAX(1,$L4)),"Consome uma escolha"),$J4)</f>
        <v/>
      </c>
      <c r="AN4">
        <f>IF($L4&gt;0,INDEX('DADOS_APTIDOES'!$X$2:$X$35,MAX(1,$L4)),"")</f>
        <v/>
      </c>
      <c r="AO4">
        <f>IF($L4&gt;0,INDEX('DADOS_APTIDOES'!$Y$2:$Y$35,MAX(1,$L4)),0)</f>
        <v/>
      </c>
      <c r="AP4">
        <f>IF($L4&gt;0,INDEX('DADOS_APTIDOES'!$Z$2:$Z$35,MAX(1,$L4)),"")</f>
        <v/>
      </c>
      <c r="AQ4">
        <f>FALSE</f>
        <v/>
      </c>
      <c r="AS4">
        <f>IF(AND(ISTEXT($B4),$B4&lt;&gt;"",TRIM($B4)=$B4),"","NOME precisa ser texto sem espaços nas pontas")</f>
        <v/>
      </c>
      <c r="AT4">
        <f>IF(COUNTIF('DADOS_APTIDOES'!$B$2:$B$11,SUBSTITUTE(SUBSTITUTE(SUBSTITUTE($B4,"~","~~"),"*","~*"),"?","~?"))+COUNTIF('DADOS_APTIDOES'!$O$2:$O$35,SUBSTITUTE(SUBSTITUTE(SUBSTITUTE($B4,"~","~~"),"*","~*"),"?","~?"))=1,"","Nome repetido no livro ou custom")</f>
        <v/>
      </c>
      <c r="AU4">
        <f>IF($L4&gt;=0,"","BASE DO LIVRO inválida para o grupo")</f>
        <v/>
      </c>
      <c r="AV4">
        <f>IF(OR($AD4="Aptidão",$AD4="Bênção"),"","TIPO inválido para o grupo")</f>
        <v/>
      </c>
      <c r="AW4">
        <f>IF(ISLOGICAL($AG4),"","MESTRE VIU precisa ser caixa de seleção")</f>
        <v/>
      </c>
      <c r="AX4">
        <f>IF(ISTEXT($AI4),"","EFEITO precisa ser texto")</f>
        <v/>
      </c>
      <c r="AY4">
        <f>IF(ISTEXT($AH4),"","REQUISITOS precisa ser texto")</f>
        <v/>
      </c>
      <c r="AZ4">
        <f>IF(OR($AJ4="—",IFERROR(AND(ISNUMBER($AJ4),NOT(ISLOGICAL($AJ4)),$AJ4=INT($AJ4),$AJ4&gt;=1,$AJ4&lt;=3),FALSE)),"","CE inválida")</f>
        <v/>
      </c>
      <c r="BA4">
        <f>IF(OR($L4&lt;=0,$AD4=INDEX('DADOS_APTIDOES'!$N$2:$N$35,MAX(1,$L4))),"","TIPO deve preservar a rota da base")</f>
        <v/>
      </c>
      <c r="BB4">
        <f>IF(IFERROR(AND(ISNUMBER($AK4),NOT(ISLOGICAL($AK4)),$AK4=INT($AK4),$AK4&gt;=1,$AK4&lt;=30),FALSE),"","nivel_minimo fora do limite")</f>
        <v/>
      </c>
      <c r="BC4">
        <f>IF(IFERROR(AND(ISNUMBER($AL4),NOT(ISLOGICAL($AL4)),$AL4=INT($AL4),$AL4&gt;=1,$AL4&lt;=10),FALSE),"","refino_minimo fora do limite")</f>
        <v/>
      </c>
      <c r="BD4">
        <f>IF(OR($AM4="Gratuita",$AM4="Consome uma escolha"),"","ESCOLHA inválida")</f>
        <v/>
      </c>
      <c r="BF4">
        <f>'DADOS_APTIDOES'!$O4</f>
        <v/>
      </c>
      <c r="BG4">
        <f>'DADOS_APTIDOES'!$R4</f>
        <v/>
      </c>
      <c r="BH4">
        <f>'DADOS_APTIDOES'!$T4</f>
        <v/>
      </c>
      <c r="BI4">
        <f>'DADOS_APTIDOES'!$Z4</f>
        <v/>
      </c>
      <c r="BJ4">
        <f>'DADOS_APTIDOES'!$S4</f>
        <v/>
      </c>
      <c r="BK4">
        <f>IF(AND(NOT('DADOS_APTIDOES'!$AA4),IF(DADOS_AM!$A$2=4,'DADOS_APTIDOES'!$N4="Bênção",AND(NOT('DADOS_APTIDOES'!$N4="Bênção"),NOT(AND(DADOS_AM!$A$2=3,'DADOS_APTIDOES'!$Y4))))),'DADOS_APTIDOES'!$O4,"")</f>
        <v/>
      </c>
      <c r="BL4">
        <f>N('DADOS_APTIDOES'!$N4="Bênção")</f>
        <v/>
      </c>
      <c r="BM4">
        <f>N('DADOS_APTIDOES'!$Y4)</f>
        <v/>
      </c>
      <c r="BN4">
        <f>IF('DADOS_APTIDOES'!$W4="Gratuita",1,0)</f>
        <v/>
      </c>
      <c r="BO4" t="inlineStr">
        <is>
          <t>Você dispara energia amaldiçoada pura contra um alvo.</t>
        </is>
      </c>
      <c r="BQ4" t="inlineStr">
        <is>
          <t>Canalizar Energia</t>
        </is>
      </c>
      <c r="BR4" t="n">
        <v>2</v>
      </c>
      <c r="BS4" t="n">
        <v>3</v>
      </c>
      <c r="BT4" t="n">
        <v>3</v>
      </c>
    </row>
    <row r="5">
      <c r="A5">
        <f>IF(ISBLANK('CONFIGURAÇÃO'!$J$2145),"",'CONFIGURAÇÃO'!$J$2145)</f>
        <v/>
      </c>
      <c r="B5">
        <f>IF(ISBLANK('CONFIGURAÇÃO'!$J$2147),"",'CONFIGURAÇÃO'!$J$2147)</f>
        <v/>
      </c>
      <c r="C5">
        <f>IF(ISBLANK('CONFIGURAÇÃO'!$M$2148),"",'CONFIGURAÇÃO'!$M$2148)</f>
        <v/>
      </c>
      <c r="D5">
        <f>IF(ISBLANK('CONFIGURAÇÃO'!$N$2145),"",'CONFIGURAÇÃO'!$N$2145)</f>
        <v/>
      </c>
      <c r="E5">
        <f>IF(ISBLANK('CONFIGURAÇÃO'!$J$2155),"",'CONFIGURAÇÃO'!$J$2155)</f>
        <v/>
      </c>
      <c r="F5">
        <f>IF(ISBLANK('CONFIGURAÇÃO'!$J$2161),"",'CONFIGURAÇÃO'!$J$2161)</f>
        <v/>
      </c>
      <c r="G5">
        <f>IF(ISBLANK('CONFIGURAÇÃO'!$M$2149),"",'CONFIGURAÇÃO'!$M$2149)</f>
        <v/>
      </c>
      <c r="H5">
        <f>IF(ISBLANK('CONFIGURAÇÃO'!$M$2150),"",'CONFIGURAÇÃO'!$M$2150)</f>
        <v/>
      </c>
      <c r="I5">
        <f>IF(ISBLANK('CONFIGURAÇÃO'!$M$2151),"",'CONFIGURAÇÃO'!$M$2151)</f>
        <v/>
      </c>
      <c r="J5">
        <f>IF(ISBLANK('CONFIGURAÇÃO'!$M$2152),"",'CONFIGURAÇÃO'!$M$2152)</f>
        <v/>
      </c>
      <c r="K5">
        <f>IF($M5,TEXTJOIN(" · ",TRUE,$AS5:$BD5),"")</f>
        <v/>
      </c>
      <c r="L5">
        <f>IF(OR($C5="",$C5="Nenhuma"),0,IFERROR(MATCH(SUBSTITUTE(SUBSTITUTE(SUBSTITUTE($C5,"~","~~"),"*","~*"),"?","~?"),'DADOS_APTIDOES'!$O$2:$O$35,0),-1))</f>
        <v/>
      </c>
      <c r="M5">
        <f>OR($B5&lt;&gt;"",$C5&lt;&gt;"",$E5&lt;&gt;"",$F5&lt;&gt;"",$G5&lt;&gt;"",$H5&lt;&gt;"",$I5&lt;&gt;"",$J5&lt;&gt;"",AND($D5&lt;&gt;"",$D5&lt;&gt;FALSE),AND($A5&lt;&gt;"",$A5&lt;&gt;"Aptidão",$A5&lt;&gt;"Bênção"))</f>
        <v/>
      </c>
      <c r="N5" t="inlineStr">
        <is>
          <t>Aptidão</t>
        </is>
      </c>
      <c r="O5" t="inlineStr">
        <is>
          <t>Energia Reversa</t>
        </is>
      </c>
      <c r="P5">
        <f>""</f>
        <v/>
      </c>
      <c r="Q5" t="b">
        <v>0</v>
      </c>
      <c r="R5" t="inlineStr">
        <is>
          <t>Refino 7 e nível 14</t>
        </is>
      </c>
      <c r="S5"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T5" t="n">
        <v>3</v>
      </c>
      <c r="U5" t="n">
        <v>14</v>
      </c>
      <c r="V5" t="n">
        <v>7</v>
      </c>
      <c r="W5" t="inlineStr">
        <is>
          <t>Consome uma escolha</t>
        </is>
      </c>
      <c r="X5" t="inlineStr">
        <is>
          <t>Energia Reversa</t>
        </is>
      </c>
      <c r="Y5" t="b">
        <v>0</v>
      </c>
      <c r="Z5" t="inlineStr">
        <is>
          <t>—</t>
        </is>
      </c>
      <c r="AA5" t="b">
        <v>0</v>
      </c>
      <c r="AD5">
        <f>IF($A5="",IF($L5&gt;0,INDEX('DADOS_APTIDOES'!$N$2:$N$35,MAX(1,$L5)),""),$A5)</f>
        <v/>
      </c>
      <c r="AE5">
        <f>IF($B5="",IF($L5&gt;0,INDEX('DADOS_APTIDOES'!$O$2:$O$35,MAX(1,$L5)),""),$B5)</f>
        <v/>
      </c>
      <c r="AF5">
        <f>IF($C5="",IF($L5&gt;0,INDEX('DADOS_APTIDOES'!$P$2:$P$35,MAX(1,$L5)),""),$C5)</f>
        <v/>
      </c>
      <c r="AG5">
        <f>IF($D5="",IF($L5&gt;0,INDEX('DADOS_APTIDOES'!$Q$2:$Q$35,MAX(1,$L5)),FALSE),$D5)</f>
        <v/>
      </c>
      <c r="AH5">
        <f>IF($E5="",IF($L5&gt;0,INDEX('DADOS_APTIDOES'!$R$2:$R$35,MAX(1,$L5)),""),$E5)</f>
        <v/>
      </c>
      <c r="AI5">
        <f>IF($F5="",IF($L5&gt;0,INDEX('DADOS_APTIDOES'!$S$2:$S$35,MAX(1,$L5)),""),$F5)</f>
        <v/>
      </c>
      <c r="AJ5">
        <f>IF($G5="",IF($L5&gt;0,INDEX('DADOS_APTIDOES'!$T$2:$T$35,MAX(1,$L5)),"—"),$G5)</f>
        <v/>
      </c>
      <c r="AK5">
        <f>IF($H5="",IF($L5&gt;0,INDEX('DADOS_APTIDOES'!$U$2:$U$35,MAX(1,$L5)),1),$H5)</f>
        <v/>
      </c>
      <c r="AL5">
        <f>IF($I5="",IF($L5&gt;0,INDEX('DADOS_APTIDOES'!$V$2:$V$35,MAX(1,$L5)),1),$I5)</f>
        <v/>
      </c>
      <c r="AM5">
        <f>IF($J5="",IF($L5&gt;0,INDEX('DADOS_APTIDOES'!$W$2:$W$35,MAX(1,$L5)),"Consome uma escolha"),$J5)</f>
        <v/>
      </c>
      <c r="AN5">
        <f>IF($L5&gt;0,INDEX('DADOS_APTIDOES'!$X$2:$X$35,MAX(1,$L5)),"")</f>
        <v/>
      </c>
      <c r="AO5">
        <f>IF($L5&gt;0,INDEX('DADOS_APTIDOES'!$Y$2:$Y$35,MAX(1,$L5)),0)</f>
        <v/>
      </c>
      <c r="AP5">
        <f>IF($L5&gt;0,INDEX('DADOS_APTIDOES'!$Z$2:$Z$35,MAX(1,$L5)),"")</f>
        <v/>
      </c>
      <c r="AQ5">
        <f>FALSE</f>
        <v/>
      </c>
      <c r="AS5">
        <f>IF(AND(ISTEXT($B5),$B5&lt;&gt;"",TRIM($B5)=$B5),"","NOME precisa ser texto sem espaços nas pontas")</f>
        <v/>
      </c>
      <c r="AT5">
        <f>IF(COUNTIF('DADOS_APTIDOES'!$B$2:$B$11,SUBSTITUTE(SUBSTITUTE(SUBSTITUTE($B5,"~","~~"),"*","~*"),"?","~?"))+COUNTIF('DADOS_APTIDOES'!$O$2:$O$35,SUBSTITUTE(SUBSTITUTE(SUBSTITUTE($B5,"~","~~"),"*","~*"),"?","~?"))=1,"","Nome repetido no livro ou custom")</f>
        <v/>
      </c>
      <c r="AU5">
        <f>IF($L5&gt;=0,"","BASE DO LIVRO inválida para o grupo")</f>
        <v/>
      </c>
      <c r="AV5">
        <f>IF(OR($AD5="Aptidão",$AD5="Bênção"),"","TIPO inválido para o grupo")</f>
        <v/>
      </c>
      <c r="AW5">
        <f>IF(ISLOGICAL($AG5),"","MESTRE VIU precisa ser caixa de seleção")</f>
        <v/>
      </c>
      <c r="AX5">
        <f>IF(ISTEXT($AI5),"","EFEITO precisa ser texto")</f>
        <v/>
      </c>
      <c r="AY5">
        <f>IF(ISTEXT($AH5),"","REQUISITOS precisa ser texto")</f>
        <v/>
      </c>
      <c r="AZ5">
        <f>IF(OR($AJ5="—",IFERROR(AND(ISNUMBER($AJ5),NOT(ISLOGICAL($AJ5)),$AJ5=INT($AJ5),$AJ5&gt;=1,$AJ5&lt;=3),FALSE)),"","CE inválida")</f>
        <v/>
      </c>
      <c r="BA5">
        <f>IF(OR($L5&lt;=0,$AD5=INDEX('DADOS_APTIDOES'!$N$2:$N$35,MAX(1,$L5))),"","TIPO deve preservar a rota da base")</f>
        <v/>
      </c>
      <c r="BB5">
        <f>IF(IFERROR(AND(ISNUMBER($AK5),NOT(ISLOGICAL($AK5)),$AK5=INT($AK5),$AK5&gt;=1,$AK5&lt;=30),FALSE),"","nivel_minimo fora do limite")</f>
        <v/>
      </c>
      <c r="BC5">
        <f>IF(IFERROR(AND(ISNUMBER($AL5),NOT(ISLOGICAL($AL5)),$AL5=INT($AL5),$AL5&gt;=1,$AL5&lt;=10),FALSE),"","refino_minimo fora do limite")</f>
        <v/>
      </c>
      <c r="BD5">
        <f>IF(OR($AM5="Gratuita",$AM5="Consome uma escolha"),"","ESCOLHA inválida")</f>
        <v/>
      </c>
      <c r="BF5">
        <f>'DADOS_APTIDOES'!$O5</f>
        <v/>
      </c>
      <c r="BG5">
        <f>'DADOS_APTIDOES'!$R5</f>
        <v/>
      </c>
      <c r="BH5">
        <f>'DADOS_APTIDOES'!$T5</f>
        <v/>
      </c>
      <c r="BI5">
        <f>'DADOS_APTIDOES'!$Z5</f>
        <v/>
      </c>
      <c r="BJ5">
        <f>'DADOS_APTIDOES'!$S5</f>
        <v/>
      </c>
      <c r="BK5">
        <f>IF(AND(NOT('DADOS_APTIDOES'!$AA5),IF(DADOS_AM!$A$2=4,'DADOS_APTIDOES'!$N5="Bênção",AND(NOT('DADOS_APTIDOES'!$N5="Bênção"),NOT(AND(DADOS_AM!$A$2=3,'DADOS_APTIDOES'!$Y5))))),'DADOS_APTIDOES'!$O5,"")</f>
        <v/>
      </c>
      <c r="BL5">
        <f>N('DADOS_APTIDOES'!$N5="Bênção")</f>
        <v/>
      </c>
      <c r="BM5">
        <f>N('DADOS_APTIDOES'!$Y5)</f>
        <v/>
      </c>
      <c r="BN5">
        <f>IF('DADOS_APTIDOES'!$W5="Gratuita",1,0)</f>
        <v/>
      </c>
      <c r="BO5" t="inlineStr">
        <is>
          <t>Você usa energia reversa para restaurar seu próprio corpo.</t>
        </is>
      </c>
      <c r="BQ5" t="inlineStr">
        <is>
          <t>Projetar Energia</t>
        </is>
      </c>
      <c r="BR5" t="n">
        <v>3</v>
      </c>
      <c r="BS5" t="n">
        <v>4</v>
      </c>
      <c r="BT5" t="n">
        <v>4</v>
      </c>
    </row>
    <row r="6">
      <c r="A6">
        <f>IF(ISBLANK('CONFIGURAÇÃO'!$B$2172),"",'CONFIGURAÇÃO'!$B$2172)</f>
        <v/>
      </c>
      <c r="B6">
        <f>IF(ISBLANK('CONFIGURAÇÃO'!$B$2174),"",'CONFIGURAÇÃO'!$B$2174)</f>
        <v/>
      </c>
      <c r="C6">
        <f>IF(ISBLANK('CONFIGURAÇÃO'!$E$2175),"",'CONFIGURAÇÃO'!$E$2175)</f>
        <v/>
      </c>
      <c r="D6">
        <f>IF(ISBLANK('CONFIGURAÇÃO'!$F$2172),"",'CONFIGURAÇÃO'!$F$2172)</f>
        <v/>
      </c>
      <c r="E6">
        <f>IF(ISBLANK('CONFIGURAÇÃO'!$B$2182),"",'CONFIGURAÇÃO'!$B$2182)</f>
        <v/>
      </c>
      <c r="F6">
        <f>IF(ISBLANK('CONFIGURAÇÃO'!$B$2188),"",'CONFIGURAÇÃO'!$B$2188)</f>
        <v/>
      </c>
      <c r="G6">
        <f>IF(ISBLANK('CONFIGURAÇÃO'!$E$2176),"",'CONFIGURAÇÃO'!$E$2176)</f>
        <v/>
      </c>
      <c r="H6">
        <f>IF(ISBLANK('CONFIGURAÇÃO'!$E$2177),"",'CONFIGURAÇÃO'!$E$2177)</f>
        <v/>
      </c>
      <c r="I6">
        <f>IF(ISBLANK('CONFIGURAÇÃO'!$E$2178),"",'CONFIGURAÇÃO'!$E$2178)</f>
        <v/>
      </c>
      <c r="J6">
        <f>IF(ISBLANK('CONFIGURAÇÃO'!$E$2179),"",'CONFIGURAÇÃO'!$E$2179)</f>
        <v/>
      </c>
      <c r="K6">
        <f>IF($M6,TEXTJOIN(" · ",TRUE,$AS6:$BD6),"")</f>
        <v/>
      </c>
      <c r="L6">
        <f>IF(OR($C6="",$C6="Nenhuma"),0,IFERROR(MATCH(SUBSTITUTE(SUBSTITUTE(SUBSTITUTE($C6,"~","~~"),"*","~*"),"?","~?"),'DADOS_APTIDOES'!$O$2:$O$35,0),-1))</f>
        <v/>
      </c>
      <c r="M6">
        <f>OR($B6&lt;&gt;"",$C6&lt;&gt;"",$E6&lt;&gt;"",$F6&lt;&gt;"",$G6&lt;&gt;"",$H6&lt;&gt;"",$I6&lt;&gt;"",$J6&lt;&gt;"",AND($D6&lt;&gt;"",$D6&lt;&gt;FALSE),AND($A6&lt;&gt;"",$A6&lt;&gt;"Aptidão",$A6&lt;&gt;"Bênção"))</f>
        <v/>
      </c>
      <c r="N6" t="inlineStr">
        <is>
          <t>Aptidão</t>
        </is>
      </c>
      <c r="O6" t="inlineStr">
        <is>
          <t>Circulação</t>
        </is>
      </c>
      <c r="P6">
        <f>""</f>
        <v/>
      </c>
      <c r="Q6" t="b">
        <v>0</v>
      </c>
      <c r="R6" t="inlineStr">
        <is>
          <t>Energia Reversa e Refino 8</t>
        </is>
      </c>
      <c r="S6"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T6" t="n">
        <v>3</v>
      </c>
      <c r="U6" t="n">
        <v>1</v>
      </c>
      <c r="V6" t="n">
        <v>8</v>
      </c>
      <c r="W6" t="inlineStr">
        <is>
          <t>Consome uma escolha</t>
        </is>
      </c>
      <c r="X6" t="inlineStr">
        <is>
          <t>Circulação</t>
        </is>
      </c>
      <c r="Y6" t="b">
        <v>0</v>
      </c>
      <c r="Z6" t="inlineStr">
        <is>
          <t>—</t>
        </is>
      </c>
      <c r="AA6" t="b">
        <v>0</v>
      </c>
      <c r="AD6">
        <f>IF($A6="",IF($L6&gt;0,INDEX('DADOS_APTIDOES'!$N$2:$N$35,MAX(1,$L6)),""),$A6)</f>
        <v/>
      </c>
      <c r="AE6">
        <f>IF($B6="",IF($L6&gt;0,INDEX('DADOS_APTIDOES'!$O$2:$O$35,MAX(1,$L6)),""),$B6)</f>
        <v/>
      </c>
      <c r="AF6">
        <f>IF($C6="",IF($L6&gt;0,INDEX('DADOS_APTIDOES'!$P$2:$P$35,MAX(1,$L6)),""),$C6)</f>
        <v/>
      </c>
      <c r="AG6">
        <f>IF($D6="",IF($L6&gt;0,INDEX('DADOS_APTIDOES'!$Q$2:$Q$35,MAX(1,$L6)),FALSE),$D6)</f>
        <v/>
      </c>
      <c r="AH6">
        <f>IF($E6="",IF($L6&gt;0,INDEX('DADOS_APTIDOES'!$R$2:$R$35,MAX(1,$L6)),""),$E6)</f>
        <v/>
      </c>
      <c r="AI6">
        <f>IF($F6="",IF($L6&gt;0,INDEX('DADOS_APTIDOES'!$S$2:$S$35,MAX(1,$L6)),""),$F6)</f>
        <v/>
      </c>
      <c r="AJ6">
        <f>IF($G6="",IF($L6&gt;0,INDEX('DADOS_APTIDOES'!$T$2:$T$35,MAX(1,$L6)),"—"),$G6)</f>
        <v/>
      </c>
      <c r="AK6">
        <f>IF($H6="",IF($L6&gt;0,INDEX('DADOS_APTIDOES'!$U$2:$U$35,MAX(1,$L6)),1),$H6)</f>
        <v/>
      </c>
      <c r="AL6">
        <f>IF($I6="",IF($L6&gt;0,INDEX('DADOS_APTIDOES'!$V$2:$V$35,MAX(1,$L6)),1),$I6)</f>
        <v/>
      </c>
      <c r="AM6">
        <f>IF($J6="",IF($L6&gt;0,INDEX('DADOS_APTIDOES'!$W$2:$W$35,MAX(1,$L6)),"Consome uma escolha"),$J6)</f>
        <v/>
      </c>
      <c r="AN6">
        <f>IF($L6&gt;0,INDEX('DADOS_APTIDOES'!$X$2:$X$35,MAX(1,$L6)),"")</f>
        <v/>
      </c>
      <c r="AO6">
        <f>IF($L6&gt;0,INDEX('DADOS_APTIDOES'!$Y$2:$Y$35,MAX(1,$L6)),0)</f>
        <v/>
      </c>
      <c r="AP6">
        <f>IF($L6&gt;0,INDEX('DADOS_APTIDOES'!$Z$2:$Z$35,MAX(1,$L6)),"")</f>
        <v/>
      </c>
      <c r="AQ6">
        <f>FALSE</f>
        <v/>
      </c>
      <c r="AS6">
        <f>IF(AND(ISTEXT($B6),$B6&lt;&gt;"",TRIM($B6)=$B6),"","NOME precisa ser texto sem espaços nas pontas")</f>
        <v/>
      </c>
      <c r="AT6">
        <f>IF(COUNTIF('DADOS_APTIDOES'!$B$2:$B$11,SUBSTITUTE(SUBSTITUTE(SUBSTITUTE($B6,"~","~~"),"*","~*"),"?","~?"))+COUNTIF('DADOS_APTIDOES'!$O$2:$O$35,SUBSTITUTE(SUBSTITUTE(SUBSTITUTE($B6,"~","~~"),"*","~*"),"?","~?"))=1,"","Nome repetido no livro ou custom")</f>
        <v/>
      </c>
      <c r="AU6">
        <f>IF($L6&gt;=0,"","BASE DO LIVRO inválida para o grupo")</f>
        <v/>
      </c>
      <c r="AV6">
        <f>IF(OR($AD6="Aptidão",$AD6="Bênção"),"","TIPO inválido para o grupo")</f>
        <v/>
      </c>
      <c r="AW6">
        <f>IF(ISLOGICAL($AG6),"","MESTRE VIU precisa ser caixa de seleção")</f>
        <v/>
      </c>
      <c r="AX6">
        <f>IF(ISTEXT($AI6),"","EFEITO precisa ser texto")</f>
        <v/>
      </c>
      <c r="AY6">
        <f>IF(ISTEXT($AH6),"","REQUISITOS precisa ser texto")</f>
        <v/>
      </c>
      <c r="AZ6">
        <f>IF(OR($AJ6="—",IFERROR(AND(ISNUMBER($AJ6),NOT(ISLOGICAL($AJ6)),$AJ6=INT($AJ6),$AJ6&gt;=1,$AJ6&lt;=3),FALSE)),"","CE inválida")</f>
        <v/>
      </c>
      <c r="BA6">
        <f>IF(OR($L6&lt;=0,$AD6=INDEX('DADOS_APTIDOES'!$N$2:$N$35,MAX(1,$L6))),"","TIPO deve preservar a rota da base")</f>
        <v/>
      </c>
      <c r="BB6">
        <f>IF(IFERROR(AND(ISNUMBER($AK6),NOT(ISLOGICAL($AK6)),$AK6=INT($AK6),$AK6&gt;=1,$AK6&lt;=30),FALSE),"","nivel_minimo fora do limite")</f>
        <v/>
      </c>
      <c r="BC6">
        <f>IF(IFERROR(AND(ISNUMBER($AL6),NOT(ISLOGICAL($AL6)),$AL6=INT($AL6),$AL6&gt;=1,$AL6&lt;=10),FALSE),"","refino_minimo fora do limite")</f>
        <v/>
      </c>
      <c r="BD6">
        <f>IF(OR($AM6="Gratuita",$AM6="Consome uma escolha"),"","ESCOLHA inválida")</f>
        <v/>
      </c>
      <c r="BF6">
        <f>'DADOS_APTIDOES'!$O6</f>
        <v/>
      </c>
      <c r="BG6">
        <f>'DADOS_APTIDOES'!$R6</f>
        <v/>
      </c>
      <c r="BH6">
        <f>'DADOS_APTIDOES'!$T6</f>
        <v/>
      </c>
      <c r="BI6">
        <f>'DADOS_APTIDOES'!$Z6</f>
        <v/>
      </c>
      <c r="BJ6">
        <f>'DADOS_APTIDOES'!$S6</f>
        <v/>
      </c>
      <c r="BK6">
        <f>IF(AND(NOT('DADOS_APTIDOES'!$AA6),IF(DADOS_AM!$A$2=4,'DADOS_APTIDOES'!$N6="Bênção",AND(NOT('DADOS_APTIDOES'!$N6="Bênção"),NOT(AND(DADOS_AM!$A$2=3,'DADOS_APTIDOES'!$Y6))))),'DADOS_APTIDOES'!$O6,"")</f>
        <v/>
      </c>
      <c r="BL6">
        <f>N('DADOS_APTIDOES'!$N6="Bênção")</f>
        <v/>
      </c>
      <c r="BM6">
        <f>N('DADOS_APTIDOES'!$Y6)</f>
        <v/>
      </c>
      <c r="BN6">
        <f>IF('DADOS_APTIDOES'!$W6="Gratuita",1,0)</f>
        <v/>
      </c>
      <c r="BO6" t="inlineStr">
        <is>
          <t>Você melhora o uso de Energia Reversa e aprende a reconstruir partes perdidas do corpo.</t>
        </is>
      </c>
      <c r="BQ6" t="inlineStr">
        <is>
          <t>Energia Reversa</t>
        </is>
      </c>
      <c r="BS6" t="n">
        <v>5</v>
      </c>
      <c r="BT6" t="n">
        <v>5</v>
      </c>
    </row>
    <row r="7">
      <c r="A7">
        <f>IF(ISBLANK('CONFIGURAÇÃO'!$J$2172),"",'CONFIGURAÇÃO'!$J$2172)</f>
        <v/>
      </c>
      <c r="B7">
        <f>IF(ISBLANK('CONFIGURAÇÃO'!$J$2174),"",'CONFIGURAÇÃO'!$J$2174)</f>
        <v/>
      </c>
      <c r="C7">
        <f>IF(ISBLANK('CONFIGURAÇÃO'!$M$2175),"",'CONFIGURAÇÃO'!$M$2175)</f>
        <v/>
      </c>
      <c r="D7">
        <f>IF(ISBLANK('CONFIGURAÇÃO'!$N$2172),"",'CONFIGURAÇÃO'!$N$2172)</f>
        <v/>
      </c>
      <c r="E7">
        <f>IF(ISBLANK('CONFIGURAÇÃO'!$J$2182),"",'CONFIGURAÇÃO'!$J$2182)</f>
        <v/>
      </c>
      <c r="F7">
        <f>IF(ISBLANK('CONFIGURAÇÃO'!$J$2188),"",'CONFIGURAÇÃO'!$J$2188)</f>
        <v/>
      </c>
      <c r="G7">
        <f>IF(ISBLANK('CONFIGURAÇÃO'!$M$2176),"",'CONFIGURAÇÃO'!$M$2176)</f>
        <v/>
      </c>
      <c r="H7">
        <f>IF(ISBLANK('CONFIGURAÇÃO'!$M$2177),"",'CONFIGURAÇÃO'!$M$2177)</f>
        <v/>
      </c>
      <c r="I7">
        <f>IF(ISBLANK('CONFIGURAÇÃO'!$M$2178),"",'CONFIGURAÇÃO'!$M$2178)</f>
        <v/>
      </c>
      <c r="J7">
        <f>IF(ISBLANK('CONFIGURAÇÃO'!$M$2179),"",'CONFIGURAÇÃO'!$M$2179)</f>
        <v/>
      </c>
      <c r="K7">
        <f>IF($M7,TEXTJOIN(" · ",TRUE,$AS7:$BD7),"")</f>
        <v/>
      </c>
      <c r="L7">
        <f>IF(OR($C7="",$C7="Nenhuma"),0,IFERROR(MATCH(SUBSTITUTE(SUBSTITUTE(SUBSTITUTE($C7,"~","~~"),"*","~*"),"?","~?"),'DADOS_APTIDOES'!$O$2:$O$35,0),-1))</f>
        <v/>
      </c>
      <c r="M7">
        <f>OR($B7&lt;&gt;"",$C7&lt;&gt;"",$E7&lt;&gt;"",$F7&lt;&gt;"",$G7&lt;&gt;"",$H7&lt;&gt;"",$I7&lt;&gt;"",$J7&lt;&gt;"",AND($D7&lt;&gt;"",$D7&lt;&gt;FALSE),AND($A7&lt;&gt;"",$A7&lt;&gt;"Aptidão",$A7&lt;&gt;"Bênção"))</f>
        <v/>
      </c>
      <c r="N7" t="inlineStr">
        <is>
          <t>Aptidão</t>
        </is>
      </c>
      <c r="O7" t="inlineStr">
        <is>
          <t>Regravação</t>
        </is>
      </c>
      <c r="P7">
        <f>""</f>
        <v/>
      </c>
      <c r="Q7" t="b">
        <v>0</v>
      </c>
      <c r="R7" t="inlineStr">
        <is>
          <t>Circulação</t>
        </is>
      </c>
      <c r="S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T7" t="n">
        <v>3</v>
      </c>
      <c r="U7" t="n">
        <v>1</v>
      </c>
      <c r="V7" t="n">
        <v>1</v>
      </c>
      <c r="W7" t="inlineStr">
        <is>
          <t>Consome uma escolha</t>
        </is>
      </c>
      <c r="X7" t="inlineStr">
        <is>
          <t>Regravação</t>
        </is>
      </c>
      <c r="Y7" t="b">
        <v>0</v>
      </c>
      <c r="Z7" t="inlineStr">
        <is>
          <t>—</t>
        </is>
      </c>
      <c r="AA7" t="b">
        <v>0</v>
      </c>
      <c r="AD7">
        <f>IF($A7="",IF($L7&gt;0,INDEX('DADOS_APTIDOES'!$N$2:$N$35,MAX(1,$L7)),""),$A7)</f>
        <v/>
      </c>
      <c r="AE7">
        <f>IF($B7="",IF($L7&gt;0,INDEX('DADOS_APTIDOES'!$O$2:$O$35,MAX(1,$L7)),""),$B7)</f>
        <v/>
      </c>
      <c r="AF7">
        <f>IF($C7="",IF($L7&gt;0,INDEX('DADOS_APTIDOES'!$P$2:$P$35,MAX(1,$L7)),""),$C7)</f>
        <v/>
      </c>
      <c r="AG7">
        <f>IF($D7="",IF($L7&gt;0,INDEX('DADOS_APTIDOES'!$Q$2:$Q$35,MAX(1,$L7)),FALSE),$D7)</f>
        <v/>
      </c>
      <c r="AH7">
        <f>IF($E7="",IF($L7&gt;0,INDEX('DADOS_APTIDOES'!$R$2:$R$35,MAX(1,$L7)),""),$E7)</f>
        <v/>
      </c>
      <c r="AI7">
        <f>IF($F7="",IF($L7&gt;0,INDEX('DADOS_APTIDOES'!$S$2:$S$35,MAX(1,$L7)),""),$F7)</f>
        <v/>
      </c>
      <c r="AJ7">
        <f>IF($G7="",IF($L7&gt;0,INDEX('DADOS_APTIDOES'!$T$2:$T$35,MAX(1,$L7)),"—"),$G7)</f>
        <v/>
      </c>
      <c r="AK7">
        <f>IF($H7="",IF($L7&gt;0,INDEX('DADOS_APTIDOES'!$U$2:$U$35,MAX(1,$L7)),1),$H7)</f>
        <v/>
      </c>
      <c r="AL7">
        <f>IF($I7="",IF($L7&gt;0,INDEX('DADOS_APTIDOES'!$V$2:$V$35,MAX(1,$L7)),1),$I7)</f>
        <v/>
      </c>
      <c r="AM7">
        <f>IF($J7="",IF($L7&gt;0,INDEX('DADOS_APTIDOES'!$W$2:$W$35,MAX(1,$L7)),"Consome uma escolha"),$J7)</f>
        <v/>
      </c>
      <c r="AN7">
        <f>IF($L7&gt;0,INDEX('DADOS_APTIDOES'!$X$2:$X$35,MAX(1,$L7)),"")</f>
        <v/>
      </c>
      <c r="AO7">
        <f>IF($L7&gt;0,INDEX('DADOS_APTIDOES'!$Y$2:$Y$35,MAX(1,$L7)),0)</f>
        <v/>
      </c>
      <c r="AP7">
        <f>IF($L7&gt;0,INDEX('DADOS_APTIDOES'!$Z$2:$Z$35,MAX(1,$L7)),"")</f>
        <v/>
      </c>
      <c r="AQ7">
        <f>FALSE</f>
        <v/>
      </c>
      <c r="AS7">
        <f>IF(AND(ISTEXT($B7),$B7&lt;&gt;"",TRIM($B7)=$B7),"","NOME precisa ser texto sem espaços nas pontas")</f>
        <v/>
      </c>
      <c r="AT7">
        <f>IF(COUNTIF('DADOS_APTIDOES'!$B$2:$B$11,SUBSTITUTE(SUBSTITUTE(SUBSTITUTE($B7,"~","~~"),"*","~*"),"?","~?"))+COUNTIF('DADOS_APTIDOES'!$O$2:$O$35,SUBSTITUTE(SUBSTITUTE(SUBSTITUTE($B7,"~","~~"),"*","~*"),"?","~?"))=1,"","Nome repetido no livro ou custom")</f>
        <v/>
      </c>
      <c r="AU7">
        <f>IF($L7&gt;=0,"","BASE DO LIVRO inválida para o grupo")</f>
        <v/>
      </c>
      <c r="AV7">
        <f>IF(OR($AD7="Aptidão",$AD7="Bênção"),"","TIPO inválido para o grupo")</f>
        <v/>
      </c>
      <c r="AW7">
        <f>IF(ISLOGICAL($AG7),"","MESTRE VIU precisa ser caixa de seleção")</f>
        <v/>
      </c>
      <c r="AX7">
        <f>IF(ISTEXT($AI7),"","EFEITO precisa ser texto")</f>
        <v/>
      </c>
      <c r="AY7">
        <f>IF(ISTEXT($AH7),"","REQUISITOS precisa ser texto")</f>
        <v/>
      </c>
      <c r="AZ7">
        <f>IF(OR($AJ7="—",IFERROR(AND(ISNUMBER($AJ7),NOT(ISLOGICAL($AJ7)),$AJ7=INT($AJ7),$AJ7&gt;=1,$AJ7&lt;=3),FALSE)),"","CE inválida")</f>
        <v/>
      </c>
      <c r="BA7">
        <f>IF(OR($L7&lt;=0,$AD7=INDEX('DADOS_APTIDOES'!$N$2:$N$35,MAX(1,$L7))),"","TIPO deve preservar a rota da base")</f>
        <v/>
      </c>
      <c r="BB7">
        <f>IF(IFERROR(AND(ISNUMBER($AK7),NOT(ISLOGICAL($AK7)),$AK7=INT($AK7),$AK7&gt;=1,$AK7&lt;=30),FALSE),"","nivel_minimo fora do limite")</f>
        <v/>
      </c>
      <c r="BC7">
        <f>IF(IFERROR(AND(ISNUMBER($AL7),NOT(ISLOGICAL($AL7)),$AL7=INT($AL7),$AL7&gt;=1,$AL7&lt;=10),FALSE),"","refino_minimo fora do limite")</f>
        <v/>
      </c>
      <c r="BD7">
        <f>IF(OR($AM7="Gratuita",$AM7="Consome uma escolha"),"","ESCOLHA inválida")</f>
        <v/>
      </c>
      <c r="BF7">
        <f>'DADOS_APTIDOES'!$O7</f>
        <v/>
      </c>
      <c r="BG7">
        <f>'DADOS_APTIDOES'!$R7</f>
        <v/>
      </c>
      <c r="BH7">
        <f>'DADOS_APTIDOES'!$T7</f>
        <v/>
      </c>
      <c r="BI7">
        <f>'DADOS_APTIDOES'!$Z7</f>
        <v/>
      </c>
      <c r="BJ7">
        <f>'DADOS_APTIDOES'!$S7</f>
        <v/>
      </c>
      <c r="BK7">
        <f>IF(AND(NOT('DADOS_APTIDOES'!$AA7),IF(DADOS_AM!$A$2=4,'DADOS_APTIDOES'!$N7="Bênção",AND(NOT('DADOS_APTIDOES'!$N7="Bênção"),NOT(AND(DADOS_AM!$A$2=3,'DADOS_APTIDOES'!$Y7))))),'DADOS_APTIDOES'!$O7,"")</f>
        <v/>
      </c>
      <c r="BL7">
        <f>N('DADOS_APTIDOES'!$N7="Bênção")</f>
        <v/>
      </c>
      <c r="BM7">
        <f>N('DADOS_APTIDOES'!$Y7)</f>
        <v/>
      </c>
      <c r="BN7">
        <f>IF('DADOS_APTIDOES'!$W7="Gratuita",1,0)</f>
        <v/>
      </c>
      <c r="BO7" t="inlineStr">
        <is>
          <t>Você pode encerrar o Rescaldo de sua técnica antes do fim da cena, mas usos repetidos impedem novas Expansões de Domínio naquele dia.</t>
        </is>
      </c>
      <c r="BQ7" t="inlineStr">
        <is>
          <t>Circulação</t>
        </is>
      </c>
      <c r="BS7" t="n">
        <v>6</v>
      </c>
      <c r="BT7" t="n">
        <v>6</v>
      </c>
    </row>
    <row r="8">
      <c r="A8">
        <f>IF(ISBLANK('CONFIGURAÇÃO'!$B$2199),"",'CONFIGURAÇÃO'!$B$2199)</f>
        <v/>
      </c>
      <c r="B8">
        <f>IF(ISBLANK('CONFIGURAÇÃO'!$B$2201),"",'CONFIGURAÇÃO'!$B$2201)</f>
        <v/>
      </c>
      <c r="C8">
        <f>IF(ISBLANK('CONFIGURAÇÃO'!$E$2202),"",'CONFIGURAÇÃO'!$E$2202)</f>
        <v/>
      </c>
      <c r="D8">
        <f>IF(ISBLANK('CONFIGURAÇÃO'!$F$2199),"",'CONFIGURAÇÃO'!$F$2199)</f>
        <v/>
      </c>
      <c r="E8">
        <f>IF(ISBLANK('CONFIGURAÇÃO'!$B$2209),"",'CONFIGURAÇÃO'!$B$2209)</f>
        <v/>
      </c>
      <c r="F8">
        <f>IF(ISBLANK('CONFIGURAÇÃO'!$B$2215),"",'CONFIGURAÇÃO'!$B$2215)</f>
        <v/>
      </c>
      <c r="G8">
        <f>IF(ISBLANK('CONFIGURAÇÃO'!$E$2203),"",'CONFIGURAÇÃO'!$E$2203)</f>
        <v/>
      </c>
      <c r="H8">
        <f>IF(ISBLANK('CONFIGURAÇÃO'!$E$2204),"",'CONFIGURAÇÃO'!$E$2204)</f>
        <v/>
      </c>
      <c r="I8">
        <f>IF(ISBLANK('CONFIGURAÇÃO'!$E$2205),"",'CONFIGURAÇÃO'!$E$2205)</f>
        <v/>
      </c>
      <c r="J8">
        <f>IF(ISBLANK('CONFIGURAÇÃO'!$E$2206),"",'CONFIGURAÇÃO'!$E$2206)</f>
        <v/>
      </c>
      <c r="K8">
        <f>IF($M8,TEXTJOIN(" · ",TRUE,$AS8:$BD8),"")</f>
        <v/>
      </c>
      <c r="L8">
        <f>IF(OR($C8="",$C8="Nenhuma"),0,IFERROR(MATCH(SUBSTITUTE(SUBSTITUTE(SUBSTITUTE($C8,"~","~~"),"*","~*"),"?","~?"),'DADOS_APTIDOES'!$O$2:$O$35,0),-1))</f>
        <v/>
      </c>
      <c r="M8">
        <f>OR($B8&lt;&gt;"",$C8&lt;&gt;"",$E8&lt;&gt;"",$F8&lt;&gt;"",$G8&lt;&gt;"",$H8&lt;&gt;"",$I8&lt;&gt;"",$J8&lt;&gt;"",AND($D8&lt;&gt;"",$D8&lt;&gt;FALSE),AND($A8&lt;&gt;"",$A8&lt;&gt;"Aptidão",$A8&lt;&gt;"Bênção"))</f>
        <v/>
      </c>
      <c r="N8" t="inlineStr">
        <is>
          <t>Aptidão</t>
        </is>
      </c>
      <c r="O8" t="inlineStr">
        <is>
          <t>Kokusen Melhorado</t>
        </is>
      </c>
      <c r="P8">
        <f>""</f>
        <v/>
      </c>
      <c r="Q8" t="b">
        <v>0</v>
      </c>
      <c r="R8" t="inlineStr">
        <is>
          <t>Refino 5 e nível 14</t>
        </is>
      </c>
      <c r="S8" t="inlineStr">
        <is>
          <t>Em cada teste de Kokusen, role dois d100 e use o menor. Se os dois resultados falharem, acrescente +2 ao bônus acumulado uma vez, não duas.</t>
        </is>
      </c>
      <c r="T8" t="inlineStr">
        <is>
          <t>—</t>
        </is>
      </c>
      <c r="U8" t="n">
        <v>14</v>
      </c>
      <c r="V8" t="n">
        <v>5</v>
      </c>
      <c r="W8" t="inlineStr">
        <is>
          <t>Consome uma escolha</t>
        </is>
      </c>
      <c r="X8" t="inlineStr">
        <is>
          <t>Kokusen Melhorado</t>
        </is>
      </c>
      <c r="Y8" t="b">
        <v>0</v>
      </c>
      <c r="Z8" t="inlineStr">
        <is>
          <t>—</t>
        </is>
      </c>
      <c r="AA8" t="b">
        <v>0</v>
      </c>
      <c r="AD8">
        <f>IF($A8="",IF($L8&gt;0,INDEX('DADOS_APTIDOES'!$N$2:$N$35,MAX(1,$L8)),""),$A8)</f>
        <v/>
      </c>
      <c r="AE8">
        <f>IF($B8="",IF($L8&gt;0,INDEX('DADOS_APTIDOES'!$O$2:$O$35,MAX(1,$L8)),""),$B8)</f>
        <v/>
      </c>
      <c r="AF8">
        <f>IF($C8="",IF($L8&gt;0,INDEX('DADOS_APTIDOES'!$P$2:$P$35,MAX(1,$L8)),""),$C8)</f>
        <v/>
      </c>
      <c r="AG8">
        <f>IF($D8="",IF($L8&gt;0,INDEX('DADOS_APTIDOES'!$Q$2:$Q$35,MAX(1,$L8)),FALSE),$D8)</f>
        <v/>
      </c>
      <c r="AH8">
        <f>IF($E8="",IF($L8&gt;0,INDEX('DADOS_APTIDOES'!$R$2:$R$35,MAX(1,$L8)),""),$E8)</f>
        <v/>
      </c>
      <c r="AI8">
        <f>IF($F8="",IF($L8&gt;0,INDEX('DADOS_APTIDOES'!$S$2:$S$35,MAX(1,$L8)),""),$F8)</f>
        <v/>
      </c>
      <c r="AJ8">
        <f>IF($G8="",IF($L8&gt;0,INDEX('DADOS_APTIDOES'!$T$2:$T$35,MAX(1,$L8)),"—"),$G8)</f>
        <v/>
      </c>
      <c r="AK8">
        <f>IF($H8="",IF($L8&gt;0,INDEX('DADOS_APTIDOES'!$U$2:$U$35,MAX(1,$L8)),1),$H8)</f>
        <v/>
      </c>
      <c r="AL8">
        <f>IF($I8="",IF($L8&gt;0,INDEX('DADOS_APTIDOES'!$V$2:$V$35,MAX(1,$L8)),1),$I8)</f>
        <v/>
      </c>
      <c r="AM8">
        <f>IF($J8="",IF($L8&gt;0,INDEX('DADOS_APTIDOES'!$W$2:$W$35,MAX(1,$L8)),"Consome uma escolha"),$J8)</f>
        <v/>
      </c>
      <c r="AN8">
        <f>IF($L8&gt;0,INDEX('DADOS_APTIDOES'!$X$2:$X$35,MAX(1,$L8)),"")</f>
        <v/>
      </c>
      <c r="AO8">
        <f>IF($L8&gt;0,INDEX('DADOS_APTIDOES'!$Y$2:$Y$35,MAX(1,$L8)),0)</f>
        <v/>
      </c>
      <c r="AP8">
        <f>IF($L8&gt;0,INDEX('DADOS_APTIDOES'!$Z$2:$Z$35,MAX(1,$L8)),"")</f>
        <v/>
      </c>
      <c r="AQ8">
        <f>FALSE</f>
        <v/>
      </c>
      <c r="AS8">
        <f>IF(AND(ISTEXT($B8),$B8&lt;&gt;"",TRIM($B8)=$B8),"","NOME precisa ser texto sem espaços nas pontas")</f>
        <v/>
      </c>
      <c r="AT8">
        <f>IF(COUNTIF('DADOS_APTIDOES'!$B$2:$B$11,SUBSTITUTE(SUBSTITUTE(SUBSTITUTE($B8,"~","~~"),"*","~*"),"?","~?"))+COUNTIF('DADOS_APTIDOES'!$O$2:$O$35,SUBSTITUTE(SUBSTITUTE(SUBSTITUTE($B8,"~","~~"),"*","~*"),"?","~?"))=1,"","Nome repetido no livro ou custom")</f>
        <v/>
      </c>
      <c r="AU8">
        <f>IF($L8&gt;=0,"","BASE DO LIVRO inválida para o grupo")</f>
        <v/>
      </c>
      <c r="AV8">
        <f>IF(OR($AD8="Aptidão",$AD8="Bênção"),"","TIPO inválido para o grupo")</f>
        <v/>
      </c>
      <c r="AW8">
        <f>IF(ISLOGICAL($AG8),"","MESTRE VIU precisa ser caixa de seleção")</f>
        <v/>
      </c>
      <c r="AX8">
        <f>IF(ISTEXT($AI8),"","EFEITO precisa ser texto")</f>
        <v/>
      </c>
      <c r="AY8">
        <f>IF(ISTEXT($AH8),"","REQUISITOS precisa ser texto")</f>
        <v/>
      </c>
      <c r="AZ8">
        <f>IF(OR($AJ8="—",IFERROR(AND(ISNUMBER($AJ8),NOT(ISLOGICAL($AJ8)),$AJ8=INT($AJ8),$AJ8&gt;=1,$AJ8&lt;=3),FALSE)),"","CE inválida")</f>
        <v/>
      </c>
      <c r="BA8">
        <f>IF(OR($L8&lt;=0,$AD8=INDEX('DADOS_APTIDOES'!$N$2:$N$35,MAX(1,$L8))),"","TIPO deve preservar a rota da base")</f>
        <v/>
      </c>
      <c r="BB8">
        <f>IF(IFERROR(AND(ISNUMBER($AK8),NOT(ISLOGICAL($AK8)),$AK8=INT($AK8),$AK8&gt;=1,$AK8&lt;=30),FALSE),"","nivel_minimo fora do limite")</f>
        <v/>
      </c>
      <c r="BC8">
        <f>IF(IFERROR(AND(ISNUMBER($AL8),NOT(ISLOGICAL($AL8)),$AL8=INT($AL8),$AL8&gt;=1,$AL8&lt;=10),FALSE),"","refino_minimo fora do limite")</f>
        <v/>
      </c>
      <c r="BD8">
        <f>IF(OR($AM8="Gratuita",$AM8="Consome uma escolha"),"","ESCOLHA inválida")</f>
        <v/>
      </c>
      <c r="BF8">
        <f>'DADOS_APTIDOES'!$O8</f>
        <v/>
      </c>
      <c r="BG8">
        <f>'DADOS_APTIDOES'!$R8</f>
        <v/>
      </c>
      <c r="BH8">
        <f>'DADOS_APTIDOES'!$T8</f>
        <v/>
      </c>
      <c r="BI8">
        <f>'DADOS_APTIDOES'!$Z8</f>
        <v/>
      </c>
      <c r="BJ8">
        <f>'DADOS_APTIDOES'!$S8</f>
        <v/>
      </c>
      <c r="BK8">
        <f>IF(AND(NOT('DADOS_APTIDOES'!$AA8),IF(DADOS_AM!$A$2=4,'DADOS_APTIDOES'!$N8="Bênção",AND(NOT('DADOS_APTIDOES'!$N8="Bênção"),NOT(AND(DADOS_AM!$A$2=3,'DADOS_APTIDOES'!$Y8))))),'DADOS_APTIDOES'!$O8,"")</f>
        <v/>
      </c>
      <c r="BL8">
        <f>N('DADOS_APTIDOES'!$N8="Bênção")</f>
        <v/>
      </c>
      <c r="BM8">
        <f>N('DADOS_APTIDOES'!$Y8)</f>
        <v/>
      </c>
      <c r="BN8">
        <f>IF('DADOS_APTIDOES'!$W8="Gratuita",1,0)</f>
        <v/>
      </c>
      <c r="BO8" t="inlineStr">
        <is>
          <t>Em cada teste de Kokusen, role dois d100 e use o menor. Se os dois resultados falharem, acrescente +2 ao bônus acumulado uma vez, não duas.</t>
        </is>
      </c>
      <c r="BQ8" t="inlineStr">
        <is>
          <t>Regravação</t>
        </is>
      </c>
      <c r="BS8" t="n">
        <v>7</v>
      </c>
      <c r="BT8" t="n">
        <v>7</v>
      </c>
    </row>
    <row r="9">
      <c r="A9">
        <f>IF(ISBLANK('CONFIGURAÇÃO'!$J$2199),"",'CONFIGURAÇÃO'!$J$2199)</f>
        <v/>
      </c>
      <c r="B9">
        <f>IF(ISBLANK('CONFIGURAÇÃO'!$J$2201),"",'CONFIGURAÇÃO'!$J$2201)</f>
        <v/>
      </c>
      <c r="C9">
        <f>IF(ISBLANK('CONFIGURAÇÃO'!$M$2202),"",'CONFIGURAÇÃO'!$M$2202)</f>
        <v/>
      </c>
      <c r="D9">
        <f>IF(ISBLANK('CONFIGURAÇÃO'!$N$2199),"",'CONFIGURAÇÃO'!$N$2199)</f>
        <v/>
      </c>
      <c r="E9">
        <f>IF(ISBLANK('CONFIGURAÇÃO'!$J$2209),"",'CONFIGURAÇÃO'!$J$2209)</f>
        <v/>
      </c>
      <c r="F9">
        <f>IF(ISBLANK('CONFIGURAÇÃO'!$J$2215),"",'CONFIGURAÇÃO'!$J$2215)</f>
        <v/>
      </c>
      <c r="G9">
        <f>IF(ISBLANK('CONFIGURAÇÃO'!$M$2203),"",'CONFIGURAÇÃO'!$M$2203)</f>
        <v/>
      </c>
      <c r="H9">
        <f>IF(ISBLANK('CONFIGURAÇÃO'!$M$2204),"",'CONFIGURAÇÃO'!$M$2204)</f>
        <v/>
      </c>
      <c r="I9">
        <f>IF(ISBLANK('CONFIGURAÇÃO'!$M$2205),"",'CONFIGURAÇÃO'!$M$2205)</f>
        <v/>
      </c>
      <c r="J9">
        <f>IF(ISBLANK('CONFIGURAÇÃO'!$M$2206),"",'CONFIGURAÇÃO'!$M$2206)</f>
        <v/>
      </c>
      <c r="K9">
        <f>IF($M9,TEXTJOIN(" · ",TRUE,$AS9:$BD9),"")</f>
        <v/>
      </c>
      <c r="L9">
        <f>IF(OR($C9="",$C9="Nenhuma"),0,IFERROR(MATCH(SUBSTITUTE(SUBSTITUTE(SUBSTITUTE($C9,"~","~~"),"*","~*"),"?","~?"),'DADOS_APTIDOES'!$O$2:$O$35,0),-1))</f>
        <v/>
      </c>
      <c r="M9">
        <f>OR($B9&lt;&gt;"",$C9&lt;&gt;"",$E9&lt;&gt;"",$F9&lt;&gt;"",$G9&lt;&gt;"",$H9&lt;&gt;"",$I9&lt;&gt;"",$J9&lt;&gt;"",AND($D9&lt;&gt;"",$D9&lt;&gt;FALSE),AND($A9&lt;&gt;"",$A9&lt;&gt;"Aptidão",$A9&lt;&gt;"Bênção"))</f>
        <v/>
      </c>
      <c r="N9" t="inlineStr">
        <is>
          <t>Aptidão</t>
        </is>
      </c>
      <c r="O9" t="inlineStr">
        <is>
          <t>Kokusen Constante</t>
        </is>
      </c>
      <c r="P9">
        <f>""</f>
        <v/>
      </c>
      <c r="Q9" t="b">
        <v>0</v>
      </c>
      <c r="R9" t="inlineStr">
        <is>
          <t>Refino 5</t>
        </is>
      </c>
      <c r="S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T9" t="inlineStr">
        <is>
          <t>—</t>
        </is>
      </c>
      <c r="U9" t="n">
        <v>1</v>
      </c>
      <c r="V9" t="n">
        <v>5</v>
      </c>
      <c r="W9" t="inlineStr">
        <is>
          <t>Consome uma escolha</t>
        </is>
      </c>
      <c r="X9" t="inlineStr">
        <is>
          <t>Kokusen Constante</t>
        </is>
      </c>
      <c r="Y9" t="b">
        <v>0</v>
      </c>
      <c r="Z9" t="inlineStr">
        <is>
          <t>—</t>
        </is>
      </c>
      <c r="AA9" t="b">
        <v>0</v>
      </c>
      <c r="AD9">
        <f>IF($A9="",IF($L9&gt;0,INDEX('DADOS_APTIDOES'!$N$2:$N$35,MAX(1,$L9)),""),$A9)</f>
        <v/>
      </c>
      <c r="AE9">
        <f>IF($B9="",IF($L9&gt;0,INDEX('DADOS_APTIDOES'!$O$2:$O$35,MAX(1,$L9)),""),$B9)</f>
        <v/>
      </c>
      <c r="AF9">
        <f>IF($C9="",IF($L9&gt;0,INDEX('DADOS_APTIDOES'!$P$2:$P$35,MAX(1,$L9)),""),$C9)</f>
        <v/>
      </c>
      <c r="AG9">
        <f>IF($D9="",IF($L9&gt;0,INDEX('DADOS_APTIDOES'!$Q$2:$Q$35,MAX(1,$L9)),FALSE),$D9)</f>
        <v/>
      </c>
      <c r="AH9">
        <f>IF($E9="",IF($L9&gt;0,INDEX('DADOS_APTIDOES'!$R$2:$R$35,MAX(1,$L9)),""),$E9)</f>
        <v/>
      </c>
      <c r="AI9">
        <f>IF($F9="",IF($L9&gt;0,INDEX('DADOS_APTIDOES'!$S$2:$S$35,MAX(1,$L9)),""),$F9)</f>
        <v/>
      </c>
      <c r="AJ9">
        <f>IF($G9="",IF($L9&gt;0,INDEX('DADOS_APTIDOES'!$T$2:$T$35,MAX(1,$L9)),"—"),$G9)</f>
        <v/>
      </c>
      <c r="AK9">
        <f>IF($H9="",IF($L9&gt;0,INDEX('DADOS_APTIDOES'!$U$2:$U$35,MAX(1,$L9)),1),$H9)</f>
        <v/>
      </c>
      <c r="AL9">
        <f>IF($I9="",IF($L9&gt;0,INDEX('DADOS_APTIDOES'!$V$2:$V$35,MAX(1,$L9)),1),$I9)</f>
        <v/>
      </c>
      <c r="AM9">
        <f>IF($J9="",IF($L9&gt;0,INDEX('DADOS_APTIDOES'!$W$2:$W$35,MAX(1,$L9)),"Consome uma escolha"),$J9)</f>
        <v/>
      </c>
      <c r="AN9">
        <f>IF($L9&gt;0,INDEX('DADOS_APTIDOES'!$X$2:$X$35,MAX(1,$L9)),"")</f>
        <v/>
      </c>
      <c r="AO9">
        <f>IF($L9&gt;0,INDEX('DADOS_APTIDOES'!$Y$2:$Y$35,MAX(1,$L9)),0)</f>
        <v/>
      </c>
      <c r="AP9">
        <f>IF($L9&gt;0,INDEX('DADOS_APTIDOES'!$Z$2:$Z$35,MAX(1,$L9)),"")</f>
        <v/>
      </c>
      <c r="AQ9">
        <f>FALSE</f>
        <v/>
      </c>
      <c r="AS9">
        <f>IF(AND(ISTEXT($B9),$B9&lt;&gt;"",TRIM($B9)=$B9),"","NOME precisa ser texto sem espaços nas pontas")</f>
        <v/>
      </c>
      <c r="AT9">
        <f>IF(COUNTIF('DADOS_APTIDOES'!$B$2:$B$11,SUBSTITUTE(SUBSTITUTE(SUBSTITUTE($B9,"~","~~"),"*","~*"),"?","~?"))+COUNTIF('DADOS_APTIDOES'!$O$2:$O$35,SUBSTITUTE(SUBSTITUTE(SUBSTITUTE($B9,"~","~~"),"*","~*"),"?","~?"))=1,"","Nome repetido no livro ou custom")</f>
        <v/>
      </c>
      <c r="AU9">
        <f>IF($L9&gt;=0,"","BASE DO LIVRO inválida para o grupo")</f>
        <v/>
      </c>
      <c r="AV9">
        <f>IF(OR($AD9="Aptidão",$AD9="Bênção"),"","TIPO inválido para o grupo")</f>
        <v/>
      </c>
      <c r="AW9">
        <f>IF(ISLOGICAL($AG9),"","MESTRE VIU precisa ser caixa de seleção")</f>
        <v/>
      </c>
      <c r="AX9">
        <f>IF(ISTEXT($AI9),"","EFEITO precisa ser texto")</f>
        <v/>
      </c>
      <c r="AY9">
        <f>IF(ISTEXT($AH9),"","REQUISITOS precisa ser texto")</f>
        <v/>
      </c>
      <c r="AZ9">
        <f>IF(OR($AJ9="—",IFERROR(AND(ISNUMBER($AJ9),NOT(ISLOGICAL($AJ9)),$AJ9=INT($AJ9),$AJ9&gt;=1,$AJ9&lt;=3),FALSE)),"","CE inválida")</f>
        <v/>
      </c>
      <c r="BA9">
        <f>IF(OR($L9&lt;=0,$AD9=INDEX('DADOS_APTIDOES'!$N$2:$N$35,MAX(1,$L9))),"","TIPO deve preservar a rota da base")</f>
        <v/>
      </c>
      <c r="BB9">
        <f>IF(IFERROR(AND(ISNUMBER($AK9),NOT(ISLOGICAL($AK9)),$AK9=INT($AK9),$AK9&gt;=1,$AK9&lt;=30),FALSE),"","nivel_minimo fora do limite")</f>
        <v/>
      </c>
      <c r="BC9">
        <f>IF(IFERROR(AND(ISNUMBER($AL9),NOT(ISLOGICAL($AL9)),$AL9=INT($AL9),$AL9&gt;=1,$AL9&lt;=10),FALSE),"","refino_minimo fora do limite")</f>
        <v/>
      </c>
      <c r="BD9">
        <f>IF(OR($AM9="Gratuita",$AM9="Consome uma escolha"),"","ESCOLHA inválida")</f>
        <v/>
      </c>
      <c r="BF9">
        <f>'DADOS_APTIDOES'!$O9</f>
        <v/>
      </c>
      <c r="BG9">
        <f>'DADOS_APTIDOES'!$R9</f>
        <v/>
      </c>
      <c r="BH9">
        <f>'DADOS_APTIDOES'!$T9</f>
        <v/>
      </c>
      <c r="BI9">
        <f>'DADOS_APTIDOES'!$Z9</f>
        <v/>
      </c>
      <c r="BJ9">
        <f>'DADOS_APTIDOES'!$S9</f>
        <v/>
      </c>
      <c r="BK9">
        <f>IF(AND(NOT('DADOS_APTIDOES'!$AA9),IF(DADOS_AM!$A$2=4,'DADOS_APTIDOES'!$N9="Bênção",AND(NOT('DADOS_APTIDOES'!$N9="Bênção"),NOT(AND(DADOS_AM!$A$2=3,'DADOS_APTIDOES'!$Y9))))),'DADOS_APTIDOES'!$O9,"")</f>
        <v/>
      </c>
      <c r="BL9">
        <f>N('DADOS_APTIDOES'!$N9="Bênção")</f>
        <v/>
      </c>
      <c r="BM9">
        <f>N('DADOS_APTIDOES'!$Y9)</f>
        <v/>
      </c>
      <c r="BN9">
        <f>IF('DADOS_APTIDOES'!$W9="Gratuita",1,0)</f>
        <v/>
      </c>
      <c r="BO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BQ9" t="inlineStr">
        <is>
          <t>Kokusen Melhorado</t>
        </is>
      </c>
      <c r="BS9" t="n">
        <v>8</v>
      </c>
      <c r="BT9" t="n">
        <v>8</v>
      </c>
    </row>
    <row r="10">
      <c r="A10">
        <f>IF(ISBLANK('CONFIGURAÇÃO'!$B$2226),"",'CONFIGURAÇÃO'!$B$2226)</f>
        <v/>
      </c>
      <c r="B10">
        <f>IF(ISBLANK('CONFIGURAÇÃO'!$B$2228),"",'CONFIGURAÇÃO'!$B$2228)</f>
        <v/>
      </c>
      <c r="C10">
        <f>IF(ISBLANK('CONFIGURAÇÃO'!$E$2229),"",'CONFIGURAÇÃO'!$E$2229)</f>
        <v/>
      </c>
      <c r="D10">
        <f>IF(ISBLANK('CONFIGURAÇÃO'!$F$2226),"",'CONFIGURAÇÃO'!$F$2226)</f>
        <v/>
      </c>
      <c r="E10">
        <f>IF(ISBLANK('CONFIGURAÇÃO'!$B$2236),"",'CONFIGURAÇÃO'!$B$2236)</f>
        <v/>
      </c>
      <c r="F10">
        <f>IF(ISBLANK('CONFIGURAÇÃO'!$B$2242),"",'CONFIGURAÇÃO'!$B$2242)</f>
        <v/>
      </c>
      <c r="G10">
        <f>IF(ISBLANK('CONFIGURAÇÃO'!$E$2230),"",'CONFIGURAÇÃO'!$E$2230)</f>
        <v/>
      </c>
      <c r="H10">
        <f>IF(ISBLANK('CONFIGURAÇÃO'!$E$2231),"",'CONFIGURAÇÃO'!$E$2231)</f>
        <v/>
      </c>
      <c r="I10">
        <f>IF(ISBLANK('CONFIGURAÇÃO'!$E$2232),"",'CONFIGURAÇÃO'!$E$2232)</f>
        <v/>
      </c>
      <c r="J10">
        <f>IF(ISBLANK('CONFIGURAÇÃO'!$E$2233),"",'CONFIGURAÇÃO'!$E$2233)</f>
        <v/>
      </c>
      <c r="K10">
        <f>IF($M10,TEXTJOIN(" · ",TRUE,$AS10:$BD10),"")</f>
        <v/>
      </c>
      <c r="L10">
        <f>IF(OR($C10="",$C10="Nenhuma"),0,IFERROR(MATCH(SUBSTITUTE(SUBSTITUTE(SUBSTITUTE($C10,"~","~~"),"*","~*"),"?","~?"),'DADOS_APTIDOES'!$O$2:$O$35,0),-1))</f>
        <v/>
      </c>
      <c r="M10">
        <f>OR($B10&lt;&gt;"",$C10&lt;&gt;"",$E10&lt;&gt;"",$F10&lt;&gt;"",$G10&lt;&gt;"",$H10&lt;&gt;"",$I10&lt;&gt;"",$J10&lt;&gt;"",AND($D10&lt;&gt;"",$D10&lt;&gt;FALSE),AND($A10&lt;&gt;"",$A10&lt;&gt;"Aptidão",$A10&lt;&gt;"Bênção"))</f>
        <v/>
      </c>
      <c r="N10" t="inlineStr">
        <is>
          <t>Aptidão</t>
        </is>
      </c>
      <c r="O10" t="inlineStr">
        <is>
          <t>Cesta Oca de Vime</t>
        </is>
      </c>
      <c r="P10">
        <f>""</f>
        <v/>
      </c>
      <c r="Q10" t="b">
        <v>0</v>
      </c>
      <c r="R10" t="inlineStr">
        <is>
          <t>Ser Encarnado ou treinado em História</t>
        </is>
      </c>
      <c r="S1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T10" t="n">
        <v>1</v>
      </c>
      <c r="U10" t="n">
        <v>1</v>
      </c>
      <c r="V10" t="n">
        <v>1</v>
      </c>
      <c r="W10" t="inlineStr">
        <is>
          <t>Consome uma escolha</t>
        </is>
      </c>
      <c r="X10" t="inlineStr">
        <is>
          <t>Cesta Oca de Vime</t>
        </is>
      </c>
      <c r="Y10" t="b">
        <v>0</v>
      </c>
      <c r="Z10" t="inlineStr">
        <is>
          <t>—</t>
        </is>
      </c>
      <c r="AA10" t="b">
        <v>0</v>
      </c>
      <c r="AD10">
        <f>IF($A10="",IF($L10&gt;0,INDEX('DADOS_APTIDOES'!$N$2:$N$35,MAX(1,$L10)),""),$A10)</f>
        <v/>
      </c>
      <c r="AE10">
        <f>IF($B10="",IF($L10&gt;0,INDEX('DADOS_APTIDOES'!$O$2:$O$35,MAX(1,$L10)),""),$B10)</f>
        <v/>
      </c>
      <c r="AF10">
        <f>IF($C10="",IF($L10&gt;0,INDEX('DADOS_APTIDOES'!$P$2:$P$35,MAX(1,$L10)),""),$C10)</f>
        <v/>
      </c>
      <c r="AG10">
        <f>IF($D10="",IF($L10&gt;0,INDEX('DADOS_APTIDOES'!$Q$2:$Q$35,MAX(1,$L10)),FALSE),$D10)</f>
        <v/>
      </c>
      <c r="AH10">
        <f>IF($E10="",IF($L10&gt;0,INDEX('DADOS_APTIDOES'!$R$2:$R$35,MAX(1,$L10)),""),$E10)</f>
        <v/>
      </c>
      <c r="AI10">
        <f>IF($F10="",IF($L10&gt;0,INDEX('DADOS_APTIDOES'!$S$2:$S$35,MAX(1,$L10)),""),$F10)</f>
        <v/>
      </c>
      <c r="AJ10">
        <f>IF($G10="",IF($L10&gt;0,INDEX('DADOS_APTIDOES'!$T$2:$T$35,MAX(1,$L10)),"—"),$G10)</f>
        <v/>
      </c>
      <c r="AK10">
        <f>IF($H10="",IF($L10&gt;0,INDEX('DADOS_APTIDOES'!$U$2:$U$35,MAX(1,$L10)),1),$H10)</f>
        <v/>
      </c>
      <c r="AL10">
        <f>IF($I10="",IF($L10&gt;0,INDEX('DADOS_APTIDOES'!$V$2:$V$35,MAX(1,$L10)),1),$I10)</f>
        <v/>
      </c>
      <c r="AM10">
        <f>IF($J10="",IF($L10&gt;0,INDEX('DADOS_APTIDOES'!$W$2:$W$35,MAX(1,$L10)),"Consome uma escolha"),$J10)</f>
        <v/>
      </c>
      <c r="AN10">
        <f>IF($L10&gt;0,INDEX('DADOS_APTIDOES'!$X$2:$X$35,MAX(1,$L10)),"")</f>
        <v/>
      </c>
      <c r="AO10">
        <f>IF($L10&gt;0,INDEX('DADOS_APTIDOES'!$Y$2:$Y$35,MAX(1,$L10)),0)</f>
        <v/>
      </c>
      <c r="AP10">
        <f>IF($L10&gt;0,INDEX('DADOS_APTIDOES'!$Z$2:$Z$35,MAX(1,$L10)),"")</f>
        <v/>
      </c>
      <c r="AQ10">
        <f>FALSE</f>
        <v/>
      </c>
      <c r="AS10">
        <f>IF(AND(ISTEXT($B10),$B10&lt;&gt;"",TRIM($B10)=$B10),"","NOME precisa ser texto sem espaços nas pontas")</f>
        <v/>
      </c>
      <c r="AT10">
        <f>IF(COUNTIF('DADOS_APTIDOES'!$B$2:$B$11,SUBSTITUTE(SUBSTITUTE(SUBSTITUTE($B10,"~","~~"),"*","~*"),"?","~?"))+COUNTIF('DADOS_APTIDOES'!$O$2:$O$35,SUBSTITUTE(SUBSTITUTE(SUBSTITUTE($B10,"~","~~"),"*","~*"),"?","~?"))=1,"","Nome repetido no livro ou custom")</f>
        <v/>
      </c>
      <c r="AU10">
        <f>IF($L10&gt;=0,"","BASE DO LIVRO inválida para o grupo")</f>
        <v/>
      </c>
      <c r="AV10">
        <f>IF(OR($AD10="Aptidão",$AD10="Bênção"),"","TIPO inválido para o grupo")</f>
        <v/>
      </c>
      <c r="AW10">
        <f>IF(ISLOGICAL($AG10),"","MESTRE VIU precisa ser caixa de seleção")</f>
        <v/>
      </c>
      <c r="AX10">
        <f>IF(ISTEXT($AI10),"","EFEITO precisa ser texto")</f>
        <v/>
      </c>
      <c r="AY10">
        <f>IF(ISTEXT($AH10),"","REQUISITOS precisa ser texto")</f>
        <v/>
      </c>
      <c r="AZ10">
        <f>IF(OR($AJ10="—",IFERROR(AND(ISNUMBER($AJ10),NOT(ISLOGICAL($AJ10)),$AJ10=INT($AJ10),$AJ10&gt;=1,$AJ10&lt;=3),FALSE)),"","CE inválida")</f>
        <v/>
      </c>
      <c r="BA10">
        <f>IF(OR($L10&lt;=0,$AD10=INDEX('DADOS_APTIDOES'!$N$2:$N$35,MAX(1,$L10))),"","TIPO deve preservar a rota da base")</f>
        <v/>
      </c>
      <c r="BB10">
        <f>IF(IFERROR(AND(ISNUMBER($AK10),NOT(ISLOGICAL($AK10)),$AK10=INT($AK10),$AK10&gt;=1,$AK10&lt;=30),FALSE),"","nivel_minimo fora do limite")</f>
        <v/>
      </c>
      <c r="BC10">
        <f>IF(IFERROR(AND(ISNUMBER($AL10),NOT(ISLOGICAL($AL10)),$AL10=INT($AL10),$AL10&gt;=1,$AL10&lt;=10),FALSE),"","refino_minimo fora do limite")</f>
        <v/>
      </c>
      <c r="BD10">
        <f>IF(OR($AM10="Gratuita",$AM10="Consome uma escolha"),"","ESCOLHA inválida")</f>
        <v/>
      </c>
      <c r="BF10">
        <f>'DADOS_APTIDOES'!$O10</f>
        <v/>
      </c>
      <c r="BG10">
        <f>'DADOS_APTIDOES'!$R10</f>
        <v/>
      </c>
      <c r="BH10">
        <f>'DADOS_APTIDOES'!$T10</f>
        <v/>
      </c>
      <c r="BI10">
        <f>'DADOS_APTIDOES'!$Z10</f>
        <v/>
      </c>
      <c r="BJ10">
        <f>'DADOS_APTIDOES'!$S10</f>
        <v/>
      </c>
      <c r="BK10">
        <f>IF(AND(NOT('DADOS_APTIDOES'!$AA10),IF(DADOS_AM!$A$2=4,'DADOS_APTIDOES'!$N10="Bênção",AND(NOT('DADOS_APTIDOES'!$N10="Bênção"),NOT(AND(DADOS_AM!$A$2=3,'DADOS_APTIDOES'!$Y10))))),'DADOS_APTIDOES'!$O10,"")</f>
        <v/>
      </c>
      <c r="BL10">
        <f>N('DADOS_APTIDOES'!$N10="Bênção")</f>
        <v/>
      </c>
      <c r="BM10">
        <f>N('DADOS_APTIDOES'!$Y10)</f>
        <v/>
      </c>
      <c r="BN10">
        <f>IF('DADOS_APTIDOES'!$W10="Gratuita",1,0)</f>
        <v/>
      </c>
      <c r="BO10" t="inlineStr">
        <is>
          <t>Você forma um símbolo com as duas mãos e cria uma barreira em volta de si.</t>
        </is>
      </c>
      <c r="BQ10" t="inlineStr">
        <is>
          <t>Kokusen Constante</t>
        </is>
      </c>
      <c r="BS10" t="n">
        <v>9</v>
      </c>
      <c r="BT10" t="n">
        <v>9</v>
      </c>
    </row>
    <row r="11">
      <c r="A11">
        <f>IF(ISBLANK('CONFIGURAÇÃO'!$J$2226),"",'CONFIGURAÇÃO'!$J$2226)</f>
        <v/>
      </c>
      <c r="B11">
        <f>IF(ISBLANK('CONFIGURAÇÃO'!$J$2228),"",'CONFIGURAÇÃO'!$J$2228)</f>
        <v/>
      </c>
      <c r="C11">
        <f>IF(ISBLANK('CONFIGURAÇÃO'!$M$2229),"",'CONFIGURAÇÃO'!$M$2229)</f>
        <v/>
      </c>
      <c r="D11">
        <f>IF(ISBLANK('CONFIGURAÇÃO'!$N$2226),"",'CONFIGURAÇÃO'!$N$2226)</f>
        <v/>
      </c>
      <c r="E11">
        <f>IF(ISBLANK('CONFIGURAÇÃO'!$J$2236),"",'CONFIGURAÇÃO'!$J$2236)</f>
        <v/>
      </c>
      <c r="F11">
        <f>IF(ISBLANK('CONFIGURAÇÃO'!$J$2242),"",'CONFIGURAÇÃO'!$J$2242)</f>
        <v/>
      </c>
      <c r="G11">
        <f>IF(ISBLANK('CONFIGURAÇÃO'!$M$2230),"",'CONFIGURAÇÃO'!$M$2230)</f>
        <v/>
      </c>
      <c r="H11">
        <f>IF(ISBLANK('CONFIGURAÇÃO'!$M$2231),"",'CONFIGURAÇÃO'!$M$2231)</f>
        <v/>
      </c>
      <c r="I11">
        <f>IF(ISBLANK('CONFIGURAÇÃO'!$M$2232),"",'CONFIGURAÇÃO'!$M$2232)</f>
        <v/>
      </c>
      <c r="J11">
        <f>IF(ISBLANK('CONFIGURAÇÃO'!$M$2233),"",'CONFIGURAÇÃO'!$M$2233)</f>
        <v/>
      </c>
      <c r="K11">
        <f>IF($M11,TEXTJOIN(" · ",TRUE,$AS11:$BD11),"")</f>
        <v/>
      </c>
      <c r="L11">
        <f>IF(OR($C11="",$C11="Nenhuma"),0,IFERROR(MATCH(SUBSTITUTE(SUBSTITUTE(SUBSTITUTE($C11,"~","~~"),"*","~*"),"?","~?"),'DADOS_APTIDOES'!$O$2:$O$35,0),-1))</f>
        <v/>
      </c>
      <c r="M11">
        <f>OR($B11&lt;&gt;"",$C11&lt;&gt;"",$E11&lt;&gt;"",$F11&lt;&gt;"",$G11&lt;&gt;"",$H11&lt;&gt;"",$I11&lt;&gt;"",$J11&lt;&gt;"",AND($D11&lt;&gt;"",$D11&lt;&gt;FALSE),AND($A11&lt;&gt;"",$A11&lt;&gt;"Aptidão",$A11&lt;&gt;"Bênção"))</f>
        <v/>
      </c>
      <c r="N11" t="inlineStr">
        <is>
          <t>Aptidão</t>
        </is>
      </c>
      <c r="O11" t="inlineStr">
        <is>
          <t>Domínio Simples</t>
        </is>
      </c>
      <c r="P11">
        <f>""</f>
        <v/>
      </c>
      <c r="Q11" t="b">
        <v>0</v>
      </c>
      <c r="R11" t="inlineStr">
        <is>
          <t>Refino 5, ou 4 com o voto do iniciante; aprendizado registrado</t>
        </is>
      </c>
      <c r="S11"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T11" t="n">
        <v>2</v>
      </c>
      <c r="U11" t="n">
        <v>1</v>
      </c>
      <c r="V11" t="n">
        <v>5</v>
      </c>
      <c r="W11" t="inlineStr">
        <is>
          <t>Consome uma escolha</t>
        </is>
      </c>
      <c r="X11" t="inlineStr">
        <is>
          <t>Domínio Simples</t>
        </is>
      </c>
      <c r="Y11" t="b">
        <v>0</v>
      </c>
      <c r="Z11" t="inlineStr">
        <is>
          <t>Raio</t>
        </is>
      </c>
      <c r="AA11" t="b">
        <v>0</v>
      </c>
      <c r="AD11">
        <f>IF($A11="",IF($L11&gt;0,INDEX('DADOS_APTIDOES'!$N$2:$N$35,MAX(1,$L11)),""),$A11)</f>
        <v/>
      </c>
      <c r="AE11">
        <f>IF($B11="",IF($L11&gt;0,INDEX('DADOS_APTIDOES'!$O$2:$O$35,MAX(1,$L11)),""),$B11)</f>
        <v/>
      </c>
      <c r="AF11">
        <f>IF($C11="",IF($L11&gt;0,INDEX('DADOS_APTIDOES'!$P$2:$P$35,MAX(1,$L11)),""),$C11)</f>
        <v/>
      </c>
      <c r="AG11">
        <f>IF($D11="",IF($L11&gt;0,INDEX('DADOS_APTIDOES'!$Q$2:$Q$35,MAX(1,$L11)),FALSE),$D11)</f>
        <v/>
      </c>
      <c r="AH11">
        <f>IF($E11="",IF($L11&gt;0,INDEX('DADOS_APTIDOES'!$R$2:$R$35,MAX(1,$L11)),""),$E11)</f>
        <v/>
      </c>
      <c r="AI11">
        <f>IF($F11="",IF($L11&gt;0,INDEX('DADOS_APTIDOES'!$S$2:$S$35,MAX(1,$L11)),""),$F11)</f>
        <v/>
      </c>
      <c r="AJ11">
        <f>IF($G11="",IF($L11&gt;0,INDEX('DADOS_APTIDOES'!$T$2:$T$35,MAX(1,$L11)),"—"),$G11)</f>
        <v/>
      </c>
      <c r="AK11">
        <f>IF($H11="",IF($L11&gt;0,INDEX('DADOS_APTIDOES'!$U$2:$U$35,MAX(1,$L11)),1),$H11)</f>
        <v/>
      </c>
      <c r="AL11">
        <f>IF($I11="",IF($L11&gt;0,INDEX('DADOS_APTIDOES'!$V$2:$V$35,MAX(1,$L11)),1),$I11)</f>
        <v/>
      </c>
      <c r="AM11">
        <f>IF($J11="",IF($L11&gt;0,INDEX('DADOS_APTIDOES'!$W$2:$W$35,MAX(1,$L11)),"Consome uma escolha"),$J11)</f>
        <v/>
      </c>
      <c r="AN11">
        <f>IF($L11&gt;0,INDEX('DADOS_APTIDOES'!$X$2:$X$35,MAX(1,$L11)),"")</f>
        <v/>
      </c>
      <c r="AO11">
        <f>IF($L11&gt;0,INDEX('DADOS_APTIDOES'!$Y$2:$Y$35,MAX(1,$L11)),0)</f>
        <v/>
      </c>
      <c r="AP11">
        <f>IF($L11&gt;0,INDEX('DADOS_APTIDOES'!$Z$2:$Z$35,MAX(1,$L11)),"")</f>
        <v/>
      </c>
      <c r="AQ11">
        <f>FALSE</f>
        <v/>
      </c>
      <c r="AS11">
        <f>IF(AND(ISTEXT($B11),$B11&lt;&gt;"",TRIM($B11)=$B11),"","NOME precisa ser texto sem espaços nas pontas")</f>
        <v/>
      </c>
      <c r="AT11">
        <f>IF(COUNTIF('DADOS_APTIDOES'!$B$2:$B$11,SUBSTITUTE(SUBSTITUTE(SUBSTITUTE($B11,"~","~~"),"*","~*"),"?","~?"))+COUNTIF('DADOS_APTIDOES'!$O$2:$O$35,SUBSTITUTE(SUBSTITUTE(SUBSTITUTE($B11,"~","~~"),"*","~*"),"?","~?"))=1,"","Nome repetido no livro ou custom")</f>
        <v/>
      </c>
      <c r="AU11">
        <f>IF($L11&gt;=0,"","BASE DO LIVRO inválida para o grupo")</f>
        <v/>
      </c>
      <c r="AV11">
        <f>IF(OR($AD11="Aptidão",$AD11="Bênção"),"","TIPO inválido para o grupo")</f>
        <v/>
      </c>
      <c r="AW11">
        <f>IF(ISLOGICAL($AG11),"","MESTRE VIU precisa ser caixa de seleção")</f>
        <v/>
      </c>
      <c r="AX11">
        <f>IF(ISTEXT($AI11),"","EFEITO precisa ser texto")</f>
        <v/>
      </c>
      <c r="AY11">
        <f>IF(ISTEXT($AH11),"","REQUISITOS precisa ser texto")</f>
        <v/>
      </c>
      <c r="AZ11">
        <f>IF(OR($AJ11="—",IFERROR(AND(ISNUMBER($AJ11),NOT(ISLOGICAL($AJ11)),$AJ11=INT($AJ11),$AJ11&gt;=1,$AJ11&lt;=3),FALSE)),"","CE inválida")</f>
        <v/>
      </c>
      <c r="BA11">
        <f>IF(OR($L11&lt;=0,$AD11=INDEX('DADOS_APTIDOES'!$N$2:$N$35,MAX(1,$L11))),"","TIPO deve preservar a rota da base")</f>
        <v/>
      </c>
      <c r="BB11">
        <f>IF(IFERROR(AND(ISNUMBER($AK11),NOT(ISLOGICAL($AK11)),$AK11=INT($AK11),$AK11&gt;=1,$AK11&lt;=30),FALSE),"","nivel_minimo fora do limite")</f>
        <v/>
      </c>
      <c r="BC11">
        <f>IF(IFERROR(AND(ISNUMBER($AL11),NOT(ISLOGICAL($AL11)),$AL11=INT($AL11),$AL11&gt;=1,$AL11&lt;=10),FALSE),"","refino_minimo fora do limite")</f>
        <v/>
      </c>
      <c r="BD11">
        <f>IF(OR($AM11="Gratuita",$AM11="Consome uma escolha"),"","ESCOLHA inválida")</f>
        <v/>
      </c>
      <c r="BF11">
        <f>'DADOS_APTIDOES'!$O11</f>
        <v/>
      </c>
      <c r="BG11">
        <f>'DADOS_APTIDOES'!$R11</f>
        <v/>
      </c>
      <c r="BH11">
        <f>'DADOS_APTIDOES'!$T11</f>
        <v/>
      </c>
      <c r="BI11">
        <f>'DADOS_APTIDOES'!$Z11</f>
        <v/>
      </c>
      <c r="BJ11">
        <f>'DADOS_APTIDOES'!$S11</f>
        <v/>
      </c>
      <c r="BK11">
        <f>IF(AND(NOT('DADOS_APTIDOES'!$AA11),IF(DADOS_AM!$A$2=4,'DADOS_APTIDOES'!$N11="Bênção",AND(NOT('DADOS_APTIDOES'!$N11="Bênção"),NOT(AND(DADOS_AM!$A$2=3,'DADOS_APTIDOES'!$Y11))))),'DADOS_APTIDOES'!$O11,"")</f>
        <v/>
      </c>
      <c r="BL11">
        <f>N('DADOS_APTIDOES'!$N11="Bênção")</f>
        <v/>
      </c>
      <c r="BM11">
        <f>N('DADOS_APTIDOES'!$Y11)</f>
        <v/>
      </c>
      <c r="BN11">
        <f>IF('DADOS_APTIDOES'!$W11="Gratuita",1,0)</f>
        <v/>
      </c>
      <c r="BO11" t="inlineStr">
        <is>
          <t>Você precisa ter visto um Domínio Simples sendo usado ou ter aprendido com alguém.</t>
        </is>
      </c>
      <c r="BQ11" t="inlineStr">
        <is>
          <t>Cesta Oca de Vime</t>
        </is>
      </c>
      <c r="BS11" t="n">
        <v>10</v>
      </c>
      <c r="BT11" t="n">
        <v>10</v>
      </c>
    </row>
    <row r="12">
      <c r="N12" t="inlineStr">
        <is>
          <t>Aptidão</t>
        </is>
      </c>
      <c r="O12" t="inlineStr">
        <is>
          <t>Pétala</t>
        </is>
      </c>
      <c r="P12">
        <f>""</f>
        <v/>
      </c>
      <c r="Q12" t="b">
        <v>0</v>
      </c>
      <c r="R12" t="inlineStr">
        <is>
          <t>Refino 4 e nível 10; ser Descendente ou aprendizado com alguém de um clã</t>
        </is>
      </c>
      <c r="S12"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T12" t="n">
        <v>2</v>
      </c>
      <c r="U12" t="n">
        <v>10</v>
      </c>
      <c r="V12" t="n">
        <v>4</v>
      </c>
      <c r="W12" t="inlineStr">
        <is>
          <t>Consome uma escolha</t>
        </is>
      </c>
      <c r="X12" t="inlineStr">
        <is>
          <t>Pétala</t>
        </is>
      </c>
      <c r="Y12" t="b">
        <v>0</v>
      </c>
      <c r="Z12" t="inlineStr">
        <is>
          <t>—</t>
        </is>
      </c>
      <c r="AA12" t="b">
        <v>0</v>
      </c>
      <c r="BF12">
        <f>'DADOS_APTIDOES'!$O12</f>
        <v/>
      </c>
      <c r="BG12">
        <f>'DADOS_APTIDOES'!$R12</f>
        <v/>
      </c>
      <c r="BH12">
        <f>'DADOS_APTIDOES'!$T12</f>
        <v/>
      </c>
      <c r="BI12">
        <f>'DADOS_APTIDOES'!$Z12</f>
        <v/>
      </c>
      <c r="BJ12">
        <f>'DADOS_APTIDOES'!$S12</f>
        <v/>
      </c>
      <c r="BK12">
        <f>IF(AND(NOT('DADOS_APTIDOES'!$AA12),IF(DADOS_AM!$A$2=4,'DADOS_APTIDOES'!$N12="Bênção",AND(NOT('DADOS_APTIDOES'!$N12="Bênção"),NOT(AND(DADOS_AM!$A$2=3,'DADOS_APTIDOES'!$Y12))))),'DADOS_APTIDOES'!$O12,"")</f>
        <v/>
      </c>
      <c r="BL12">
        <f>N('DADOS_APTIDOES'!$N12="Bênção")</f>
        <v/>
      </c>
      <c r="BM12">
        <f>N('DADOS_APTIDOES'!$Y12)</f>
        <v/>
      </c>
      <c r="BN12">
        <f>IF('DADOS_APTIDOES'!$W12="Gratuita",1,0)</f>
        <v/>
      </c>
      <c r="BO12" t="inlineStr">
        <is>
          <t>Sua energia reage ao contato do Acerto de uma Expansão.</t>
        </is>
      </c>
      <c r="BQ12" t="inlineStr">
        <is>
          <t>Domínio Simples</t>
        </is>
      </c>
      <c r="BS12" t="n">
        <v>11</v>
      </c>
    </row>
    <row r="13">
      <c r="N13" t="inlineStr">
        <is>
          <t>Aptidão</t>
        </is>
      </c>
      <c r="O13" t="inlineStr">
        <is>
          <t>Extensão de Domínio</t>
        </is>
      </c>
      <c r="P13">
        <f>""</f>
        <v/>
      </c>
      <c r="Q13" t="b">
        <v>0</v>
      </c>
      <c r="R13" t="inlineStr">
        <is>
          <t>Refino 7 e nível 18; aprendizado registrado; indisponível ao Corpo Amaldiçoado</t>
        </is>
      </c>
      <c r="S1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T13" t="n">
        <v>3</v>
      </c>
      <c r="U13" t="n">
        <v>18</v>
      </c>
      <c r="V13" t="n">
        <v>7</v>
      </c>
      <c r="W13" t="inlineStr">
        <is>
          <t>Consome uma escolha</t>
        </is>
      </c>
      <c r="X13" t="inlineStr">
        <is>
          <t>Extensão de Domínio</t>
        </is>
      </c>
      <c r="Y13" t="b">
        <v>1</v>
      </c>
      <c r="Z13" t="inlineStr">
        <is>
          <t>—</t>
        </is>
      </c>
      <c r="AA13" t="b">
        <v>0</v>
      </c>
      <c r="BF13">
        <f>'DADOS_APTIDOES'!$O13</f>
        <v/>
      </c>
      <c r="BG13">
        <f>'DADOS_APTIDOES'!$R13</f>
        <v/>
      </c>
      <c r="BH13">
        <f>'DADOS_APTIDOES'!$T13</f>
        <v/>
      </c>
      <c r="BI13">
        <f>'DADOS_APTIDOES'!$Z13</f>
        <v/>
      </c>
      <c r="BJ13">
        <f>'DADOS_APTIDOES'!$S13</f>
        <v/>
      </c>
      <c r="BK13">
        <f>IF(AND(NOT('DADOS_APTIDOES'!$AA13),IF(DADOS_AM!$A$2=4,'DADOS_APTIDOES'!$N13="Bênção",AND(NOT('DADOS_APTIDOES'!$N13="Bênção"),NOT(AND(DADOS_AM!$A$2=3,'DADOS_APTIDOES'!$Y13))))),'DADOS_APTIDOES'!$O13,"")</f>
        <v/>
      </c>
      <c r="BL13">
        <f>N('DADOS_APTIDOES'!$N13="Bênção")</f>
        <v/>
      </c>
      <c r="BM13">
        <f>N('DADOS_APTIDOES'!$Y13)</f>
        <v/>
      </c>
      <c r="BN13">
        <f>IF('DADOS_APTIDOES'!$W13="Gratuita",1,0)</f>
        <v/>
      </c>
      <c r="BO13" t="inlineStr">
        <is>
          <t>Você precisa ter visto uma Extensão em uso, estudado seu funcionamento ou aprendido com alguém.</t>
        </is>
      </c>
      <c r="BQ13" t="inlineStr">
        <is>
          <t>Pétala</t>
        </is>
      </c>
      <c r="BS13" t="n">
        <v>12</v>
      </c>
    </row>
    <row r="14">
      <c r="N14" t="inlineStr">
        <is>
          <t>Aptidão</t>
        </is>
      </c>
      <c r="O14" t="inlineStr">
        <is>
          <t>Barreira Simples</t>
        </is>
      </c>
      <c r="P14">
        <f>""</f>
        <v/>
      </c>
      <c r="Q14" t="b">
        <v>0</v>
      </c>
      <c r="R14" t="inlineStr">
        <is>
          <t>Uma escolha de aptidão</t>
        </is>
      </c>
      <c r="S14"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T14" t="inlineStr">
        <is>
          <t>—</t>
        </is>
      </c>
      <c r="U14" t="n">
        <v>1</v>
      </c>
      <c r="V14" t="n">
        <v>1</v>
      </c>
      <c r="W14" t="inlineStr">
        <is>
          <t>Consome uma escolha</t>
        </is>
      </c>
      <c r="X14" t="inlineStr">
        <is>
          <t>Barreira Simples</t>
        </is>
      </c>
      <c r="Y14" t="b">
        <v>0</v>
      </c>
      <c r="Z14" t="inlineStr">
        <is>
          <t>—</t>
        </is>
      </c>
      <c r="AA14" t="b">
        <v>0</v>
      </c>
      <c r="BF14">
        <f>'DADOS_APTIDOES'!$O14</f>
        <v/>
      </c>
      <c r="BG14">
        <f>'DADOS_APTIDOES'!$R14</f>
        <v/>
      </c>
      <c r="BH14">
        <f>'DADOS_APTIDOES'!$T14</f>
        <v/>
      </c>
      <c r="BI14">
        <f>'DADOS_APTIDOES'!$Z14</f>
        <v/>
      </c>
      <c r="BJ14">
        <f>'DADOS_APTIDOES'!$S14</f>
        <v/>
      </c>
      <c r="BK14">
        <f>IF(AND(NOT('DADOS_APTIDOES'!$AA14),IF(DADOS_AM!$A$2=4,'DADOS_APTIDOES'!$N14="Bênção",AND(NOT('DADOS_APTIDOES'!$N14="Bênção"),NOT(AND(DADOS_AM!$A$2=3,'DADOS_APTIDOES'!$Y14))))),'DADOS_APTIDOES'!$O14,"")</f>
        <v/>
      </c>
      <c r="BL14">
        <f>N('DADOS_APTIDOES'!$N14="Bênção")</f>
        <v/>
      </c>
      <c r="BM14">
        <f>N('DADOS_APTIDOES'!$Y14)</f>
        <v/>
      </c>
      <c r="BN14">
        <f>IF('DADOS_APTIDOES'!$W14="Gratuita",1,0)</f>
        <v/>
      </c>
      <c r="BO14" t="inlineStr">
        <is>
          <t>Você ergue um domo fixo para impedir a passagem por um lugar.</t>
        </is>
      </c>
      <c r="BQ14" t="inlineStr">
        <is>
          <t>Extensão de Domínio</t>
        </is>
      </c>
      <c r="BS14" t="n">
        <v>13</v>
      </c>
    </row>
    <row r="15">
      <c r="N15" t="inlineStr">
        <is>
          <t>Aptidão</t>
        </is>
      </c>
      <c r="O15" t="inlineStr">
        <is>
          <t>Cortina</t>
        </is>
      </c>
      <c r="P15">
        <f>""</f>
        <v/>
      </c>
      <c r="Q15" t="b">
        <v>0</v>
      </c>
      <c r="R15" t="inlineStr">
        <is>
          <t>Barreira Simples</t>
        </is>
      </c>
      <c r="S15"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T15" t="inlineStr">
        <is>
          <t>—</t>
        </is>
      </c>
      <c r="U15" t="n">
        <v>1</v>
      </c>
      <c r="V15" t="n">
        <v>1</v>
      </c>
      <c r="W15" t="inlineStr">
        <is>
          <t>Consome uma escolha</t>
        </is>
      </c>
      <c r="X15" t="inlineStr">
        <is>
          <t>Cortina</t>
        </is>
      </c>
      <c r="Y15" t="b">
        <v>0</v>
      </c>
      <c r="Z15" t="inlineStr">
        <is>
          <t>Teto de 150 m no 1 a 3 · 300 m no 4 a 6 · 400 m no 7 ou mais</t>
        </is>
      </c>
      <c r="AA15" t="b">
        <v>0</v>
      </c>
      <c r="BF15">
        <f>'DADOS_APTIDOES'!$O15</f>
        <v/>
      </c>
      <c r="BG15">
        <f>'DADOS_APTIDOES'!$R15</f>
        <v/>
      </c>
      <c r="BH15">
        <f>'DADOS_APTIDOES'!$T15</f>
        <v/>
      </c>
      <c r="BI15">
        <f>'DADOS_APTIDOES'!$Z15</f>
        <v/>
      </c>
      <c r="BJ15">
        <f>'DADOS_APTIDOES'!$S15</f>
        <v/>
      </c>
      <c r="BK15">
        <f>IF(AND(NOT('DADOS_APTIDOES'!$AA15),IF(DADOS_AM!$A$2=4,'DADOS_APTIDOES'!$N15="Bênção",AND(NOT('DADOS_APTIDOES'!$N15="Bênção"),NOT(AND(DADOS_AM!$A$2=3,'DADOS_APTIDOES'!$Y15))))),'DADOS_APTIDOES'!$O15,"")</f>
        <v/>
      </c>
      <c r="BL15">
        <f>N('DADOS_APTIDOES'!$N15="Bênção")</f>
        <v/>
      </c>
      <c r="BM15">
        <f>N('DADOS_APTIDOES'!$Y15)</f>
        <v/>
      </c>
      <c r="BN15">
        <f>IF('DADOS_APTIDOES'!$W15="Gratuita",1,0)</f>
        <v/>
      </c>
      <c r="BO15" t="inlineStr">
        <is>
          <t>Você delimita uma área para esconder seu interior de pessoas que não são feiticeiras e controlar a passagem por suas bordas.</t>
        </is>
      </c>
      <c r="BQ15" t="inlineStr">
        <is>
          <t>Barreira Simples</t>
        </is>
      </c>
      <c r="BS15" t="n">
        <v>14</v>
      </c>
    </row>
    <row r="16">
      <c r="N16" t="inlineStr">
        <is>
          <t>Aptidão</t>
        </is>
      </c>
      <c r="O16" t="inlineStr">
        <is>
          <t>Ritual</t>
        </is>
      </c>
      <c r="P16">
        <f>""</f>
        <v/>
      </c>
      <c r="Q16" t="b">
        <v>0</v>
      </c>
      <c r="R16" t="inlineStr">
        <is>
          <t>Inteligência 5, nível 10 e Técnica Inata. Regras em Ritual e Pactos</t>
        </is>
      </c>
      <c r="S16"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T16" t="inlineStr">
        <is>
          <t>—</t>
        </is>
      </c>
      <c r="U16" t="n">
        <v>10</v>
      </c>
      <c r="V16" t="n">
        <v>1</v>
      </c>
      <c r="W16" t="inlineStr">
        <is>
          <t>Consome uma escolha</t>
        </is>
      </c>
      <c r="X16" t="inlineStr">
        <is>
          <t>Ritual</t>
        </is>
      </c>
      <c r="Y16" t="b">
        <v>0</v>
      </c>
      <c r="Z16" t="inlineStr">
        <is>
          <t>—</t>
        </is>
      </c>
      <c r="AA16" t="b">
        <v>0</v>
      </c>
      <c r="BF16">
        <f>'DADOS_APTIDOES'!$O16</f>
        <v/>
      </c>
      <c r="BG16">
        <f>'DADOS_APTIDOES'!$R16</f>
        <v/>
      </c>
      <c r="BH16">
        <f>'DADOS_APTIDOES'!$T16</f>
        <v/>
      </c>
      <c r="BI16">
        <f>'DADOS_APTIDOES'!$Z16</f>
        <v/>
      </c>
      <c r="BJ16">
        <f>'DADOS_APTIDOES'!$S16</f>
        <v/>
      </c>
      <c r="BK16">
        <f>IF(AND(NOT('DADOS_APTIDOES'!$AA16),IF(DADOS_AM!$A$2=4,'DADOS_APTIDOES'!$N16="Bênção",AND(NOT('DADOS_APTIDOES'!$N16="Bênção"),NOT(AND(DADOS_AM!$A$2=3,'DADOS_APTIDOES'!$Y16))))),'DADOS_APTIDOES'!$O16,"")</f>
        <v/>
      </c>
      <c r="BL16">
        <f>N('DADOS_APTIDOES'!$N16="Bênção")</f>
        <v/>
      </c>
      <c r="BM16">
        <f>N('DADOS_APTIDOES'!$Y16)</f>
        <v/>
      </c>
      <c r="BN16">
        <f>IF('DADOS_APTIDOES'!$W16="Gratuita",1,0)</f>
        <v/>
      </c>
      <c r="BO16" t="inlineStr">
        <is>
          <t>Um Ritual reforça um feitiço com gestos e recitação.</t>
        </is>
      </c>
      <c r="BQ16" t="inlineStr">
        <is>
          <t>Cortina</t>
        </is>
      </c>
      <c r="BS16" t="n">
        <v>15</v>
      </c>
    </row>
    <row r="17">
      <c r="N17" t="inlineStr">
        <is>
          <t>Aptidão</t>
        </is>
      </c>
      <c r="O17" t="inlineStr">
        <is>
          <t>Aptidão Própria (CE 1)</t>
        </is>
      </c>
      <c r="P17">
        <f>""</f>
        <v/>
      </c>
      <c r="Q17" t="b">
        <v>0</v>
      </c>
      <c r="R17" t="inlineStr">
        <is>
          <t>Uma única vez na ficha</t>
        </is>
      </c>
      <c r="S1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7" t="n">
        <v>1</v>
      </c>
      <c r="U17" t="n">
        <v>1</v>
      </c>
      <c r="V17" t="n">
        <v>1</v>
      </c>
      <c r="W17" t="inlineStr">
        <is>
          <t>Consome uma escolha</t>
        </is>
      </c>
      <c r="X17" t="inlineStr">
        <is>
          <t>Aptidão Própria (CE 1)</t>
        </is>
      </c>
      <c r="Y17" t="b">
        <v>0</v>
      </c>
      <c r="Z17" t="inlineStr">
        <is>
          <t>—</t>
        </is>
      </c>
      <c r="AA17" t="b">
        <v>0</v>
      </c>
      <c r="BF17">
        <f>'DADOS_APTIDOES'!$O17</f>
        <v/>
      </c>
      <c r="BG17">
        <f>'DADOS_APTIDOES'!$R17</f>
        <v/>
      </c>
      <c r="BH17">
        <f>'DADOS_APTIDOES'!$T17</f>
        <v/>
      </c>
      <c r="BI17">
        <f>'DADOS_APTIDOES'!$Z17</f>
        <v/>
      </c>
      <c r="BJ17">
        <f>'DADOS_APTIDOES'!$S17</f>
        <v/>
      </c>
      <c r="BK17">
        <f>IF(AND(NOT('DADOS_APTIDOES'!$AA17),IF(DADOS_AM!$A$2=4,'DADOS_APTIDOES'!$N17="Bênção",AND(NOT('DADOS_APTIDOES'!$N17="Bênção"),NOT(AND(DADOS_AM!$A$2=3,'DADOS_APTIDOES'!$Y17))))),'DADOS_APTIDOES'!$O17,"")</f>
        <v/>
      </c>
      <c r="BL17">
        <f>N('DADOS_APTIDOES'!$N17="Bênção")</f>
        <v/>
      </c>
      <c r="BM17">
        <f>N('DADOS_APTIDOES'!$Y17)</f>
        <v/>
      </c>
      <c r="BN17">
        <f>IF('DADOS_APTIDOES'!$W17="Gratuita",1,0)</f>
        <v/>
      </c>
      <c r="BO17" t="inlineStr">
        <is>
          <t>Você cria uma aptidão com o mestre antes da sessão; ele define o tamanho do efeito.</t>
        </is>
      </c>
      <c r="BQ17" t="inlineStr">
        <is>
          <t>Ritual</t>
        </is>
      </c>
      <c r="BS17" t="n">
        <v>16</v>
      </c>
    </row>
    <row r="18">
      <c r="N18" t="inlineStr">
        <is>
          <t>Aptidão</t>
        </is>
      </c>
      <c r="O18" t="inlineStr">
        <is>
          <t>Aptidão Própria (CE 2)</t>
        </is>
      </c>
      <c r="P18">
        <f>""</f>
        <v/>
      </c>
      <c r="Q18" t="b">
        <v>0</v>
      </c>
      <c r="R18" t="inlineStr">
        <is>
          <t>Uma única vez na ficha</t>
        </is>
      </c>
      <c r="S18"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8" t="n">
        <v>2</v>
      </c>
      <c r="U18" t="n">
        <v>1</v>
      </c>
      <c r="V18" t="n">
        <v>1</v>
      </c>
      <c r="W18" t="inlineStr">
        <is>
          <t>Consome uma escolha</t>
        </is>
      </c>
      <c r="X18" t="inlineStr">
        <is>
          <t>Aptidão Própria (CE 2)</t>
        </is>
      </c>
      <c r="Y18" t="b">
        <v>0</v>
      </c>
      <c r="Z18" t="inlineStr">
        <is>
          <t>—</t>
        </is>
      </c>
      <c r="AA18" t="b">
        <v>0</v>
      </c>
      <c r="BF18">
        <f>'DADOS_APTIDOES'!$O18</f>
        <v/>
      </c>
      <c r="BG18">
        <f>'DADOS_APTIDOES'!$R18</f>
        <v/>
      </c>
      <c r="BH18">
        <f>'DADOS_APTIDOES'!$T18</f>
        <v/>
      </c>
      <c r="BI18">
        <f>'DADOS_APTIDOES'!$Z18</f>
        <v/>
      </c>
      <c r="BJ18">
        <f>'DADOS_APTIDOES'!$S18</f>
        <v/>
      </c>
      <c r="BK18">
        <f>IF(AND(NOT('DADOS_APTIDOES'!$AA18),IF(DADOS_AM!$A$2=4,'DADOS_APTIDOES'!$N18="Bênção",AND(NOT('DADOS_APTIDOES'!$N18="Bênção"),NOT(AND(DADOS_AM!$A$2=3,'DADOS_APTIDOES'!$Y18))))),'DADOS_APTIDOES'!$O18,"")</f>
        <v/>
      </c>
      <c r="BL18">
        <f>N('DADOS_APTIDOES'!$N18="Bênção")</f>
        <v/>
      </c>
      <c r="BM18">
        <f>N('DADOS_APTIDOES'!$Y18)</f>
        <v/>
      </c>
      <c r="BN18">
        <f>IF('DADOS_APTIDOES'!$W18="Gratuita",1,0)</f>
        <v/>
      </c>
      <c r="BO18" t="inlineStr">
        <is>
          <t>Você cria uma aptidão com o mestre antes da sessão; ele define o tamanho do efeito.</t>
        </is>
      </c>
      <c r="BQ18" t="inlineStr">
        <is>
          <t>Aptidão Própria (CE 1)</t>
        </is>
      </c>
      <c r="BS18" t="n">
        <v>17</v>
      </c>
    </row>
    <row r="19">
      <c r="N19" t="inlineStr">
        <is>
          <t>Bênção</t>
        </is>
      </c>
      <c r="O19" t="inlineStr">
        <is>
          <t>Defesa sem Armadura</t>
        </is>
      </c>
      <c r="P19">
        <f>""</f>
        <v/>
      </c>
      <c r="Q19" t="b">
        <v>0</v>
      </c>
      <c r="R19" t="inlineStr">
        <is>
          <t>Gratuita na Lapidação 1</t>
        </is>
      </c>
      <c r="S1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T19" t="inlineStr">
        <is>
          <t>—</t>
        </is>
      </c>
      <c r="U19" t="n">
        <v>1</v>
      </c>
      <c r="V19" t="n">
        <v>1</v>
      </c>
      <c r="W19" t="inlineStr">
        <is>
          <t>Gratuita</t>
        </is>
      </c>
      <c r="X19" t="inlineStr">
        <is>
          <t>Defesa sem Armadura</t>
        </is>
      </c>
      <c r="Y19" t="b">
        <v>0</v>
      </c>
      <c r="Z19" t="inlineStr">
        <is>
          <t>Proteção</t>
        </is>
      </c>
      <c r="AA19" t="b">
        <v>1</v>
      </c>
      <c r="BF19">
        <f>'DADOS_APTIDOES'!$O19</f>
        <v/>
      </c>
      <c r="BG19">
        <f>'DADOS_APTIDOES'!$R19</f>
        <v/>
      </c>
      <c r="BH19">
        <f>'DADOS_APTIDOES'!$T19</f>
        <v/>
      </c>
      <c r="BI19">
        <f>'DADOS_APTIDOES'!$Z19</f>
        <v/>
      </c>
      <c r="BJ19">
        <f>'DADOS_APTIDOES'!$S19</f>
        <v/>
      </c>
      <c r="BK19">
        <f>IF(AND(NOT('DADOS_APTIDOES'!$AA19),IF(DADOS_AM!$A$2=4,'DADOS_APTIDOES'!$N19="Bênção",AND(NOT('DADOS_APTIDOES'!$N19="Bênção"),NOT(AND(DADOS_AM!$A$2=3,'DADOS_APTIDOES'!$Y19))))),'DADOS_APTIDOES'!$O19,"")</f>
        <v/>
      </c>
      <c r="BL19">
        <f>N('DADOS_APTIDOES'!$N19="Bênção")</f>
        <v/>
      </c>
      <c r="BM19">
        <f>N('DADOS_APTIDOES'!$Y19)</f>
        <v/>
      </c>
      <c r="BN19">
        <f>IF('DADOS_APTIDOES'!$W19="Gratuita",1,0)</f>
        <v/>
      </c>
      <c r="BO19" t="inlineStr">
        <is>
          <t>Enquanto não usar Traje nem Revestimento, você recebe proteção igual a um terço da Lapidação, arredondado para baixo, +1.</t>
        </is>
      </c>
      <c r="BQ19" t="inlineStr">
        <is>
          <t>Aptidão Própria (CE 2)</t>
        </is>
      </c>
      <c r="BS19" t="n">
        <v>18</v>
      </c>
    </row>
    <row r="20">
      <c r="N20" t="inlineStr">
        <is>
          <t>Bênção</t>
        </is>
      </c>
      <c r="O20" t="inlineStr">
        <is>
          <t>Estímulo Muscular</t>
        </is>
      </c>
      <c r="P20">
        <f>""</f>
        <v/>
      </c>
      <c r="Q20" t="b">
        <v>0</v>
      </c>
      <c r="R20" t="inlineStr">
        <is>
          <t>Gratuita na Lapidação 1</t>
        </is>
      </c>
      <c r="S2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T20" t="inlineStr">
        <is>
          <t>—</t>
        </is>
      </c>
      <c r="U20" t="n">
        <v>1</v>
      </c>
      <c r="V20" t="n">
        <v>1</v>
      </c>
      <c r="W20" t="inlineStr">
        <is>
          <t>Gratuita</t>
        </is>
      </c>
      <c r="X20" t="inlineStr">
        <is>
          <t>Estímulo Muscular</t>
        </is>
      </c>
      <c r="Y20" t="b">
        <v>0</v>
      </c>
      <c r="Z20" t="inlineStr">
        <is>
          <t>Dano adicional</t>
        </is>
      </c>
      <c r="AA20" t="b">
        <v>1</v>
      </c>
      <c r="BF20">
        <f>'DADOS_APTIDOES'!$O20</f>
        <v/>
      </c>
      <c r="BG20">
        <f>'DADOS_APTIDOES'!$R20</f>
        <v/>
      </c>
      <c r="BH20">
        <f>'DADOS_APTIDOES'!$T20</f>
        <v/>
      </c>
      <c r="BI20">
        <f>'DADOS_APTIDOES'!$Z20</f>
        <v/>
      </c>
      <c r="BJ20">
        <f>'DADOS_APTIDOES'!$S20</f>
        <v/>
      </c>
      <c r="BK20">
        <f>IF(AND(NOT('DADOS_APTIDOES'!$AA20),IF(DADOS_AM!$A$2=4,'DADOS_APTIDOES'!$N20="Bênção",AND(NOT('DADOS_APTIDOES'!$N20="Bênção"),NOT(AND(DADOS_AM!$A$2=3,'DADOS_APTIDOES'!$Y20))))),'DADOS_APTIDOES'!$O20,"")</f>
        <v/>
      </c>
      <c r="BL20">
        <f>N('DADOS_APTIDOES'!$N20="Bênção")</f>
        <v/>
      </c>
      <c r="BM20">
        <f>N('DADOS_APTIDOES'!$Y20)</f>
        <v/>
      </c>
      <c r="BN20">
        <f>IF('DADOS_APTIDOES'!$W20="Gratuita",1,0)</f>
        <v/>
      </c>
      <c r="BO20" t="inlineStr">
        <is>
          <t>Escolha uma perícia e um Teste de Resistência na criação.</t>
        </is>
      </c>
      <c r="BQ20" t="inlineStr">
        <is>
          <t>Defesa sem Armadura</t>
        </is>
      </c>
      <c r="BS20" t="n">
        <v>19</v>
      </c>
    </row>
    <row r="21">
      <c r="N21" t="inlineStr">
        <is>
          <t>Bênção</t>
        </is>
      </c>
      <c r="O21" t="inlineStr">
        <is>
          <t>Ímpeto</t>
        </is>
      </c>
      <c r="P21">
        <f>""</f>
        <v/>
      </c>
      <c r="Q21" t="b">
        <v>0</v>
      </c>
      <c r="R21" t="inlineStr">
        <is>
          <t>Lapidação 4 e Destreza 4</t>
        </is>
      </c>
      <c r="S21"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T21" t="n">
        <v>2</v>
      </c>
      <c r="U21" t="n">
        <v>1</v>
      </c>
      <c r="V21" t="n">
        <v>1</v>
      </c>
      <c r="W21" t="inlineStr">
        <is>
          <t>Consome uma escolha</t>
        </is>
      </c>
      <c r="X21" t="inlineStr">
        <is>
          <t>Ímpeto</t>
        </is>
      </c>
      <c r="Y21" t="b">
        <v>0</v>
      </c>
      <c r="Z21" t="inlineStr">
        <is>
          <t>—</t>
        </is>
      </c>
      <c r="AA21" t="b">
        <v>0</v>
      </c>
      <c r="BF21">
        <f>'DADOS_APTIDOES'!$O21</f>
        <v/>
      </c>
      <c r="BG21">
        <f>'DADOS_APTIDOES'!$R21</f>
        <v/>
      </c>
      <c r="BH21">
        <f>'DADOS_APTIDOES'!$T21</f>
        <v/>
      </c>
      <c r="BI21">
        <f>'DADOS_APTIDOES'!$Z21</f>
        <v/>
      </c>
      <c r="BJ21">
        <f>'DADOS_APTIDOES'!$S21</f>
        <v/>
      </c>
      <c r="BK21">
        <f>IF(AND(NOT('DADOS_APTIDOES'!$AA21),IF(DADOS_AM!$A$2=4,'DADOS_APTIDOES'!$N21="Bênção",AND(NOT('DADOS_APTIDOES'!$N21="Bênção"),NOT(AND(DADOS_AM!$A$2=3,'DADOS_APTIDOES'!$Y21))))),'DADOS_APTIDOES'!$O21,"")</f>
        <v/>
      </c>
      <c r="BL21">
        <f>N('DADOS_APTIDOES'!$N21="Bênção")</f>
        <v/>
      </c>
      <c r="BM21">
        <f>N('DADOS_APTIDOES'!$Y21)</f>
        <v/>
      </c>
      <c r="BN21">
        <f>IF('DADOS_APTIDOES'!$W21="Gratuita",1,0)</f>
        <v/>
      </c>
      <c r="BO21" t="inlineStr">
        <is>
          <t>Como Ação Bônus, mova-se até seu deslocamento sem provocar ataques de oportunidade.</t>
        </is>
      </c>
      <c r="BQ21" t="inlineStr">
        <is>
          <t>Estímulo Muscular</t>
        </is>
      </c>
      <c r="BS21" t="n">
        <v>20</v>
      </c>
    </row>
    <row r="22">
      <c r="N22" t="inlineStr">
        <is>
          <t>Bênção</t>
        </is>
      </c>
      <c r="O22" t="inlineStr">
        <is>
          <t>Casco</t>
        </is>
      </c>
      <c r="P22">
        <f>""</f>
        <v/>
      </c>
      <c r="Q22" t="b">
        <v>0</v>
      </c>
      <c r="R22" t="inlineStr">
        <is>
          <t>Lapidação 7 e Constituição 4</t>
        </is>
      </c>
      <c r="S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T22" t="n">
        <v>3</v>
      </c>
      <c r="U22" t="n">
        <v>1</v>
      </c>
      <c r="V22" t="n">
        <v>1</v>
      </c>
      <c r="W22" t="inlineStr">
        <is>
          <t>Consome uma escolha</t>
        </is>
      </c>
      <c r="X22" t="inlineStr">
        <is>
          <t>Casco</t>
        </is>
      </c>
      <c r="Y22" t="b">
        <v>0</v>
      </c>
      <c r="Z22" t="inlineStr">
        <is>
          <t>—</t>
        </is>
      </c>
      <c r="AA22" t="b">
        <v>0</v>
      </c>
      <c r="BF22">
        <f>'DADOS_APTIDOES'!$O22</f>
        <v/>
      </c>
      <c r="BG22">
        <f>'DADOS_APTIDOES'!$R22</f>
        <v/>
      </c>
      <c r="BH22">
        <f>'DADOS_APTIDOES'!$T22</f>
        <v/>
      </c>
      <c r="BI22">
        <f>'DADOS_APTIDOES'!$Z22</f>
        <v/>
      </c>
      <c r="BJ22">
        <f>'DADOS_APTIDOES'!$S22</f>
        <v/>
      </c>
      <c r="BK22">
        <f>IF(AND(NOT('DADOS_APTIDOES'!$AA22),IF(DADOS_AM!$A$2=4,'DADOS_APTIDOES'!$N22="Bênção",AND(NOT('DADOS_APTIDOES'!$N22="Bênção"),NOT(AND(DADOS_AM!$A$2=3,'DADOS_APTIDOES'!$Y22))))),'DADOS_APTIDOES'!$O22,"")</f>
        <v/>
      </c>
      <c r="BL22">
        <f>N('DADOS_APTIDOES'!$N22="Bênção")</f>
        <v/>
      </c>
      <c r="BM22">
        <f>N('DADOS_APTIDOES'!$Y22)</f>
        <v/>
      </c>
      <c r="BN22">
        <f>IF('DADOS_APTIDOES'!$W22="Gratuita",1,0)</f>
        <v/>
      </c>
      <c r="BO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BQ22" t="inlineStr">
        <is>
          <t>Ímpeto</t>
        </is>
      </c>
      <c r="BS22" t="n">
        <v>21</v>
      </c>
    </row>
    <row r="23">
      <c r="N23" t="inlineStr">
        <is>
          <t>Bênção</t>
        </is>
      </c>
      <c r="O23" t="inlineStr">
        <is>
          <t>Presilha</t>
        </is>
      </c>
      <c r="P23">
        <f>""</f>
        <v/>
      </c>
      <c r="Q23" t="b">
        <v>0</v>
      </c>
      <c r="R23" t="inlineStr">
        <is>
          <t>Lapidação 4 e Força 4</t>
        </is>
      </c>
      <c r="S2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T23" t="n">
        <v>2</v>
      </c>
      <c r="U23" t="n">
        <v>1</v>
      </c>
      <c r="V23" t="n">
        <v>1</v>
      </c>
      <c r="W23" t="inlineStr">
        <is>
          <t>Consome uma escolha</t>
        </is>
      </c>
      <c r="X23" t="inlineStr">
        <is>
          <t>Presilha</t>
        </is>
      </c>
      <c r="Y23" t="b">
        <v>0</v>
      </c>
      <c r="Z23" t="inlineStr">
        <is>
          <t>—</t>
        </is>
      </c>
      <c r="AA23" t="b">
        <v>0</v>
      </c>
      <c r="BF23">
        <f>'DADOS_APTIDOES'!$O23</f>
        <v/>
      </c>
      <c r="BG23">
        <f>'DADOS_APTIDOES'!$R23</f>
        <v/>
      </c>
      <c r="BH23">
        <f>'DADOS_APTIDOES'!$T23</f>
        <v/>
      </c>
      <c r="BI23">
        <f>'DADOS_APTIDOES'!$Z23</f>
        <v/>
      </c>
      <c r="BJ23">
        <f>'DADOS_APTIDOES'!$S23</f>
        <v/>
      </c>
      <c r="BK23">
        <f>IF(AND(NOT('DADOS_APTIDOES'!$AA23),IF(DADOS_AM!$A$2=4,'DADOS_APTIDOES'!$N23="Bênção",AND(NOT('DADOS_APTIDOES'!$N23="Bênção"),NOT(AND(DADOS_AM!$A$2=3,'DADOS_APTIDOES'!$Y23))))),'DADOS_APTIDOES'!$O23,"")</f>
        <v/>
      </c>
      <c r="BL23">
        <f>N('DADOS_APTIDOES'!$N23="Bênção")</f>
        <v/>
      </c>
      <c r="BM23">
        <f>N('DADOS_APTIDOES'!$Y23)</f>
        <v/>
      </c>
      <c r="BN23">
        <f>IF('DADOS_APTIDOES'!$W23="Gratuita",1,0)</f>
        <v/>
      </c>
      <c r="BO23" t="inlineStr">
        <is>
          <t>Uma vez por rodada, quando uma criatura passar num TR para evitar que você a agarre, derrube ou mova à força, pode obrigá-la a repetir esse TR.</t>
        </is>
      </c>
      <c r="BQ23" t="inlineStr">
        <is>
          <t>Casco</t>
        </is>
      </c>
      <c r="BS23" t="n">
        <v>22</v>
      </c>
    </row>
    <row r="24">
      <c r="N24" t="inlineStr">
        <is>
          <t>Bênção</t>
        </is>
      </c>
      <c r="O24" t="inlineStr">
        <is>
          <t>Vigília</t>
        </is>
      </c>
      <c r="P24">
        <f>""</f>
        <v/>
      </c>
      <c r="Q24" t="b">
        <v>0</v>
      </c>
      <c r="R24" t="inlineStr">
        <is>
          <t>Lapidação 4</t>
        </is>
      </c>
      <c r="S24"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T24" t="n">
        <v>2</v>
      </c>
      <c r="U24" t="n">
        <v>1</v>
      </c>
      <c r="V24" t="n">
        <v>1</v>
      </c>
      <c r="W24" t="inlineStr">
        <is>
          <t>Consome uma escolha</t>
        </is>
      </c>
      <c r="X24" t="inlineStr">
        <is>
          <t>Vigília</t>
        </is>
      </c>
      <c r="Y24" t="b">
        <v>0</v>
      </c>
      <c r="Z24" t="inlineStr">
        <is>
          <t>—</t>
        </is>
      </c>
      <c r="AA24" t="b">
        <v>0</v>
      </c>
      <c r="BF24">
        <f>'DADOS_APTIDOES'!$O24</f>
        <v/>
      </c>
      <c r="BG24">
        <f>'DADOS_APTIDOES'!$R24</f>
        <v/>
      </c>
      <c r="BH24">
        <f>'DADOS_APTIDOES'!$T24</f>
        <v/>
      </c>
      <c r="BI24">
        <f>'DADOS_APTIDOES'!$Z24</f>
        <v/>
      </c>
      <c r="BJ24">
        <f>'DADOS_APTIDOES'!$S24</f>
        <v/>
      </c>
      <c r="BK24">
        <f>IF(AND(NOT('DADOS_APTIDOES'!$AA24),IF(DADOS_AM!$A$2=4,'DADOS_APTIDOES'!$N24="Bênção",AND(NOT('DADOS_APTIDOES'!$N24="Bênção"),NOT(AND(DADOS_AM!$A$2=3,'DADOS_APTIDOES'!$Y24))))),'DADOS_APTIDOES'!$O24,"")</f>
        <v/>
      </c>
      <c r="BL24">
        <f>N('DADOS_APTIDOES'!$N24="Bênção")</f>
        <v/>
      </c>
      <c r="BM24">
        <f>N('DADOS_APTIDOES'!$Y24)</f>
        <v/>
      </c>
      <c r="BN24">
        <f>IF('DADOS_APTIDOES'!$W24="Gratuita",1,0)</f>
        <v/>
      </c>
      <c r="BO24" t="inlineStr">
        <is>
          <t>Ao aplicar as consequências de Exaustão, conte um estágio a menos, até o mínimo de zero.</t>
        </is>
      </c>
      <c r="BQ24" t="inlineStr">
        <is>
          <t>Presilha</t>
        </is>
      </c>
      <c r="BS24" t="n">
        <v>23</v>
      </c>
    </row>
    <row r="25">
      <c r="N25" t="inlineStr">
        <is>
          <t>Bênção</t>
        </is>
      </c>
      <c r="O25" t="inlineStr">
        <is>
          <t>Faro</t>
        </is>
      </c>
      <c r="P25">
        <f>""</f>
        <v/>
      </c>
      <c r="Q25" t="b">
        <v>0</v>
      </c>
      <c r="R25" t="inlineStr">
        <is>
          <t>Lapidação 1</t>
        </is>
      </c>
      <c r="S25"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T25" t="n">
        <v>1</v>
      </c>
      <c r="U25" t="n">
        <v>1</v>
      </c>
      <c r="V25" t="n">
        <v>1</v>
      </c>
      <c r="W25" t="inlineStr">
        <is>
          <t>Consome uma escolha</t>
        </is>
      </c>
      <c r="X25" t="inlineStr">
        <is>
          <t>Faro</t>
        </is>
      </c>
      <c r="Y25" t="b">
        <v>0</v>
      </c>
      <c r="Z25" t="inlineStr">
        <is>
          <t>—</t>
        </is>
      </c>
      <c r="AA25" t="b">
        <v>0</v>
      </c>
      <c r="BF25">
        <f>'DADOS_APTIDOES'!$O25</f>
        <v/>
      </c>
      <c r="BG25">
        <f>'DADOS_APTIDOES'!$R25</f>
        <v/>
      </c>
      <c r="BH25">
        <f>'DADOS_APTIDOES'!$T25</f>
        <v/>
      </c>
      <c r="BI25">
        <f>'DADOS_APTIDOES'!$Z25</f>
        <v/>
      </c>
      <c r="BJ25">
        <f>'DADOS_APTIDOES'!$S25</f>
        <v/>
      </c>
      <c r="BK25">
        <f>IF(AND(NOT('DADOS_APTIDOES'!$AA25),IF(DADOS_AM!$A$2=4,'DADOS_APTIDOES'!$N25="Bênção",AND(NOT('DADOS_APTIDOES'!$N25="Bênção"),NOT(AND(DADOS_AM!$A$2=3,'DADOS_APTIDOES'!$Y25))))),'DADOS_APTIDOES'!$O25,"")</f>
        <v/>
      </c>
      <c r="BL25">
        <f>N('DADOS_APTIDOES'!$N25="Bênção")</f>
        <v/>
      </c>
      <c r="BM25">
        <f>N('DADOS_APTIDOES'!$Y25)</f>
        <v/>
      </c>
      <c r="BN25">
        <f>IF('DADOS_APTIDOES'!$W25="Gratuita",1,0)</f>
        <v/>
      </c>
      <c r="BO25" t="inlineStr">
        <is>
          <t>Você pode seguir feiticeiros e maldições pelos vestígios físicos que deixaram: cheiro, marcas e objetos fora do lugar.</t>
        </is>
      </c>
      <c r="BQ25" t="inlineStr">
        <is>
          <t>Vigília</t>
        </is>
      </c>
      <c r="BS25" t="n">
        <v>24</v>
      </c>
    </row>
    <row r="26">
      <c r="N26" t="inlineStr">
        <is>
          <t>Bênção</t>
        </is>
      </c>
      <c r="O26" t="inlineStr">
        <is>
          <t>Sem Pegada</t>
        </is>
      </c>
      <c r="P26">
        <f>""</f>
        <v/>
      </c>
      <c r="Q26" t="b">
        <v>0</v>
      </c>
      <c r="R26" t="inlineStr">
        <is>
          <t>Lapidação 1</t>
        </is>
      </c>
      <c r="S26"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T26" t="n">
        <v>1</v>
      </c>
      <c r="U26" t="n">
        <v>1</v>
      </c>
      <c r="V26" t="n">
        <v>1</v>
      </c>
      <c r="W26" t="inlineStr">
        <is>
          <t>Consome uma escolha</t>
        </is>
      </c>
      <c r="X26" t="inlineStr">
        <is>
          <t>Sem Pegada</t>
        </is>
      </c>
      <c r="Y26" t="b">
        <v>0</v>
      </c>
      <c r="Z26" t="inlineStr">
        <is>
          <t>—</t>
        </is>
      </c>
      <c r="AA26" t="b">
        <v>0</v>
      </c>
      <c r="BF26">
        <f>'DADOS_APTIDOES'!$O26</f>
        <v/>
      </c>
      <c r="BG26">
        <f>'DADOS_APTIDOES'!$R26</f>
        <v/>
      </c>
      <c r="BH26">
        <f>'DADOS_APTIDOES'!$T26</f>
        <v/>
      </c>
      <c r="BI26">
        <f>'DADOS_APTIDOES'!$Z26</f>
        <v/>
      </c>
      <c r="BJ26">
        <f>'DADOS_APTIDOES'!$S26</f>
        <v/>
      </c>
      <c r="BK26">
        <f>IF(AND(NOT('DADOS_APTIDOES'!$AA26),IF(DADOS_AM!$A$2=4,'DADOS_APTIDOES'!$N26="Bênção",AND(NOT('DADOS_APTIDOES'!$N26="Bênção"),NOT(AND(DADOS_AM!$A$2=3,'DADOS_APTIDOES'!$Y26))))),'DADOS_APTIDOES'!$O26,"")</f>
        <v/>
      </c>
      <c r="BL26">
        <f>N('DADOS_APTIDOES'!$N26="Bênção")</f>
        <v/>
      </c>
      <c r="BM26">
        <f>N('DADOS_APTIDOES'!$Y26)</f>
        <v/>
      </c>
      <c r="BN26">
        <f>IF('DADOS_APTIDOES'!$W26="Gratuita",1,0)</f>
        <v/>
      </c>
      <c r="BO26" t="inlineStr">
        <is>
          <t>Sua passagem não deixa pegadas, cheiro, marcas ou som de passos que possam servir de rastro.</t>
        </is>
      </c>
      <c r="BQ26" t="inlineStr">
        <is>
          <t>Faro</t>
        </is>
      </c>
      <c r="BS26" t="n">
        <v>25</v>
      </c>
    </row>
    <row r="27">
      <c r="N27" t="inlineStr">
        <is>
          <t>Bênção</t>
        </is>
      </c>
      <c r="O27" t="inlineStr">
        <is>
          <t>Vulto</t>
        </is>
      </c>
      <c r="P27">
        <f>""</f>
        <v/>
      </c>
      <c r="Q27" t="b">
        <v>0</v>
      </c>
      <c r="R27" t="inlineStr">
        <is>
          <t>Lapidação 4</t>
        </is>
      </c>
      <c r="S2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T27" t="n">
        <v>2</v>
      </c>
      <c r="U27" t="n">
        <v>1</v>
      </c>
      <c r="V27" t="n">
        <v>1</v>
      </c>
      <c r="W27" t="inlineStr">
        <is>
          <t>Consome uma escolha</t>
        </is>
      </c>
      <c r="X27" t="inlineStr">
        <is>
          <t>Vulto</t>
        </is>
      </c>
      <c r="Y27" t="b">
        <v>0</v>
      </c>
      <c r="Z27" t="inlineStr">
        <is>
          <t>—</t>
        </is>
      </c>
      <c r="AA27" t="b">
        <v>0</v>
      </c>
      <c r="BF27">
        <f>'DADOS_APTIDOES'!$O27</f>
        <v/>
      </c>
      <c r="BG27">
        <f>'DADOS_APTIDOES'!$R27</f>
        <v/>
      </c>
      <c r="BH27">
        <f>'DADOS_APTIDOES'!$T27</f>
        <v/>
      </c>
      <c r="BI27">
        <f>'DADOS_APTIDOES'!$Z27</f>
        <v/>
      </c>
      <c r="BJ27">
        <f>'DADOS_APTIDOES'!$S27</f>
        <v/>
      </c>
      <c r="BK27">
        <f>IF(AND(NOT('DADOS_APTIDOES'!$AA27),IF(DADOS_AM!$A$2=4,'DADOS_APTIDOES'!$N27="Bênção",AND(NOT('DADOS_APTIDOES'!$N27="Bênção"),NOT(AND(DADOS_AM!$A$2=3,'DADOS_APTIDOES'!$Y27))))),'DADOS_APTIDOES'!$O27,"")</f>
        <v/>
      </c>
      <c r="BL27">
        <f>N('DADOS_APTIDOES'!$N27="Bênção")</f>
        <v/>
      </c>
      <c r="BM27">
        <f>N('DADOS_APTIDOES'!$Y27)</f>
        <v/>
      </c>
      <c r="BN27">
        <f>IF('DADOS_APTIDOES'!$W27="Gratuita",1,0)</f>
        <v/>
      </c>
      <c r="BO27" t="inlineStr">
        <is>
          <t>Você possui visão às cegas a até 1,5 m × metade da Lapidação, arredondada para baixo.</t>
        </is>
      </c>
      <c r="BQ27" t="inlineStr">
        <is>
          <t>Sem Pegada</t>
        </is>
      </c>
      <c r="BS27" t="n">
        <v>26</v>
      </c>
    </row>
    <row r="28">
      <c r="N28" t="inlineStr">
        <is>
          <t>Bênção</t>
        </is>
      </c>
      <c r="O28" t="inlineStr">
        <is>
          <t>Esteio</t>
        </is>
      </c>
      <c r="P28">
        <f>""</f>
        <v/>
      </c>
      <c r="Q28" t="b">
        <v>0</v>
      </c>
      <c r="R28" t="inlineStr">
        <is>
          <t>Lapidação 7</t>
        </is>
      </c>
      <c r="S28"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T28" t="n">
        <v>3</v>
      </c>
      <c r="U28" t="n">
        <v>1</v>
      </c>
      <c r="V28" t="n">
        <v>1</v>
      </c>
      <c r="W28" t="inlineStr">
        <is>
          <t>Consome uma escolha</t>
        </is>
      </c>
      <c r="X28" t="inlineStr">
        <is>
          <t>Esteio</t>
        </is>
      </c>
      <c r="Y28" t="b">
        <v>0</v>
      </c>
      <c r="Z28" t="inlineStr">
        <is>
          <t>—</t>
        </is>
      </c>
      <c r="AA28" t="b">
        <v>0</v>
      </c>
      <c r="BF28">
        <f>'DADOS_APTIDOES'!$O28</f>
        <v/>
      </c>
      <c r="BG28">
        <f>'DADOS_APTIDOES'!$R28</f>
        <v/>
      </c>
      <c r="BH28">
        <f>'DADOS_APTIDOES'!$T28</f>
        <v/>
      </c>
      <c r="BI28">
        <f>'DADOS_APTIDOES'!$Z28</f>
        <v/>
      </c>
      <c r="BJ28">
        <f>'DADOS_APTIDOES'!$S28</f>
        <v/>
      </c>
      <c r="BK28">
        <f>IF(AND(NOT('DADOS_APTIDOES'!$AA28),IF(DADOS_AM!$A$2=4,'DADOS_APTIDOES'!$N28="Bênção",AND(NOT('DADOS_APTIDOES'!$N28="Bênção"),NOT(AND(DADOS_AM!$A$2=3,'DADOS_APTIDOES'!$Y28))))),'DADOS_APTIDOES'!$O28,"")</f>
        <v/>
      </c>
      <c r="BL28">
        <f>N('DADOS_APTIDOES'!$N28="Bênção")</f>
        <v/>
      </c>
      <c r="BM28">
        <f>N('DADOS_APTIDOES'!$Y28)</f>
        <v/>
      </c>
      <c r="BN28">
        <f>IF('DADOS_APTIDOES'!$W28="Gratuita",1,0)</f>
        <v/>
      </c>
      <c r="BO28" t="inlineStr">
        <is>
          <t>Ao adquirir a Bênção, escolha um TR: Físico, Vigor, Intelecto ou Espírito.</t>
        </is>
      </c>
      <c r="BQ28" t="inlineStr">
        <is>
          <t>Vulto</t>
        </is>
      </c>
      <c r="BS28" t="n">
        <v>27</v>
      </c>
    </row>
    <row r="29">
      <c r="N29" t="inlineStr">
        <is>
          <t>Bênção</t>
        </is>
      </c>
      <c r="O29" t="inlineStr">
        <is>
          <t>Antecipar</t>
        </is>
      </c>
      <c r="P29">
        <f>""</f>
        <v/>
      </c>
      <c r="Q29" t="b">
        <v>0</v>
      </c>
      <c r="R29" t="inlineStr">
        <is>
          <t>Lapidação 4 e Inteligência 4</t>
        </is>
      </c>
      <c r="S2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T29" t="n">
        <v>2</v>
      </c>
      <c r="U29" t="n">
        <v>1</v>
      </c>
      <c r="V29" t="n">
        <v>1</v>
      </c>
      <c r="W29" t="inlineStr">
        <is>
          <t>Consome uma escolha</t>
        </is>
      </c>
      <c r="X29" t="inlineStr">
        <is>
          <t>Antecipar</t>
        </is>
      </c>
      <c r="Y29" t="b">
        <v>0</v>
      </c>
      <c r="Z29" t="inlineStr">
        <is>
          <t>—</t>
        </is>
      </c>
      <c r="AA29" t="b">
        <v>0</v>
      </c>
      <c r="BF29">
        <f>'DADOS_APTIDOES'!$O29</f>
        <v/>
      </c>
      <c r="BG29">
        <f>'DADOS_APTIDOES'!$R29</f>
        <v/>
      </c>
      <c r="BH29">
        <f>'DADOS_APTIDOES'!$T29</f>
        <v/>
      </c>
      <c r="BI29">
        <f>'DADOS_APTIDOES'!$Z29</f>
        <v/>
      </c>
      <c r="BJ29">
        <f>'DADOS_APTIDOES'!$S29</f>
        <v/>
      </c>
      <c r="BK29">
        <f>IF(AND(NOT('DADOS_APTIDOES'!$AA29),IF(DADOS_AM!$A$2=4,'DADOS_APTIDOES'!$N29="Bênção",AND(NOT('DADOS_APTIDOES'!$N29="Bênção"),NOT(AND(DADOS_AM!$A$2=3,'DADOS_APTIDOES'!$Y29))))),'DADOS_APTIDOES'!$O29,"")</f>
        <v/>
      </c>
      <c r="BL29">
        <f>N('DADOS_APTIDOES'!$N29="Bênção")</f>
        <v/>
      </c>
      <c r="BM29">
        <f>N('DADOS_APTIDOES'!$Y29)</f>
        <v/>
      </c>
      <c r="BN29">
        <f>IF('DADOS_APTIDOES'!$W29="Gratuita",1,0)</f>
        <v/>
      </c>
      <c r="BO29" t="inlineStr">
        <is>
          <t>Depois de falhar num TR contra um efeito, você recebe vantagem nos próximos TRs contra esse mesmo efeito, produzido pela mesma fonte, até o fim da cena.</t>
        </is>
      </c>
      <c r="BQ29" t="inlineStr">
        <is>
          <t>Esteio</t>
        </is>
      </c>
      <c r="BS29" t="n">
        <v>28</v>
      </c>
    </row>
    <row r="30">
      <c r="N30" t="inlineStr">
        <is>
          <t>Bênção</t>
        </is>
      </c>
      <c r="O30" t="inlineStr">
        <is>
          <t>Represália</t>
        </is>
      </c>
      <c r="P30">
        <f>""</f>
        <v/>
      </c>
      <c r="Q30" t="b">
        <v>0</v>
      </c>
      <c r="R30" t="inlineStr">
        <is>
          <t>Lapidação 4 e Força 4 ou Destreza 4</t>
        </is>
      </c>
      <c r="S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T30" t="n">
        <v>2</v>
      </c>
      <c r="U30" t="n">
        <v>1</v>
      </c>
      <c r="V30" t="n">
        <v>1</v>
      </c>
      <c r="W30" t="inlineStr">
        <is>
          <t>Consome uma escolha</t>
        </is>
      </c>
      <c r="X30" t="inlineStr">
        <is>
          <t>Represália</t>
        </is>
      </c>
      <c r="Y30" t="b">
        <v>0</v>
      </c>
      <c r="Z30" t="inlineStr">
        <is>
          <t>—</t>
        </is>
      </c>
      <c r="AA30" t="b">
        <v>0</v>
      </c>
      <c r="BF30">
        <f>'DADOS_APTIDOES'!$O30</f>
        <v/>
      </c>
      <c r="BG30">
        <f>'DADOS_APTIDOES'!$R30</f>
        <v/>
      </c>
      <c r="BH30">
        <f>'DADOS_APTIDOES'!$T30</f>
        <v/>
      </c>
      <c r="BI30">
        <f>'DADOS_APTIDOES'!$Z30</f>
        <v/>
      </c>
      <c r="BJ30">
        <f>'DADOS_APTIDOES'!$S30</f>
        <v/>
      </c>
      <c r="BK30">
        <f>IF(AND(NOT('DADOS_APTIDOES'!$AA30),IF(DADOS_AM!$A$2=4,'DADOS_APTIDOES'!$N30="Bênção",AND(NOT('DADOS_APTIDOES'!$N30="Bênção"),NOT(AND(DADOS_AM!$A$2=3,'DADOS_APTIDOES'!$Y30))))),'DADOS_APTIDOES'!$O30,"")</f>
        <v/>
      </c>
      <c r="BL30">
        <f>N('DADOS_APTIDOES'!$N30="Bênção")</f>
        <v/>
      </c>
      <c r="BM30">
        <f>N('DADOS_APTIDOES'!$Y30)</f>
        <v/>
      </c>
      <c r="BN30">
        <f>IF('DADOS_APTIDOES'!$W30="Gratuita",1,0)</f>
        <v/>
      </c>
      <c r="BO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BQ30" t="inlineStr">
        <is>
          <t>Antecipar</t>
        </is>
      </c>
      <c r="BS30" t="n">
        <v>29</v>
      </c>
    </row>
    <row r="31">
      <c r="N31" t="inlineStr">
        <is>
          <t>Bênção</t>
        </is>
      </c>
      <c r="O31" t="inlineStr">
        <is>
          <t>Sangue Frio</t>
        </is>
      </c>
      <c r="P31">
        <f>""</f>
        <v/>
      </c>
      <c r="Q31" t="b">
        <v>0</v>
      </c>
      <c r="R31" t="inlineStr">
        <is>
          <t>Lapidação 7 e Constituição 4</t>
        </is>
      </c>
      <c r="S31"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T31" t="n">
        <v>3</v>
      </c>
      <c r="U31" t="n">
        <v>1</v>
      </c>
      <c r="V31" t="n">
        <v>1</v>
      </c>
      <c r="W31" t="inlineStr">
        <is>
          <t>Consome uma escolha</t>
        </is>
      </c>
      <c r="X31" t="inlineStr">
        <is>
          <t>Sangue Frio</t>
        </is>
      </c>
      <c r="Y31" t="b">
        <v>0</v>
      </c>
      <c r="Z31" t="inlineStr">
        <is>
          <t>—</t>
        </is>
      </c>
      <c r="AA31" t="b">
        <v>0</v>
      </c>
      <c r="BF31">
        <f>'DADOS_APTIDOES'!$O31</f>
        <v/>
      </c>
      <c r="BG31">
        <f>'DADOS_APTIDOES'!$R31</f>
        <v/>
      </c>
      <c r="BH31">
        <f>'DADOS_APTIDOES'!$T31</f>
        <v/>
      </c>
      <c r="BI31">
        <f>'DADOS_APTIDOES'!$Z31</f>
        <v/>
      </c>
      <c r="BJ31">
        <f>'DADOS_APTIDOES'!$S31</f>
        <v/>
      </c>
      <c r="BK31">
        <f>IF(AND(NOT('DADOS_APTIDOES'!$AA31),IF(DADOS_AM!$A$2=4,'DADOS_APTIDOES'!$N31="Bênção",AND(NOT('DADOS_APTIDOES'!$N31="Bênção"),NOT(AND(DADOS_AM!$A$2=3,'DADOS_APTIDOES'!$Y31))))),'DADOS_APTIDOES'!$O31,"")</f>
        <v/>
      </c>
      <c r="BL31">
        <f>N('DADOS_APTIDOES'!$N31="Bênção")</f>
        <v/>
      </c>
      <c r="BM31">
        <f>N('DADOS_APTIDOES'!$Y31)</f>
        <v/>
      </c>
      <c r="BN31">
        <f>IF('DADOS_APTIDOES'!$W31="Gratuita",1,0)</f>
        <v/>
      </c>
      <c r="BO31" t="inlineStr">
        <is>
          <t>Você tem vantagem nos TRs contra feitiços e contra aptidões que custem ação ou Reação produzidos por uma criatura a até 3 m de você.</t>
        </is>
      </c>
      <c r="BQ31" t="inlineStr">
        <is>
          <t>Represália</t>
        </is>
      </c>
      <c r="BS31" t="n">
        <v>30</v>
      </c>
    </row>
    <row r="32">
      <c r="N32" t="inlineStr">
        <is>
          <t>Bênção</t>
        </is>
      </c>
      <c r="O32" t="inlineStr">
        <is>
          <t>Campo</t>
        </is>
      </c>
      <c r="P32">
        <f>""</f>
        <v/>
      </c>
      <c r="Q32" t="b">
        <v>0</v>
      </c>
      <c r="R32" t="inlineStr">
        <is>
          <t>Lapidação 1</t>
        </is>
      </c>
      <c r="S32" t="inlineStr">
        <is>
          <t>Uma vez por cena, você pode realizar Estudar como Ação Bônus, em vez de Ação Padrão. Use a ação descrita em Ações — Estudar, com seus alvos, testes e informações disponíveis.</t>
        </is>
      </c>
      <c r="T32" t="n">
        <v>1</v>
      </c>
      <c r="U32" t="n">
        <v>1</v>
      </c>
      <c r="V32" t="n">
        <v>1</v>
      </c>
      <c r="W32" t="inlineStr">
        <is>
          <t>Consome uma escolha</t>
        </is>
      </c>
      <c r="X32" t="inlineStr">
        <is>
          <t>Campo</t>
        </is>
      </c>
      <c r="Y32" t="b">
        <v>0</v>
      </c>
      <c r="Z32" t="inlineStr">
        <is>
          <t>—</t>
        </is>
      </c>
      <c r="AA32" t="b">
        <v>0</v>
      </c>
      <c r="BF32">
        <f>'DADOS_APTIDOES'!$O32</f>
        <v/>
      </c>
      <c r="BG32">
        <f>'DADOS_APTIDOES'!$R32</f>
        <v/>
      </c>
      <c r="BH32">
        <f>'DADOS_APTIDOES'!$T32</f>
        <v/>
      </c>
      <c r="BI32">
        <f>'DADOS_APTIDOES'!$Z32</f>
        <v/>
      </c>
      <c r="BJ32">
        <f>'DADOS_APTIDOES'!$S32</f>
        <v/>
      </c>
      <c r="BK32">
        <f>IF(AND(NOT('DADOS_APTIDOES'!$AA32),IF(DADOS_AM!$A$2=4,'DADOS_APTIDOES'!$N32="Bênção",AND(NOT('DADOS_APTIDOES'!$N32="Bênção"),NOT(AND(DADOS_AM!$A$2=3,'DADOS_APTIDOES'!$Y32))))),'DADOS_APTIDOES'!$O32,"")</f>
        <v/>
      </c>
      <c r="BL32">
        <f>N('DADOS_APTIDOES'!$N32="Bênção")</f>
        <v/>
      </c>
      <c r="BM32">
        <f>N('DADOS_APTIDOES'!$Y32)</f>
        <v/>
      </c>
      <c r="BN32">
        <f>IF('DADOS_APTIDOES'!$W32="Gratuita",1,0)</f>
        <v/>
      </c>
      <c r="BO32" t="inlineStr">
        <is>
          <t>Uma vez por cena, você pode realizar Estudar como Ação Bônus, em vez de Ação Padrão. Use a ação descrita em Ações — Estudar, com seus alvos, testes e informações disponíveis.</t>
        </is>
      </c>
      <c r="BQ32" t="inlineStr">
        <is>
          <t>Sangue Frio</t>
        </is>
      </c>
    </row>
    <row r="33">
      <c r="N33" t="inlineStr">
        <is>
          <t>Bênção</t>
        </is>
      </c>
      <c r="O33" t="inlineStr">
        <is>
          <t>Assombro</t>
        </is>
      </c>
      <c r="P33">
        <f>""</f>
        <v/>
      </c>
      <c r="Q33" t="b">
        <v>0</v>
      </c>
      <c r="R33" t="inlineStr">
        <is>
          <t>Lapidação 1 e Essência 4</t>
        </is>
      </c>
      <c r="S3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T33" t="n">
        <v>1</v>
      </c>
      <c r="U33" t="n">
        <v>1</v>
      </c>
      <c r="V33" t="n">
        <v>1</v>
      </c>
      <c r="W33" t="inlineStr">
        <is>
          <t>Consome uma escolha</t>
        </is>
      </c>
      <c r="X33" t="inlineStr">
        <is>
          <t>Assombro</t>
        </is>
      </c>
      <c r="Y33" t="b">
        <v>0</v>
      </c>
      <c r="Z33" t="inlineStr">
        <is>
          <t>—</t>
        </is>
      </c>
      <c r="AA33" t="b">
        <v>0</v>
      </c>
      <c r="BF33">
        <f>'DADOS_APTIDOES'!$O33</f>
        <v/>
      </c>
      <c r="BG33">
        <f>'DADOS_APTIDOES'!$R33</f>
        <v/>
      </c>
      <c r="BH33">
        <f>'DADOS_APTIDOES'!$T33</f>
        <v/>
      </c>
      <c r="BI33">
        <f>'DADOS_APTIDOES'!$Z33</f>
        <v/>
      </c>
      <c r="BJ33">
        <f>'DADOS_APTIDOES'!$S33</f>
        <v/>
      </c>
      <c r="BK33">
        <f>IF(AND(NOT('DADOS_APTIDOES'!$AA33),IF(DADOS_AM!$A$2=4,'DADOS_APTIDOES'!$N33="Bênção",AND(NOT('DADOS_APTIDOES'!$N33="Bênção"),NOT(AND(DADOS_AM!$A$2=3,'DADOS_APTIDOES'!$Y33))))),'DADOS_APTIDOES'!$O33,"")</f>
        <v/>
      </c>
      <c r="BL33">
        <f>N('DADOS_APTIDOES'!$N33="Bênção")</f>
        <v/>
      </c>
      <c r="BM33">
        <f>N('DADOS_APTIDOES'!$Y33)</f>
        <v/>
      </c>
      <c r="BN33">
        <f>IF('DADOS_APTIDOES'!$W33="Gratuita",1,0)</f>
        <v/>
      </c>
      <c r="BO33" t="inlineStr">
        <is>
          <t>Uma vez por cena, ao entrar nela ou ser visto pela primeira vez, escolha até metade de sua Lapidação, arredondada para baixo, mínimo 1, entre as criaturas presentes que enxerguem você.</t>
        </is>
      </c>
      <c r="BQ33" t="inlineStr">
        <is>
          <t>Campo</t>
        </is>
      </c>
    </row>
    <row r="34">
      <c r="N34" t="inlineStr">
        <is>
          <t>Bênção</t>
        </is>
      </c>
      <c r="O34" t="inlineStr">
        <is>
          <t>Bênção Própria (CE 1)</t>
        </is>
      </c>
      <c r="P34">
        <f>""</f>
        <v/>
      </c>
      <c r="Q34" t="b">
        <v>0</v>
      </c>
      <c r="R34" t="inlineStr">
        <is>
          <t>Uma por personagem</t>
        </is>
      </c>
      <c r="S34"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4" t="n">
        <v>1</v>
      </c>
      <c r="U34" t="n">
        <v>1</v>
      </c>
      <c r="V34" t="n">
        <v>1</v>
      </c>
      <c r="W34" t="inlineStr">
        <is>
          <t>Consome uma escolha</t>
        </is>
      </c>
      <c r="X34" t="inlineStr">
        <is>
          <t>Bênção Própria (CE 1)</t>
        </is>
      </c>
      <c r="Y34" t="b">
        <v>0</v>
      </c>
      <c r="Z34" t="inlineStr">
        <is>
          <t>—</t>
        </is>
      </c>
      <c r="AA34" t="b">
        <v>0</v>
      </c>
      <c r="BF34">
        <f>'DADOS_APTIDOES'!$O34</f>
        <v/>
      </c>
      <c r="BG34">
        <f>'DADOS_APTIDOES'!$R34</f>
        <v/>
      </c>
      <c r="BH34">
        <f>'DADOS_APTIDOES'!$T34</f>
        <v/>
      </c>
      <c r="BI34">
        <f>'DADOS_APTIDOES'!$Z34</f>
        <v/>
      </c>
      <c r="BJ34">
        <f>'DADOS_APTIDOES'!$S34</f>
        <v/>
      </c>
      <c r="BK34">
        <f>IF(AND(NOT('DADOS_APTIDOES'!$AA34),IF(DADOS_AM!$A$2=4,'DADOS_APTIDOES'!$N34="Bênção",AND(NOT('DADOS_APTIDOES'!$N34="Bênção"),NOT(AND(DADOS_AM!$A$2=3,'DADOS_APTIDOES'!$Y34))))),'DADOS_APTIDOES'!$O34,"")</f>
        <v/>
      </c>
      <c r="BL34">
        <f>N('DADOS_APTIDOES'!$N34="Bênção")</f>
        <v/>
      </c>
      <c r="BM34">
        <f>N('DADOS_APTIDOES'!$Y34)</f>
        <v/>
      </c>
      <c r="BN34">
        <f>IF('DADOS_APTIDOES'!$W34="Gratuita",1,0)</f>
        <v/>
      </c>
      <c r="BO34" t="inlineStr">
        <is>
          <t>Você pode desenvolver uma Bênção Própria por personagem, de Categoria de Efeito 1 ou 2.</t>
        </is>
      </c>
      <c r="BQ34" t="inlineStr">
        <is>
          <t>Assombro</t>
        </is>
      </c>
    </row>
    <row r="35">
      <c r="N35" t="inlineStr">
        <is>
          <t>Bênção</t>
        </is>
      </c>
      <c r="O35" t="inlineStr">
        <is>
          <t>Bênção Própria (CE 2)</t>
        </is>
      </c>
      <c r="P35">
        <f>""</f>
        <v/>
      </c>
      <c r="Q35" t="b">
        <v>0</v>
      </c>
      <c r="R35" t="inlineStr">
        <is>
          <t>Uma por personagem</t>
        </is>
      </c>
      <c r="S35"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5" t="n">
        <v>2</v>
      </c>
      <c r="U35" t="n">
        <v>1</v>
      </c>
      <c r="V35" t="n">
        <v>1</v>
      </c>
      <c r="W35" t="inlineStr">
        <is>
          <t>Consome uma escolha</t>
        </is>
      </c>
      <c r="X35" t="inlineStr">
        <is>
          <t>Bênção Própria (CE 2)</t>
        </is>
      </c>
      <c r="Y35" t="b">
        <v>0</v>
      </c>
      <c r="Z35" t="inlineStr">
        <is>
          <t>—</t>
        </is>
      </c>
      <c r="AA35" t="b">
        <v>0</v>
      </c>
      <c r="BF35">
        <f>'DADOS_APTIDOES'!$O35</f>
        <v/>
      </c>
      <c r="BG35">
        <f>'DADOS_APTIDOES'!$R35</f>
        <v/>
      </c>
      <c r="BH35">
        <f>'DADOS_APTIDOES'!$T35</f>
        <v/>
      </c>
      <c r="BI35">
        <f>'DADOS_APTIDOES'!$Z35</f>
        <v/>
      </c>
      <c r="BJ35">
        <f>'DADOS_APTIDOES'!$S35</f>
        <v/>
      </c>
      <c r="BK35">
        <f>IF(AND(NOT('DADOS_APTIDOES'!$AA35),IF(DADOS_AM!$A$2=4,'DADOS_APTIDOES'!$N35="Bênção",AND(NOT('DADOS_APTIDOES'!$N35="Bênção"),NOT(AND(DADOS_AM!$A$2=3,'DADOS_APTIDOES'!$Y35))))),'DADOS_APTIDOES'!$O35,"")</f>
        <v/>
      </c>
      <c r="BL35">
        <f>N('DADOS_APTIDOES'!$N35="Bênção")</f>
        <v/>
      </c>
      <c r="BM35">
        <f>N('DADOS_APTIDOES'!$Y35)</f>
        <v/>
      </c>
      <c r="BN35">
        <f>IF('DADOS_APTIDOES'!$W35="Gratuita",1,0)</f>
        <v/>
      </c>
      <c r="BO35" t="inlineStr">
        <is>
          <t>Você pode desenvolver uma Bênção Própria por personagem, de Categoria de Efeito 1 ou 2.</t>
        </is>
      </c>
      <c r="BQ35" t="inlineStr">
        <is>
          <t>Bênção Própria (CE 1)</t>
        </is>
      </c>
    </row>
    <row r="36">
      <c r="N36">
        <f>IF(AND($M2,$K2=""),$AD2,"")</f>
        <v/>
      </c>
      <c r="O36">
        <f>IF(AND($M2,$K2=""),$AE2,"")</f>
        <v/>
      </c>
      <c r="P36">
        <f>IF(AND($M2,$K2=""),$AF2,"")</f>
        <v/>
      </c>
      <c r="Q36">
        <f>IF(AND($M2,$K2=""),$AG2,FALSE)</f>
        <v/>
      </c>
      <c r="R36">
        <f>IF(AND($M2,$K2=""),$AH2,"")</f>
        <v/>
      </c>
      <c r="S36">
        <f>IF(AND($M2,$K2=""),$AI2,"")</f>
        <v/>
      </c>
      <c r="T36">
        <f>IF(AND($M2,$K2=""),$AJ2,0)</f>
        <v/>
      </c>
      <c r="U36">
        <f>IF(AND($M2,$K2=""),$AK2,0)</f>
        <v/>
      </c>
      <c r="V36">
        <f>IF(AND($M2,$K2=""),$AL2,0)</f>
        <v/>
      </c>
      <c r="W36">
        <f>IF(AND($M2,$K2=""),$AM2,"")</f>
        <v/>
      </c>
      <c r="X36">
        <f>IF(AND($M2,$K2=""),$AN2,"")</f>
        <v/>
      </c>
      <c r="Y36">
        <f>IF(AND($M2,$K2=""),$AO2,FALSE)</f>
        <v/>
      </c>
      <c r="Z36">
        <f>IF(AND($M2,$K2=""),$AP2,"")</f>
        <v/>
      </c>
      <c r="AA36">
        <f>IF(AND($M2,$K2=""),$AQ2,FALSE)</f>
        <v/>
      </c>
      <c r="BF36">
        <f>'DADOS_APTIDOES'!$O36</f>
        <v/>
      </c>
      <c r="BG36">
        <f>'DADOS_APTIDOES'!$R36</f>
        <v/>
      </c>
      <c r="BH36">
        <f>'DADOS_APTIDOES'!$T36</f>
        <v/>
      </c>
      <c r="BI36">
        <f>'DADOS_APTIDOES'!$Z36</f>
        <v/>
      </c>
      <c r="BJ36">
        <f>'DADOS_APTIDOES'!$S36</f>
        <v/>
      </c>
      <c r="BK36">
        <f>IF(AND(NOT('DADOS_APTIDOES'!$AA36),IF(DADOS_AM!$A$2=4,'DADOS_APTIDOES'!$N36="Bênção",AND(NOT('DADOS_APTIDOES'!$N36="Bênção"),NOT(AND(DADOS_AM!$A$2=3,'DADOS_APTIDOES'!$Y36))))),'DADOS_APTIDOES'!$O36,"")</f>
        <v/>
      </c>
      <c r="BL36">
        <f>N('DADOS_APTIDOES'!$N36="Bênção")</f>
        <v/>
      </c>
      <c r="BM36">
        <f>N('DADOS_APTIDOES'!$Y36)</f>
        <v/>
      </c>
      <c r="BN36">
        <f>IF('DADOS_APTIDOES'!$W36="Gratuita",1,0)</f>
        <v/>
      </c>
      <c r="BO36">
        <f>'DADOS_APTIDOES'!$S36</f>
        <v/>
      </c>
      <c r="BQ36" t="inlineStr">
        <is>
          <t>Bênção Própria (CE 2)</t>
        </is>
      </c>
    </row>
    <row r="37">
      <c r="N37">
        <f>IF(AND($M3,$K3=""),$AD3,"")</f>
        <v/>
      </c>
      <c r="O37">
        <f>IF(AND($M3,$K3=""),$AE3,"")</f>
        <v/>
      </c>
      <c r="P37">
        <f>IF(AND($M3,$K3=""),$AF3,"")</f>
        <v/>
      </c>
      <c r="Q37">
        <f>IF(AND($M3,$K3=""),$AG3,FALSE)</f>
        <v/>
      </c>
      <c r="R37">
        <f>IF(AND($M3,$K3=""),$AH3,"")</f>
        <v/>
      </c>
      <c r="S37">
        <f>IF(AND($M3,$K3=""),$AI3,"")</f>
        <v/>
      </c>
      <c r="T37">
        <f>IF(AND($M3,$K3=""),$AJ3,0)</f>
        <v/>
      </c>
      <c r="U37">
        <f>IF(AND($M3,$K3=""),$AK3,0)</f>
        <v/>
      </c>
      <c r="V37">
        <f>IF(AND($M3,$K3=""),$AL3,0)</f>
        <v/>
      </c>
      <c r="W37">
        <f>IF(AND($M3,$K3=""),$AM3,"")</f>
        <v/>
      </c>
      <c r="X37">
        <f>IF(AND($M3,$K3=""),$AN3,"")</f>
        <v/>
      </c>
      <c r="Y37">
        <f>IF(AND($M3,$K3=""),$AO3,FALSE)</f>
        <v/>
      </c>
      <c r="Z37">
        <f>IF(AND($M3,$K3=""),$AP3,"")</f>
        <v/>
      </c>
      <c r="AA37">
        <f>IF(AND($M3,$K3=""),$AQ3,FALSE)</f>
        <v/>
      </c>
      <c r="BF37">
        <f>'DADOS_APTIDOES'!$O37</f>
        <v/>
      </c>
      <c r="BG37">
        <f>'DADOS_APTIDOES'!$R37</f>
        <v/>
      </c>
      <c r="BH37">
        <f>'DADOS_APTIDOES'!$T37</f>
        <v/>
      </c>
      <c r="BI37">
        <f>'DADOS_APTIDOES'!$Z37</f>
        <v/>
      </c>
      <c r="BJ37">
        <f>'DADOS_APTIDOES'!$S37</f>
        <v/>
      </c>
      <c r="BK37">
        <f>IF(AND(NOT('DADOS_APTIDOES'!$AA37),IF(DADOS_AM!$A$2=4,'DADOS_APTIDOES'!$N37="Bênção",AND(NOT('DADOS_APTIDOES'!$N37="Bênção"),NOT(AND(DADOS_AM!$A$2=3,'DADOS_APTIDOES'!$Y37))))),'DADOS_APTIDOES'!$O37,"")</f>
        <v/>
      </c>
      <c r="BL37">
        <f>N('DADOS_APTIDOES'!$N37="Bênção")</f>
        <v/>
      </c>
      <c r="BM37">
        <f>N('DADOS_APTIDOES'!$Y37)</f>
        <v/>
      </c>
      <c r="BN37">
        <f>IF('DADOS_APTIDOES'!$W37="Gratuita",1,0)</f>
        <v/>
      </c>
      <c r="BO37">
        <f>'DADOS_APTIDOES'!$S37</f>
        <v/>
      </c>
    </row>
    <row r="38">
      <c r="N38">
        <f>IF(AND($M4,$K4=""),$AD4,"")</f>
        <v/>
      </c>
      <c r="O38">
        <f>IF(AND($M4,$K4=""),$AE4,"")</f>
        <v/>
      </c>
      <c r="P38">
        <f>IF(AND($M4,$K4=""),$AF4,"")</f>
        <v/>
      </c>
      <c r="Q38">
        <f>IF(AND($M4,$K4=""),$AG4,FALSE)</f>
        <v/>
      </c>
      <c r="R38">
        <f>IF(AND($M4,$K4=""),$AH4,"")</f>
        <v/>
      </c>
      <c r="S38">
        <f>IF(AND($M4,$K4=""),$AI4,"")</f>
        <v/>
      </c>
      <c r="T38">
        <f>IF(AND($M4,$K4=""),$AJ4,0)</f>
        <v/>
      </c>
      <c r="U38">
        <f>IF(AND($M4,$K4=""),$AK4,0)</f>
        <v/>
      </c>
      <c r="V38">
        <f>IF(AND($M4,$K4=""),$AL4,0)</f>
        <v/>
      </c>
      <c r="W38">
        <f>IF(AND($M4,$K4=""),$AM4,"")</f>
        <v/>
      </c>
      <c r="X38">
        <f>IF(AND($M4,$K4=""),$AN4,"")</f>
        <v/>
      </c>
      <c r="Y38">
        <f>IF(AND($M4,$K4=""),$AO4,FALSE)</f>
        <v/>
      </c>
      <c r="Z38">
        <f>IF(AND($M4,$K4=""),$AP4,"")</f>
        <v/>
      </c>
      <c r="AA38">
        <f>IF(AND($M4,$K4=""),$AQ4,FALSE)</f>
        <v/>
      </c>
      <c r="BF38">
        <f>'DADOS_APTIDOES'!$O38</f>
        <v/>
      </c>
      <c r="BG38">
        <f>'DADOS_APTIDOES'!$R38</f>
        <v/>
      </c>
      <c r="BH38">
        <f>'DADOS_APTIDOES'!$T38</f>
        <v/>
      </c>
      <c r="BI38">
        <f>'DADOS_APTIDOES'!$Z38</f>
        <v/>
      </c>
      <c r="BJ38">
        <f>'DADOS_APTIDOES'!$S38</f>
        <v/>
      </c>
      <c r="BK38">
        <f>IF(AND(NOT('DADOS_APTIDOES'!$AA38),IF(DADOS_AM!$A$2=4,'DADOS_APTIDOES'!$N38="Bênção",AND(NOT('DADOS_APTIDOES'!$N38="Bênção"),NOT(AND(DADOS_AM!$A$2=3,'DADOS_APTIDOES'!$Y38))))),'DADOS_APTIDOES'!$O38,"")</f>
        <v/>
      </c>
      <c r="BL38">
        <f>N('DADOS_APTIDOES'!$N38="Bênção")</f>
        <v/>
      </c>
      <c r="BM38">
        <f>N('DADOS_APTIDOES'!$Y38)</f>
        <v/>
      </c>
      <c r="BN38">
        <f>IF('DADOS_APTIDOES'!$W38="Gratuita",1,0)</f>
        <v/>
      </c>
      <c r="BO38">
        <f>'DADOS_APTIDOES'!$S38</f>
        <v/>
      </c>
    </row>
    <row r="39">
      <c r="N39">
        <f>IF(AND($M5,$K5=""),$AD5,"")</f>
        <v/>
      </c>
      <c r="O39">
        <f>IF(AND($M5,$K5=""),$AE5,"")</f>
        <v/>
      </c>
      <c r="P39">
        <f>IF(AND($M5,$K5=""),$AF5,"")</f>
        <v/>
      </c>
      <c r="Q39">
        <f>IF(AND($M5,$K5=""),$AG5,FALSE)</f>
        <v/>
      </c>
      <c r="R39">
        <f>IF(AND($M5,$K5=""),$AH5,"")</f>
        <v/>
      </c>
      <c r="S39">
        <f>IF(AND($M5,$K5=""),$AI5,"")</f>
        <v/>
      </c>
      <c r="T39">
        <f>IF(AND($M5,$K5=""),$AJ5,0)</f>
        <v/>
      </c>
      <c r="U39">
        <f>IF(AND($M5,$K5=""),$AK5,0)</f>
        <v/>
      </c>
      <c r="V39">
        <f>IF(AND($M5,$K5=""),$AL5,0)</f>
        <v/>
      </c>
      <c r="W39">
        <f>IF(AND($M5,$K5=""),$AM5,"")</f>
        <v/>
      </c>
      <c r="X39">
        <f>IF(AND($M5,$K5=""),$AN5,"")</f>
        <v/>
      </c>
      <c r="Y39">
        <f>IF(AND($M5,$K5=""),$AO5,FALSE)</f>
        <v/>
      </c>
      <c r="Z39">
        <f>IF(AND($M5,$K5=""),$AP5,"")</f>
        <v/>
      </c>
      <c r="AA39">
        <f>IF(AND($M5,$K5=""),$AQ5,FALSE)</f>
        <v/>
      </c>
      <c r="BF39">
        <f>'DADOS_APTIDOES'!$O39</f>
        <v/>
      </c>
      <c r="BG39">
        <f>'DADOS_APTIDOES'!$R39</f>
        <v/>
      </c>
      <c r="BH39">
        <f>'DADOS_APTIDOES'!$T39</f>
        <v/>
      </c>
      <c r="BI39">
        <f>'DADOS_APTIDOES'!$Z39</f>
        <v/>
      </c>
      <c r="BJ39">
        <f>'DADOS_APTIDOES'!$S39</f>
        <v/>
      </c>
      <c r="BK39">
        <f>IF(AND(NOT('DADOS_APTIDOES'!$AA39),IF(DADOS_AM!$A$2=4,'DADOS_APTIDOES'!$N39="Bênção",AND(NOT('DADOS_APTIDOES'!$N39="Bênção"),NOT(AND(DADOS_AM!$A$2=3,'DADOS_APTIDOES'!$Y39))))),'DADOS_APTIDOES'!$O39,"")</f>
        <v/>
      </c>
      <c r="BL39">
        <f>N('DADOS_APTIDOES'!$N39="Bênção")</f>
        <v/>
      </c>
      <c r="BM39">
        <f>N('DADOS_APTIDOES'!$Y39)</f>
        <v/>
      </c>
      <c r="BN39">
        <f>IF('DADOS_APTIDOES'!$W39="Gratuita",1,0)</f>
        <v/>
      </c>
      <c r="BO39">
        <f>'DADOS_APTIDOES'!$S39</f>
        <v/>
      </c>
    </row>
    <row r="40">
      <c r="N40">
        <f>IF(AND($M6,$K6=""),$AD6,"")</f>
        <v/>
      </c>
      <c r="O40">
        <f>IF(AND($M6,$K6=""),$AE6,"")</f>
        <v/>
      </c>
      <c r="P40">
        <f>IF(AND($M6,$K6=""),$AF6,"")</f>
        <v/>
      </c>
      <c r="Q40">
        <f>IF(AND($M6,$K6=""),$AG6,FALSE)</f>
        <v/>
      </c>
      <c r="R40">
        <f>IF(AND($M6,$K6=""),$AH6,"")</f>
        <v/>
      </c>
      <c r="S40">
        <f>IF(AND($M6,$K6=""),$AI6,"")</f>
        <v/>
      </c>
      <c r="T40">
        <f>IF(AND($M6,$K6=""),$AJ6,0)</f>
        <v/>
      </c>
      <c r="U40">
        <f>IF(AND($M6,$K6=""),$AK6,0)</f>
        <v/>
      </c>
      <c r="V40">
        <f>IF(AND($M6,$K6=""),$AL6,0)</f>
        <v/>
      </c>
      <c r="W40">
        <f>IF(AND($M6,$K6=""),$AM6,"")</f>
        <v/>
      </c>
      <c r="X40">
        <f>IF(AND($M6,$K6=""),$AN6,"")</f>
        <v/>
      </c>
      <c r="Y40">
        <f>IF(AND($M6,$K6=""),$AO6,FALSE)</f>
        <v/>
      </c>
      <c r="Z40">
        <f>IF(AND($M6,$K6=""),$AP6,"")</f>
        <v/>
      </c>
      <c r="AA40">
        <f>IF(AND($M6,$K6=""),$AQ6,FALSE)</f>
        <v/>
      </c>
      <c r="BF40">
        <f>'DADOS_APTIDOES'!$O40</f>
        <v/>
      </c>
      <c r="BG40">
        <f>'DADOS_APTIDOES'!$R40</f>
        <v/>
      </c>
      <c r="BH40">
        <f>'DADOS_APTIDOES'!$T40</f>
        <v/>
      </c>
      <c r="BI40">
        <f>'DADOS_APTIDOES'!$Z40</f>
        <v/>
      </c>
      <c r="BJ40">
        <f>'DADOS_APTIDOES'!$S40</f>
        <v/>
      </c>
      <c r="BK40">
        <f>IF(AND(NOT('DADOS_APTIDOES'!$AA40),IF(DADOS_AM!$A$2=4,'DADOS_APTIDOES'!$N40="Bênção",AND(NOT('DADOS_APTIDOES'!$N40="Bênção"),NOT(AND(DADOS_AM!$A$2=3,'DADOS_APTIDOES'!$Y40))))),'DADOS_APTIDOES'!$O40,"")</f>
        <v/>
      </c>
      <c r="BL40">
        <f>N('DADOS_APTIDOES'!$N40="Bênção")</f>
        <v/>
      </c>
      <c r="BM40">
        <f>N('DADOS_APTIDOES'!$Y40)</f>
        <v/>
      </c>
      <c r="BN40">
        <f>IF('DADOS_APTIDOES'!$W40="Gratuita",1,0)</f>
        <v/>
      </c>
      <c r="BO40">
        <f>'DADOS_APTIDOES'!$S40</f>
        <v/>
      </c>
    </row>
    <row r="41">
      <c r="N41">
        <f>IF(AND($M7,$K7=""),$AD7,"")</f>
        <v/>
      </c>
      <c r="O41">
        <f>IF(AND($M7,$K7=""),$AE7,"")</f>
        <v/>
      </c>
      <c r="P41">
        <f>IF(AND($M7,$K7=""),$AF7,"")</f>
        <v/>
      </c>
      <c r="Q41">
        <f>IF(AND($M7,$K7=""),$AG7,FALSE)</f>
        <v/>
      </c>
      <c r="R41">
        <f>IF(AND($M7,$K7=""),$AH7,"")</f>
        <v/>
      </c>
      <c r="S41">
        <f>IF(AND($M7,$K7=""),$AI7,"")</f>
        <v/>
      </c>
      <c r="T41">
        <f>IF(AND($M7,$K7=""),$AJ7,0)</f>
        <v/>
      </c>
      <c r="U41">
        <f>IF(AND($M7,$K7=""),$AK7,0)</f>
        <v/>
      </c>
      <c r="V41">
        <f>IF(AND($M7,$K7=""),$AL7,0)</f>
        <v/>
      </c>
      <c r="W41">
        <f>IF(AND($M7,$K7=""),$AM7,"")</f>
        <v/>
      </c>
      <c r="X41">
        <f>IF(AND($M7,$K7=""),$AN7,"")</f>
        <v/>
      </c>
      <c r="Y41">
        <f>IF(AND($M7,$K7=""),$AO7,FALSE)</f>
        <v/>
      </c>
      <c r="Z41">
        <f>IF(AND($M7,$K7=""),$AP7,"")</f>
        <v/>
      </c>
      <c r="AA41">
        <f>IF(AND($M7,$K7=""),$AQ7,FALSE)</f>
        <v/>
      </c>
      <c r="BF41">
        <f>'DADOS_APTIDOES'!$O41</f>
        <v/>
      </c>
      <c r="BG41">
        <f>'DADOS_APTIDOES'!$R41</f>
        <v/>
      </c>
      <c r="BH41">
        <f>'DADOS_APTIDOES'!$T41</f>
        <v/>
      </c>
      <c r="BI41">
        <f>'DADOS_APTIDOES'!$Z41</f>
        <v/>
      </c>
      <c r="BJ41">
        <f>'DADOS_APTIDOES'!$S41</f>
        <v/>
      </c>
      <c r="BK41">
        <f>IF(AND(NOT('DADOS_APTIDOES'!$AA41),IF(DADOS_AM!$A$2=4,'DADOS_APTIDOES'!$N41="Bênção",AND(NOT('DADOS_APTIDOES'!$N41="Bênção"),NOT(AND(DADOS_AM!$A$2=3,'DADOS_APTIDOES'!$Y41))))),'DADOS_APTIDOES'!$O41,"")</f>
        <v/>
      </c>
      <c r="BL41">
        <f>N('DADOS_APTIDOES'!$N41="Bênção")</f>
        <v/>
      </c>
      <c r="BM41">
        <f>N('DADOS_APTIDOES'!$Y41)</f>
        <v/>
      </c>
      <c r="BN41">
        <f>IF('DADOS_APTIDOES'!$W41="Gratuita",1,0)</f>
        <v/>
      </c>
      <c r="BO41">
        <f>'DADOS_APTIDOES'!$S41</f>
        <v/>
      </c>
    </row>
    <row r="42">
      <c r="N42">
        <f>IF(AND($M8,$K8=""),$AD8,"")</f>
        <v/>
      </c>
      <c r="O42">
        <f>IF(AND($M8,$K8=""),$AE8,"")</f>
        <v/>
      </c>
      <c r="P42">
        <f>IF(AND($M8,$K8=""),$AF8,"")</f>
        <v/>
      </c>
      <c r="Q42">
        <f>IF(AND($M8,$K8=""),$AG8,FALSE)</f>
        <v/>
      </c>
      <c r="R42">
        <f>IF(AND($M8,$K8=""),$AH8,"")</f>
        <v/>
      </c>
      <c r="S42">
        <f>IF(AND($M8,$K8=""),$AI8,"")</f>
        <v/>
      </c>
      <c r="T42">
        <f>IF(AND($M8,$K8=""),$AJ8,0)</f>
        <v/>
      </c>
      <c r="U42">
        <f>IF(AND($M8,$K8=""),$AK8,0)</f>
        <v/>
      </c>
      <c r="V42">
        <f>IF(AND($M8,$K8=""),$AL8,0)</f>
        <v/>
      </c>
      <c r="W42">
        <f>IF(AND($M8,$K8=""),$AM8,"")</f>
        <v/>
      </c>
      <c r="X42">
        <f>IF(AND($M8,$K8=""),$AN8,"")</f>
        <v/>
      </c>
      <c r="Y42">
        <f>IF(AND($M8,$K8=""),$AO8,FALSE)</f>
        <v/>
      </c>
      <c r="Z42">
        <f>IF(AND($M8,$K8=""),$AP8,"")</f>
        <v/>
      </c>
      <c r="AA42">
        <f>IF(AND($M8,$K8=""),$AQ8,FALSE)</f>
        <v/>
      </c>
      <c r="BF42">
        <f>'DADOS_APTIDOES'!$O42</f>
        <v/>
      </c>
      <c r="BG42">
        <f>'DADOS_APTIDOES'!$R42</f>
        <v/>
      </c>
      <c r="BH42">
        <f>'DADOS_APTIDOES'!$T42</f>
        <v/>
      </c>
      <c r="BI42">
        <f>'DADOS_APTIDOES'!$Z42</f>
        <v/>
      </c>
      <c r="BJ42">
        <f>'DADOS_APTIDOES'!$S42</f>
        <v/>
      </c>
      <c r="BK42">
        <f>IF(AND(NOT('DADOS_APTIDOES'!$AA42),IF(DADOS_AM!$A$2=4,'DADOS_APTIDOES'!$N42="Bênção",AND(NOT('DADOS_APTIDOES'!$N42="Bênção"),NOT(AND(DADOS_AM!$A$2=3,'DADOS_APTIDOES'!$Y42))))),'DADOS_APTIDOES'!$O42,"")</f>
        <v/>
      </c>
      <c r="BL42">
        <f>N('DADOS_APTIDOES'!$N42="Bênção")</f>
        <v/>
      </c>
      <c r="BM42">
        <f>N('DADOS_APTIDOES'!$Y42)</f>
        <v/>
      </c>
      <c r="BN42">
        <f>IF('DADOS_APTIDOES'!$W42="Gratuita",1,0)</f>
        <v/>
      </c>
      <c r="BO42">
        <f>'DADOS_APTIDOES'!$S42</f>
        <v/>
      </c>
    </row>
    <row r="43">
      <c r="N43">
        <f>IF(AND($M9,$K9=""),$AD9,"")</f>
        <v/>
      </c>
      <c r="O43">
        <f>IF(AND($M9,$K9=""),$AE9,"")</f>
        <v/>
      </c>
      <c r="P43">
        <f>IF(AND($M9,$K9=""),$AF9,"")</f>
        <v/>
      </c>
      <c r="Q43">
        <f>IF(AND($M9,$K9=""),$AG9,FALSE)</f>
        <v/>
      </c>
      <c r="R43">
        <f>IF(AND($M9,$K9=""),$AH9,"")</f>
        <v/>
      </c>
      <c r="S43">
        <f>IF(AND($M9,$K9=""),$AI9,"")</f>
        <v/>
      </c>
      <c r="T43">
        <f>IF(AND($M9,$K9=""),$AJ9,0)</f>
        <v/>
      </c>
      <c r="U43">
        <f>IF(AND($M9,$K9=""),$AK9,0)</f>
        <v/>
      </c>
      <c r="V43">
        <f>IF(AND($M9,$K9=""),$AL9,0)</f>
        <v/>
      </c>
      <c r="W43">
        <f>IF(AND($M9,$K9=""),$AM9,"")</f>
        <v/>
      </c>
      <c r="X43">
        <f>IF(AND($M9,$K9=""),$AN9,"")</f>
        <v/>
      </c>
      <c r="Y43">
        <f>IF(AND($M9,$K9=""),$AO9,FALSE)</f>
        <v/>
      </c>
      <c r="Z43">
        <f>IF(AND($M9,$K9=""),$AP9,"")</f>
        <v/>
      </c>
      <c r="AA43">
        <f>IF(AND($M9,$K9=""),$AQ9,FALSE)</f>
        <v/>
      </c>
      <c r="BF43">
        <f>'DADOS_APTIDOES'!$O43</f>
        <v/>
      </c>
      <c r="BG43">
        <f>'DADOS_APTIDOES'!$R43</f>
        <v/>
      </c>
      <c r="BH43">
        <f>'DADOS_APTIDOES'!$T43</f>
        <v/>
      </c>
      <c r="BI43">
        <f>'DADOS_APTIDOES'!$Z43</f>
        <v/>
      </c>
      <c r="BJ43">
        <f>'DADOS_APTIDOES'!$S43</f>
        <v/>
      </c>
      <c r="BK43">
        <f>IF(AND(NOT('DADOS_APTIDOES'!$AA43),IF(DADOS_AM!$A$2=4,'DADOS_APTIDOES'!$N43="Bênção",AND(NOT('DADOS_APTIDOES'!$N43="Bênção"),NOT(AND(DADOS_AM!$A$2=3,'DADOS_APTIDOES'!$Y43))))),'DADOS_APTIDOES'!$O43,"")</f>
        <v/>
      </c>
      <c r="BL43">
        <f>N('DADOS_APTIDOES'!$N43="Bênção")</f>
        <v/>
      </c>
      <c r="BM43">
        <f>N('DADOS_APTIDOES'!$Y43)</f>
        <v/>
      </c>
      <c r="BN43">
        <f>IF('DADOS_APTIDOES'!$W43="Gratuita",1,0)</f>
        <v/>
      </c>
      <c r="BO43">
        <f>'DADOS_APTIDOES'!$S43</f>
        <v/>
      </c>
    </row>
    <row r="44">
      <c r="N44">
        <f>IF(AND($M10,$K10=""),$AD10,"")</f>
        <v/>
      </c>
      <c r="O44">
        <f>IF(AND($M10,$K10=""),$AE10,"")</f>
        <v/>
      </c>
      <c r="P44">
        <f>IF(AND($M10,$K10=""),$AF10,"")</f>
        <v/>
      </c>
      <c r="Q44">
        <f>IF(AND($M10,$K10=""),$AG10,FALSE)</f>
        <v/>
      </c>
      <c r="R44">
        <f>IF(AND($M10,$K10=""),$AH10,"")</f>
        <v/>
      </c>
      <c r="S44">
        <f>IF(AND($M10,$K10=""),$AI10,"")</f>
        <v/>
      </c>
      <c r="T44">
        <f>IF(AND($M10,$K10=""),$AJ10,0)</f>
        <v/>
      </c>
      <c r="U44">
        <f>IF(AND($M10,$K10=""),$AK10,0)</f>
        <v/>
      </c>
      <c r="V44">
        <f>IF(AND($M10,$K10=""),$AL10,0)</f>
        <v/>
      </c>
      <c r="W44">
        <f>IF(AND($M10,$K10=""),$AM10,"")</f>
        <v/>
      </c>
      <c r="X44">
        <f>IF(AND($M10,$K10=""),$AN10,"")</f>
        <v/>
      </c>
      <c r="Y44">
        <f>IF(AND($M10,$K10=""),$AO10,FALSE)</f>
        <v/>
      </c>
      <c r="Z44">
        <f>IF(AND($M10,$K10=""),$AP10,"")</f>
        <v/>
      </c>
      <c r="AA44">
        <f>IF(AND($M10,$K10=""),$AQ10,FALSE)</f>
        <v/>
      </c>
      <c r="BF44">
        <f>'DADOS_APTIDOES'!$O44</f>
        <v/>
      </c>
      <c r="BG44">
        <f>'DADOS_APTIDOES'!$R44</f>
        <v/>
      </c>
      <c r="BH44">
        <f>'DADOS_APTIDOES'!$T44</f>
        <v/>
      </c>
      <c r="BI44">
        <f>'DADOS_APTIDOES'!$Z44</f>
        <v/>
      </c>
      <c r="BJ44">
        <f>'DADOS_APTIDOES'!$S44</f>
        <v/>
      </c>
      <c r="BK44">
        <f>IF(AND(NOT('DADOS_APTIDOES'!$AA44),IF(DADOS_AM!$A$2=4,'DADOS_APTIDOES'!$N44="Bênção",AND(NOT('DADOS_APTIDOES'!$N44="Bênção"),NOT(AND(DADOS_AM!$A$2=3,'DADOS_APTIDOES'!$Y44))))),'DADOS_APTIDOES'!$O44,"")</f>
        <v/>
      </c>
      <c r="BL44">
        <f>N('DADOS_APTIDOES'!$N44="Bênção")</f>
        <v/>
      </c>
      <c r="BM44">
        <f>N('DADOS_APTIDOES'!$Y44)</f>
        <v/>
      </c>
      <c r="BN44">
        <f>IF('DADOS_APTIDOES'!$W44="Gratuita",1,0)</f>
        <v/>
      </c>
      <c r="BO44">
        <f>'DADOS_APTIDOES'!$S44</f>
        <v/>
      </c>
    </row>
    <row r="45">
      <c r="N45">
        <f>IF(AND($M11,$K11=""),$AD11,"")</f>
        <v/>
      </c>
      <c r="O45">
        <f>IF(AND($M11,$K11=""),$AE11,"")</f>
        <v/>
      </c>
      <c r="P45">
        <f>IF(AND($M11,$K11=""),$AF11,"")</f>
        <v/>
      </c>
      <c r="Q45">
        <f>IF(AND($M11,$K11=""),$AG11,FALSE)</f>
        <v/>
      </c>
      <c r="R45">
        <f>IF(AND($M11,$K11=""),$AH11,"")</f>
        <v/>
      </c>
      <c r="S45">
        <f>IF(AND($M11,$K11=""),$AI11,"")</f>
        <v/>
      </c>
      <c r="T45">
        <f>IF(AND($M11,$K11=""),$AJ11,0)</f>
        <v/>
      </c>
      <c r="U45">
        <f>IF(AND($M11,$K11=""),$AK11,0)</f>
        <v/>
      </c>
      <c r="V45">
        <f>IF(AND($M11,$K11=""),$AL11,0)</f>
        <v/>
      </c>
      <c r="W45">
        <f>IF(AND($M11,$K11=""),$AM11,"")</f>
        <v/>
      </c>
      <c r="X45">
        <f>IF(AND($M11,$K11=""),$AN11,"")</f>
        <v/>
      </c>
      <c r="Y45">
        <f>IF(AND($M11,$K11=""),$AO11,FALSE)</f>
        <v/>
      </c>
      <c r="Z45">
        <f>IF(AND($M11,$K11=""),$AP11,"")</f>
        <v/>
      </c>
      <c r="AA45">
        <f>IF(AND($M11,$K11=""),$AQ11,FALSE)</f>
        <v/>
      </c>
      <c r="BF45">
        <f>'DADOS_APTIDOES'!$O45</f>
        <v/>
      </c>
      <c r="BG45">
        <f>'DADOS_APTIDOES'!$R45</f>
        <v/>
      </c>
      <c r="BH45">
        <f>'DADOS_APTIDOES'!$T45</f>
        <v/>
      </c>
      <c r="BI45">
        <f>'DADOS_APTIDOES'!$Z45</f>
        <v/>
      </c>
      <c r="BJ45">
        <f>'DADOS_APTIDOES'!$S45</f>
        <v/>
      </c>
      <c r="BK45">
        <f>IF(AND(NOT('DADOS_APTIDOES'!$AA45),IF(DADOS_AM!$A$2=4,'DADOS_APTIDOES'!$N45="Bênção",AND(NOT('DADOS_APTIDOES'!$N45="Bênção"),NOT(AND(DADOS_AM!$A$2=3,'DADOS_APTIDOES'!$Y45))))),'DADOS_APTIDOES'!$O45,"")</f>
        <v/>
      </c>
      <c r="BL45">
        <f>N('DADOS_APTIDOES'!$N45="Bênção")</f>
        <v/>
      </c>
      <c r="BM45">
        <f>N('DADOS_APTIDOES'!$Y45)</f>
        <v/>
      </c>
      <c r="BN45">
        <f>IF('DADOS_APTIDOES'!$W45="Gratuita",1,0)</f>
        <v/>
      </c>
      <c r="BO45">
        <f>'DADOS_APTIDOES'!$S45</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A34"/>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entrada.rota</t>
        </is>
      </c>
      <c r="I1" t="inlineStr">
        <is>
          <t>aviso</t>
        </is>
      </c>
      <c r="J1" t="inlineStr">
        <is>
          <t>linha_base</t>
        </is>
      </c>
      <c r="K1" t="inlineStr">
        <is>
          <t>ativo</t>
        </is>
      </c>
      <c r="L1" t="inlineStr">
        <is>
          <t>tipo</t>
        </is>
      </c>
      <c r="M1" t="inlineStr">
        <is>
          <t>nome</t>
        </is>
      </c>
      <c r="N1" t="inlineStr">
        <is>
          <t>base</t>
        </is>
      </c>
      <c r="O1" t="inlineStr">
        <is>
          <t>mestre_viu</t>
        </is>
      </c>
      <c r="P1" t="inlineStr">
        <is>
          <t>requisitos</t>
        </is>
      </c>
      <c r="Q1" t="inlineStr">
        <is>
          <t>efeito</t>
        </is>
      </c>
      <c r="R1" t="inlineStr">
        <is>
          <t>ce</t>
        </is>
      </c>
      <c r="S1" t="inlineStr">
        <is>
          <t>rota</t>
        </is>
      </c>
      <c r="T1" t="inlineStr">
        <is>
          <t>identidade</t>
        </is>
      </c>
      <c r="AQ1" t="inlineStr">
        <is>
          <t>passivas.0</t>
        </is>
      </c>
      <c r="AR1" t="inlineStr">
        <is>
          <t>passivas.1</t>
        </is>
      </c>
      <c r="AS1" t="inlineStr">
        <is>
          <t>passivas.2</t>
        </is>
      </c>
      <c r="AT1" t="inlineStr">
        <is>
          <t>passivas.3</t>
        </is>
      </c>
      <c r="AU1" t="inlineStr">
        <is>
          <t>passivas.4</t>
        </is>
      </c>
      <c r="AV1" t="inlineStr">
        <is>
          <t>passivas.5</t>
        </is>
      </c>
      <c r="AW1" t="inlineStr">
        <is>
          <t>passivas.6</t>
        </is>
      </c>
    </row>
    <row r="2">
      <c r="A2">
        <f>IF(ISBLANK('CONFIGURAÇÃO'!$B$2259),"",'CONFIGURAÇÃO'!$B$2259)</f>
        <v/>
      </c>
      <c r="B2">
        <f>IF(ISBLANK('CONFIGURAÇÃO'!$B$2261),"",'CONFIGURAÇÃO'!$B$2261)</f>
        <v/>
      </c>
      <c r="C2">
        <f>IF(ISBLANK('CONFIGURAÇÃO'!$E$2262),"",'CONFIGURAÇÃO'!$E$2262)</f>
        <v/>
      </c>
      <c r="D2">
        <f>IF(ISBLANK('CONFIGURAÇÃO'!$F$2259),"",'CONFIGURAÇÃO'!$F$2259)</f>
        <v/>
      </c>
      <c r="E2">
        <f>IF(ISBLANK('CONFIGURAÇÃO'!$B$2267),"",'CONFIGURAÇÃO'!$B$2267)</f>
        <v/>
      </c>
      <c r="F2">
        <f>IF(ISBLANK('CONFIGURAÇÃO'!$B$2273),"",'CONFIGURAÇÃO'!$B$2273)</f>
        <v/>
      </c>
      <c r="G2">
        <f>IF(ISBLANK('CONFIGURAÇÃO'!$E$2263),"",'CONFIGURAÇÃO'!$E$2263)</f>
        <v/>
      </c>
      <c r="H2">
        <f>IF(ISBLANK('CONFIGURAÇÃO'!$E$2264),"",'CONFIGURAÇÃO'!$E$2264)</f>
        <v/>
      </c>
      <c r="I2">
        <f>IF($K2,TEXTJOIN(" · ",TRUE,$AG2:$AO2),"")</f>
        <v/>
      </c>
      <c r="J2">
        <f>IF(OR($C2="",$C2="Nenhuma"),0,IFERROR(MATCH(SUBSTITUTE(SUBSTITUTE(SUBSTITUTE($C2,"~","~~"),"*","~*"),"?","~?"),'DADOS_TALENTOS'!$M$2:$M$24,0),-1))</f>
        <v/>
      </c>
      <c r="K2">
        <f>OR($B2&lt;&gt;"",$C2&lt;&gt;"",$E2&lt;&gt;"",$F2&lt;&gt;"",$G2&lt;&gt;"",$H2&lt;&gt;"",AND($D2&lt;&gt;"",$D2&lt;&gt;FALSE),AND($A2&lt;&gt;"",$A2&lt;&gt;"Talento"))</f>
        <v/>
      </c>
      <c r="L2" t="inlineStr">
        <is>
          <t>Talento</t>
        </is>
      </c>
      <c r="M2" t="inlineStr">
        <is>
          <t>Leitura</t>
        </is>
      </c>
      <c r="N2">
        <f>""</f>
        <v/>
      </c>
      <c r="O2" t="b">
        <v>0</v>
      </c>
      <c r="P2">
        <f>""</f>
        <v/>
      </c>
      <c r="Q2" t="inlineStr">
        <is>
          <t>Você identifica a Classe e a Forma de qualquer feitiço conjurado a até 18 m de você. A informação não fornece a montagem completa, o custo de cada peça ou a localização de um alvo oculto.</t>
        </is>
      </c>
      <c r="R2" t="n">
        <v>1</v>
      </c>
      <c r="S2" t="inlineStr">
        <is>
          <t>Todas</t>
        </is>
      </c>
      <c r="T2" t="inlineStr">
        <is>
          <t>Leitura</t>
        </is>
      </c>
      <c r="W2">
        <f>IF($A2="",IF($J2&gt;0,INDEX('DADOS_TALENTOS'!$L$2:$L$24,MAX(1,$J2)),"Talento"),$A2)</f>
        <v/>
      </c>
      <c r="X2">
        <f>IF($B2="",IF($J2&gt;0,INDEX('DADOS_TALENTOS'!$M$2:$M$24,MAX(1,$J2)),""),$B2)</f>
        <v/>
      </c>
      <c r="Y2">
        <f>IF($C2="",IF($J2&gt;0,INDEX('DADOS_TALENTOS'!$N$2:$N$24,MAX(1,$J2)),""),$C2)</f>
        <v/>
      </c>
      <c r="Z2">
        <f>IF($D2="",IF($J2&gt;0,INDEX('DADOS_TALENTOS'!$O$2:$O$24,MAX(1,$J2)),FALSE),$D2)</f>
        <v/>
      </c>
      <c r="AA2">
        <f>IF($E2="",IF($J2&gt;0,INDEX('DADOS_TALENTOS'!$P$2:$P$24,MAX(1,$J2)),""),$E2)</f>
        <v/>
      </c>
      <c r="AB2">
        <f>IF($F2="",IF($J2&gt;0,INDEX('DADOS_TALENTOS'!$Q$2:$Q$24,MAX(1,$J2)),""),$F2)</f>
        <v/>
      </c>
      <c r="AC2">
        <f>IF($G2="",IF($J2&gt;0,INDEX('DADOS_TALENTOS'!$R$2:$R$24,MAX(1,$J2)),""),$G2)</f>
        <v/>
      </c>
      <c r="AD2">
        <f>IF($H2="",IF($J2&gt;0,INDEX('DADOS_TALENTOS'!$S$2:$S$24,MAX(1,$J2)),"Todas"),$H2)</f>
        <v/>
      </c>
      <c r="AE2">
        <f>IF($J2&gt;0,INDEX('DADOS_TALENTOS'!$T$2:$T$24,MAX(1,$J2)),"")</f>
        <v/>
      </c>
      <c r="AG2">
        <f>IF(AND(ISTEXT($B2),$B2&lt;&gt;"",TRIM($B2)=$B2),"","NOME precisa ser texto sem espaços nas pontas")</f>
        <v/>
      </c>
      <c r="AH2">
        <f>IF(COUNTIF('DADOS_TALENTOS'!$B$2:$B$11,SUBSTITUTE(SUBSTITUTE(SUBSTITUTE($B2,"~","~~"),"*","~*"),"?","~?"))+COUNTIF('DADOS_TALENTOS'!$M$2:$M$24,SUBSTITUTE(SUBSTITUTE(SUBSTITUTE($B2,"~","~~"),"*","~*"),"?","~?"))=1,"","Nome repetido no livro ou custom")</f>
        <v/>
      </c>
      <c r="AI2">
        <f>IF($J2&gt;=0,"","BASE DO LIVRO inválida para o grupo")</f>
        <v/>
      </c>
      <c r="AJ2">
        <f>IF(OR($W2="Talento"),"","TIPO inválido para o grupo")</f>
        <v/>
      </c>
      <c r="AK2">
        <f>IF(ISLOGICAL($Z2),"","MESTRE VIU precisa ser caixa de seleção")</f>
        <v/>
      </c>
      <c r="AL2">
        <f>IF(ISTEXT($AB2),"","EFEITO precisa ser texto")</f>
        <v/>
      </c>
      <c r="AM2">
        <f>IF(ISTEXT($AA2),"","REQUISITOS precisa ser texto")</f>
        <v/>
      </c>
      <c r="AN2">
        <f>IF(IFERROR(AND(ISNUMBER($AC2),NOT(ISLOGICAL($AC2)),$AC2=INT($AC2),$AC2&gt;=1,$AC2&lt;=3),FALSE),"","CE inválida")</f>
        <v/>
      </c>
      <c r="AO2">
        <f>IF(OR($AD2="Todas",$AD2="Fundamento / Manejos",$AD2="Técnica Marcial"),"","ROTA inválida")</f>
        <v/>
      </c>
      <c r="AQ2">
        <f>'DADOS_TALENTOS'!$M2</f>
        <v/>
      </c>
      <c r="AR2">
        <f>'DADOS_TALENTOS'!$R2</f>
        <v/>
      </c>
      <c r="AS2">
        <f>'DADOS_TALENTOS'!$Q2&amp;IF('DADOS_TALENTOS'!$P2="","",CHAR(10)&amp;"Requisitos: "&amp;'DADOS_TALENTOS'!$P2)</f>
        <v/>
      </c>
      <c r="AT2">
        <f>N(OR('DADOS_TALENTOS'!$S2="Todas",'DADOS_TALENTOS'!$S2="Fundamento / Manejos"))</f>
        <v/>
      </c>
      <c r="AU2">
        <f>N(OR('DADOS_TALENTOS'!$S2="Todas",'DADOS_TALENTOS'!$S2="Técnica Marcial"))</f>
        <v/>
      </c>
      <c r="AV2">
        <f>IF(OR(AND(DADOS_AM!$A$2&lt;=2,OR('DADOS_TALENTOS'!$S2="Todas",'DADOS_TALENTOS'!$S2="Fundamento / Manejos")),AND(DADOS_AM!$A$2&gt;=2,OR('DADOS_TALENTOS'!$S2="Todas",'DADOS_TALENTOS'!$S2="Técnica Marcial"))),'DADOS_TALENTOS'!$M2,"")</f>
        <v/>
      </c>
      <c r="AW2" t="inlineStr">
        <is>
          <t>Você identifica a Classe e a Forma de qualquer feitiço conjurado a até 18 m de você. A informação não fornece a montagem completa, o custo de cada peça ou a localização de um alvo oculto.</t>
        </is>
      </c>
      <c r="AX2" t="inlineStr">
        <is>
          <t>Talento</t>
        </is>
      </c>
      <c r="AY2" t="inlineStr">
        <is>
          <t>Nenhuma</t>
        </is>
      </c>
      <c r="AZ2" t="n">
        <v>1</v>
      </c>
      <c r="BA2" t="inlineStr">
        <is>
          <t>Todas</t>
        </is>
      </c>
    </row>
    <row r="3">
      <c r="A3">
        <f>IF(ISBLANK('CONFIGURAÇÃO'!$J$2259),"",'CONFIGURAÇÃO'!$J$2259)</f>
        <v/>
      </c>
      <c r="B3">
        <f>IF(ISBLANK('CONFIGURAÇÃO'!$J$2261),"",'CONFIGURAÇÃO'!$J$2261)</f>
        <v/>
      </c>
      <c r="C3">
        <f>IF(ISBLANK('CONFIGURAÇÃO'!$M$2262),"",'CONFIGURAÇÃO'!$M$2262)</f>
        <v/>
      </c>
      <c r="D3">
        <f>IF(ISBLANK('CONFIGURAÇÃO'!$N$2259),"",'CONFIGURAÇÃO'!$N$2259)</f>
        <v/>
      </c>
      <c r="E3">
        <f>IF(ISBLANK('CONFIGURAÇÃO'!$J$2267),"",'CONFIGURAÇÃO'!$J$2267)</f>
        <v/>
      </c>
      <c r="F3">
        <f>IF(ISBLANK('CONFIGURAÇÃO'!$J$2273),"",'CONFIGURAÇÃO'!$J$2273)</f>
        <v/>
      </c>
      <c r="G3">
        <f>IF(ISBLANK('CONFIGURAÇÃO'!$M$2263),"",'CONFIGURAÇÃO'!$M$2263)</f>
        <v/>
      </c>
      <c r="H3">
        <f>IF(ISBLANK('CONFIGURAÇÃO'!$M$2264),"",'CONFIGURAÇÃO'!$M$2264)</f>
        <v/>
      </c>
      <c r="I3">
        <f>IF($K3,TEXTJOIN(" · ",TRUE,$AG3:$AO3),"")</f>
        <v/>
      </c>
      <c r="J3">
        <f>IF(OR($C3="",$C3="Nenhuma"),0,IFERROR(MATCH(SUBSTITUTE(SUBSTITUTE(SUBSTITUTE($C3,"~","~~"),"*","~*"),"?","~?"),'DADOS_TALENTOS'!$M$2:$M$24,0),-1))</f>
        <v/>
      </c>
      <c r="K3">
        <f>OR($B3&lt;&gt;"",$C3&lt;&gt;"",$E3&lt;&gt;"",$F3&lt;&gt;"",$G3&lt;&gt;"",$H3&lt;&gt;"",AND($D3&lt;&gt;"",$D3&lt;&gt;FALSE),AND($A3&lt;&gt;"",$A3&lt;&gt;"Talento"))</f>
        <v/>
      </c>
      <c r="L3" t="inlineStr">
        <is>
          <t>Talento</t>
        </is>
      </c>
      <c r="M3" t="inlineStr">
        <is>
          <t>Instinto</t>
        </is>
      </c>
      <c r="N3">
        <f>""</f>
        <v/>
      </c>
      <c r="O3" t="b">
        <v>0</v>
      </c>
      <c r="P3">
        <f>""</f>
        <v/>
      </c>
      <c r="Q3" t="inlineStr">
        <is>
          <t>Você não é pego de surpresa enquanto estiver acordado. Isso não revela criaturas escondidas, não muda sua posição na iniciativa e não concede uma ação adicional.</t>
        </is>
      </c>
      <c r="R3" t="n">
        <v>1</v>
      </c>
      <c r="S3" t="inlineStr">
        <is>
          <t>Fundamento / Manejos</t>
        </is>
      </c>
      <c r="T3" t="inlineStr">
        <is>
          <t>Instinto</t>
        </is>
      </c>
      <c r="W3">
        <f>IF($A3="",IF($J3&gt;0,INDEX('DADOS_TALENTOS'!$L$2:$L$24,MAX(1,$J3)),"Talento"),$A3)</f>
        <v/>
      </c>
      <c r="X3">
        <f>IF($B3="",IF($J3&gt;0,INDEX('DADOS_TALENTOS'!$M$2:$M$24,MAX(1,$J3)),""),$B3)</f>
        <v/>
      </c>
      <c r="Y3">
        <f>IF($C3="",IF($J3&gt;0,INDEX('DADOS_TALENTOS'!$N$2:$N$24,MAX(1,$J3)),""),$C3)</f>
        <v/>
      </c>
      <c r="Z3">
        <f>IF($D3="",IF($J3&gt;0,INDEX('DADOS_TALENTOS'!$O$2:$O$24,MAX(1,$J3)),FALSE),$D3)</f>
        <v/>
      </c>
      <c r="AA3">
        <f>IF($E3="",IF($J3&gt;0,INDEX('DADOS_TALENTOS'!$P$2:$P$24,MAX(1,$J3)),""),$E3)</f>
        <v/>
      </c>
      <c r="AB3">
        <f>IF($F3="",IF($J3&gt;0,INDEX('DADOS_TALENTOS'!$Q$2:$Q$24,MAX(1,$J3)),""),$F3)</f>
        <v/>
      </c>
      <c r="AC3">
        <f>IF($G3="",IF($J3&gt;0,INDEX('DADOS_TALENTOS'!$R$2:$R$24,MAX(1,$J3)),""),$G3)</f>
        <v/>
      </c>
      <c r="AD3">
        <f>IF($H3="",IF($J3&gt;0,INDEX('DADOS_TALENTOS'!$S$2:$S$24,MAX(1,$J3)),"Todas"),$H3)</f>
        <v/>
      </c>
      <c r="AE3">
        <f>IF($J3&gt;0,INDEX('DADOS_TALENTOS'!$T$2:$T$24,MAX(1,$J3)),"")</f>
        <v/>
      </c>
      <c r="AG3">
        <f>IF(AND(ISTEXT($B3),$B3&lt;&gt;"",TRIM($B3)=$B3),"","NOME precisa ser texto sem espaços nas pontas")</f>
        <v/>
      </c>
      <c r="AH3">
        <f>IF(COUNTIF('DADOS_TALENTOS'!$B$2:$B$11,SUBSTITUTE(SUBSTITUTE(SUBSTITUTE($B3,"~","~~"),"*","~*"),"?","~?"))+COUNTIF('DADOS_TALENTOS'!$M$2:$M$24,SUBSTITUTE(SUBSTITUTE(SUBSTITUTE($B3,"~","~~"),"*","~*"),"?","~?"))=1,"","Nome repetido no livro ou custom")</f>
        <v/>
      </c>
      <c r="AI3">
        <f>IF($J3&gt;=0,"","BASE DO LIVRO inválida para o grupo")</f>
        <v/>
      </c>
      <c r="AJ3">
        <f>IF(OR($W3="Talento"),"","TIPO inválido para o grupo")</f>
        <v/>
      </c>
      <c r="AK3">
        <f>IF(ISLOGICAL($Z3),"","MESTRE VIU precisa ser caixa de seleção")</f>
        <v/>
      </c>
      <c r="AL3">
        <f>IF(ISTEXT($AB3),"","EFEITO precisa ser texto")</f>
        <v/>
      </c>
      <c r="AM3">
        <f>IF(ISTEXT($AA3),"","REQUISITOS precisa ser texto")</f>
        <v/>
      </c>
      <c r="AN3">
        <f>IF(IFERROR(AND(ISNUMBER($AC3),NOT(ISLOGICAL($AC3)),$AC3=INT($AC3),$AC3&gt;=1,$AC3&lt;=3),FALSE),"","CE inválida")</f>
        <v/>
      </c>
      <c r="AO3">
        <f>IF(OR($AD3="Todas",$AD3="Fundamento / Manejos",$AD3="Técnica Marcial"),"","ROTA inválida")</f>
        <v/>
      </c>
      <c r="AQ3">
        <f>'DADOS_TALENTOS'!$M3</f>
        <v/>
      </c>
      <c r="AR3">
        <f>'DADOS_TALENTOS'!$R3</f>
        <v/>
      </c>
      <c r="AS3">
        <f>'DADOS_TALENTOS'!$Q3&amp;IF('DADOS_TALENTOS'!$P3="","",CHAR(10)&amp;"Requisitos: "&amp;'DADOS_TALENTOS'!$P3)</f>
        <v/>
      </c>
      <c r="AT3">
        <f>N(OR('DADOS_TALENTOS'!$S3="Todas",'DADOS_TALENTOS'!$S3="Fundamento / Manejos"))</f>
        <v/>
      </c>
      <c r="AU3">
        <f>N(OR('DADOS_TALENTOS'!$S3="Todas",'DADOS_TALENTOS'!$S3="Técnica Marcial"))</f>
        <v/>
      </c>
      <c r="AV3">
        <f>IF(OR(AND(DADOS_AM!$A$2&lt;=2,OR('DADOS_TALENTOS'!$S3="Todas",'DADOS_TALENTOS'!$S3="Fundamento / Manejos")),AND(DADOS_AM!$A$2&gt;=2,OR('DADOS_TALENTOS'!$S3="Todas",'DADOS_TALENTOS'!$S3="Técnica Marcial"))),'DADOS_TALENTOS'!$M3,"")</f>
        <v/>
      </c>
      <c r="AW3" t="inlineStr">
        <is>
          <t>Você não é pego de surpresa enquanto estiver acordado. Isso não revela criaturas escondidas, não muda sua posição na iniciativa e não concede uma ação adicional.</t>
        </is>
      </c>
      <c r="AY3" t="inlineStr">
        <is>
          <t>Leitura</t>
        </is>
      </c>
      <c r="AZ3" t="n">
        <v>2</v>
      </c>
      <c r="BA3" t="inlineStr">
        <is>
          <t>Fundamento / Manejos</t>
        </is>
      </c>
    </row>
    <row r="4">
      <c r="A4">
        <f>IF(ISBLANK('CONFIGURAÇÃO'!$B$2284),"",'CONFIGURAÇÃO'!$B$2284)</f>
        <v/>
      </c>
      <c r="B4">
        <f>IF(ISBLANK('CONFIGURAÇÃO'!$B$2286),"",'CONFIGURAÇÃO'!$B$2286)</f>
        <v/>
      </c>
      <c r="C4">
        <f>IF(ISBLANK('CONFIGURAÇÃO'!$E$2287),"",'CONFIGURAÇÃO'!$E$2287)</f>
        <v/>
      </c>
      <c r="D4">
        <f>IF(ISBLANK('CONFIGURAÇÃO'!$F$2284),"",'CONFIGURAÇÃO'!$F$2284)</f>
        <v/>
      </c>
      <c r="E4">
        <f>IF(ISBLANK('CONFIGURAÇÃO'!$B$2292),"",'CONFIGURAÇÃO'!$B$2292)</f>
        <v/>
      </c>
      <c r="F4">
        <f>IF(ISBLANK('CONFIGURAÇÃO'!$B$2298),"",'CONFIGURAÇÃO'!$B$2298)</f>
        <v/>
      </c>
      <c r="G4">
        <f>IF(ISBLANK('CONFIGURAÇÃO'!$E$2288),"",'CONFIGURAÇÃO'!$E$2288)</f>
        <v/>
      </c>
      <c r="H4">
        <f>IF(ISBLANK('CONFIGURAÇÃO'!$E$2289),"",'CONFIGURAÇÃO'!$E$2289)</f>
        <v/>
      </c>
      <c r="I4">
        <f>IF($K4,TEXTJOIN(" · ",TRUE,$AG4:$AO4),"")</f>
        <v/>
      </c>
      <c r="J4">
        <f>IF(OR($C4="",$C4="Nenhuma"),0,IFERROR(MATCH(SUBSTITUTE(SUBSTITUTE(SUBSTITUTE($C4,"~","~~"),"*","~*"),"?","~?"),'DADOS_TALENTOS'!$M$2:$M$24,0),-1))</f>
        <v/>
      </c>
      <c r="K4">
        <f>OR($B4&lt;&gt;"",$C4&lt;&gt;"",$E4&lt;&gt;"",$F4&lt;&gt;"",$G4&lt;&gt;"",$H4&lt;&gt;"",AND($D4&lt;&gt;"",$D4&lt;&gt;FALSE),AND($A4&lt;&gt;"",$A4&lt;&gt;"Talento"))</f>
        <v/>
      </c>
      <c r="L4" t="inlineStr">
        <is>
          <t>Talento</t>
        </is>
      </c>
      <c r="M4" t="inlineStr">
        <is>
          <t>Raiz</t>
        </is>
      </c>
      <c r="N4">
        <f>""</f>
        <v/>
      </c>
      <c r="O4" t="b">
        <v>0</v>
      </c>
      <c r="P4">
        <f>""</f>
        <v/>
      </c>
      <c r="Q4" t="inlineStr">
        <is>
          <t>Você não é movido à força nem fica Derrubado contra a sua vontade. Pode aceitar um deslocamento ou se deitar por escolha própria. O Talento não impede o dano de um efeito que também empurre ou derrube.</t>
        </is>
      </c>
      <c r="R4" t="n">
        <v>1</v>
      </c>
      <c r="S4" t="inlineStr">
        <is>
          <t>Fundamento / Manejos</t>
        </is>
      </c>
      <c r="T4" t="inlineStr">
        <is>
          <t>Raiz</t>
        </is>
      </c>
      <c r="W4">
        <f>IF($A4="",IF($J4&gt;0,INDEX('DADOS_TALENTOS'!$L$2:$L$24,MAX(1,$J4)),"Talento"),$A4)</f>
        <v/>
      </c>
      <c r="X4">
        <f>IF($B4="",IF($J4&gt;0,INDEX('DADOS_TALENTOS'!$M$2:$M$24,MAX(1,$J4)),""),$B4)</f>
        <v/>
      </c>
      <c r="Y4">
        <f>IF($C4="",IF($J4&gt;0,INDEX('DADOS_TALENTOS'!$N$2:$N$24,MAX(1,$J4)),""),$C4)</f>
        <v/>
      </c>
      <c r="Z4">
        <f>IF($D4="",IF($J4&gt;0,INDEX('DADOS_TALENTOS'!$O$2:$O$24,MAX(1,$J4)),FALSE),$D4)</f>
        <v/>
      </c>
      <c r="AA4">
        <f>IF($E4="",IF($J4&gt;0,INDEX('DADOS_TALENTOS'!$P$2:$P$24,MAX(1,$J4)),""),$E4)</f>
        <v/>
      </c>
      <c r="AB4">
        <f>IF($F4="",IF($J4&gt;0,INDEX('DADOS_TALENTOS'!$Q$2:$Q$24,MAX(1,$J4)),""),$F4)</f>
        <v/>
      </c>
      <c r="AC4">
        <f>IF($G4="",IF($J4&gt;0,INDEX('DADOS_TALENTOS'!$R$2:$R$24,MAX(1,$J4)),""),$G4)</f>
        <v/>
      </c>
      <c r="AD4">
        <f>IF($H4="",IF($J4&gt;0,INDEX('DADOS_TALENTOS'!$S$2:$S$24,MAX(1,$J4)),"Todas"),$H4)</f>
        <v/>
      </c>
      <c r="AE4">
        <f>IF($J4&gt;0,INDEX('DADOS_TALENTOS'!$T$2:$T$24,MAX(1,$J4)),"")</f>
        <v/>
      </c>
      <c r="AG4">
        <f>IF(AND(ISTEXT($B4),$B4&lt;&gt;"",TRIM($B4)=$B4),"","NOME precisa ser texto sem espaços nas pontas")</f>
        <v/>
      </c>
      <c r="AH4">
        <f>IF(COUNTIF('DADOS_TALENTOS'!$B$2:$B$11,SUBSTITUTE(SUBSTITUTE(SUBSTITUTE($B4,"~","~~"),"*","~*"),"?","~?"))+COUNTIF('DADOS_TALENTOS'!$M$2:$M$24,SUBSTITUTE(SUBSTITUTE(SUBSTITUTE($B4,"~","~~"),"*","~*"),"?","~?"))=1,"","Nome repetido no livro ou custom")</f>
        <v/>
      </c>
      <c r="AI4">
        <f>IF($J4&gt;=0,"","BASE DO LIVRO inválida para o grupo")</f>
        <v/>
      </c>
      <c r="AJ4">
        <f>IF(OR($W4="Talento"),"","TIPO inválido para o grupo")</f>
        <v/>
      </c>
      <c r="AK4">
        <f>IF(ISLOGICAL($Z4),"","MESTRE VIU precisa ser caixa de seleção")</f>
        <v/>
      </c>
      <c r="AL4">
        <f>IF(ISTEXT($AB4),"","EFEITO precisa ser texto")</f>
        <v/>
      </c>
      <c r="AM4">
        <f>IF(ISTEXT($AA4),"","REQUISITOS precisa ser texto")</f>
        <v/>
      </c>
      <c r="AN4">
        <f>IF(IFERROR(AND(ISNUMBER($AC4),NOT(ISLOGICAL($AC4)),$AC4=INT($AC4),$AC4&gt;=1,$AC4&lt;=3),FALSE),"","CE inválida")</f>
        <v/>
      </c>
      <c r="AO4">
        <f>IF(OR($AD4="Todas",$AD4="Fundamento / Manejos",$AD4="Técnica Marcial"),"","ROTA inválida")</f>
        <v/>
      </c>
      <c r="AQ4">
        <f>'DADOS_TALENTOS'!$M4</f>
        <v/>
      </c>
      <c r="AR4">
        <f>'DADOS_TALENTOS'!$R4</f>
        <v/>
      </c>
      <c r="AS4">
        <f>'DADOS_TALENTOS'!$Q4&amp;IF('DADOS_TALENTOS'!$P4="","",CHAR(10)&amp;"Requisitos: "&amp;'DADOS_TALENTOS'!$P4)</f>
        <v/>
      </c>
      <c r="AT4">
        <f>N(OR('DADOS_TALENTOS'!$S4="Todas",'DADOS_TALENTOS'!$S4="Fundamento / Manejos"))</f>
        <v/>
      </c>
      <c r="AU4">
        <f>N(OR('DADOS_TALENTOS'!$S4="Todas",'DADOS_TALENTOS'!$S4="Técnica Marcial"))</f>
        <v/>
      </c>
      <c r="AV4">
        <f>IF(OR(AND(DADOS_AM!$A$2&lt;=2,OR('DADOS_TALENTOS'!$S4="Todas",'DADOS_TALENTOS'!$S4="Fundamento / Manejos")),AND(DADOS_AM!$A$2&gt;=2,OR('DADOS_TALENTOS'!$S4="Todas",'DADOS_TALENTOS'!$S4="Técnica Marcial"))),'DADOS_TALENTOS'!$M4,"")</f>
        <v/>
      </c>
      <c r="AW4" t="inlineStr">
        <is>
          <t>Você não é movido à força nem fica Derrubado contra a sua vontade. Pode aceitar um deslocamento ou se deitar por escolha própria. O Talento não impede o dano de um efeito que também empurre ou derrube.</t>
        </is>
      </c>
      <c r="AY4" t="inlineStr">
        <is>
          <t>Instinto</t>
        </is>
      </c>
      <c r="AZ4" t="n">
        <v>3</v>
      </c>
      <c r="BA4" t="inlineStr">
        <is>
          <t>Técnica Marcial</t>
        </is>
      </c>
    </row>
    <row r="5">
      <c r="A5">
        <f>IF(ISBLANK('CONFIGURAÇÃO'!$J$2284),"",'CONFIGURAÇÃO'!$J$2284)</f>
        <v/>
      </c>
      <c r="B5">
        <f>IF(ISBLANK('CONFIGURAÇÃO'!$J$2286),"",'CONFIGURAÇÃO'!$J$2286)</f>
        <v/>
      </c>
      <c r="C5">
        <f>IF(ISBLANK('CONFIGURAÇÃO'!$M$2287),"",'CONFIGURAÇÃO'!$M$2287)</f>
        <v/>
      </c>
      <c r="D5">
        <f>IF(ISBLANK('CONFIGURAÇÃO'!$N$2284),"",'CONFIGURAÇÃO'!$N$2284)</f>
        <v/>
      </c>
      <c r="E5">
        <f>IF(ISBLANK('CONFIGURAÇÃO'!$J$2292),"",'CONFIGURAÇÃO'!$J$2292)</f>
        <v/>
      </c>
      <c r="F5">
        <f>IF(ISBLANK('CONFIGURAÇÃO'!$J$2298),"",'CONFIGURAÇÃO'!$J$2298)</f>
        <v/>
      </c>
      <c r="G5">
        <f>IF(ISBLANK('CONFIGURAÇÃO'!$M$2288),"",'CONFIGURAÇÃO'!$M$2288)</f>
        <v/>
      </c>
      <c r="H5">
        <f>IF(ISBLANK('CONFIGURAÇÃO'!$M$2289),"",'CONFIGURAÇÃO'!$M$2289)</f>
        <v/>
      </c>
      <c r="I5">
        <f>IF($K5,TEXTJOIN(" · ",TRUE,$AG5:$AO5),"")</f>
        <v/>
      </c>
      <c r="J5">
        <f>IF(OR($C5="",$C5="Nenhuma"),0,IFERROR(MATCH(SUBSTITUTE(SUBSTITUTE(SUBSTITUTE($C5,"~","~~"),"*","~*"),"?","~?"),'DADOS_TALENTOS'!$M$2:$M$24,0),-1))</f>
        <v/>
      </c>
      <c r="K5">
        <f>OR($B5&lt;&gt;"",$C5&lt;&gt;"",$E5&lt;&gt;"",$F5&lt;&gt;"",$G5&lt;&gt;"",$H5&lt;&gt;"",AND($D5&lt;&gt;"",$D5&lt;&gt;FALSE),AND($A5&lt;&gt;"",$A5&lt;&gt;"Talento"))</f>
        <v/>
      </c>
      <c r="L5" t="inlineStr">
        <is>
          <t>Talento</t>
        </is>
      </c>
      <c r="M5" t="inlineStr">
        <is>
          <t>Mão Firme</t>
        </is>
      </c>
      <c r="N5">
        <f>""</f>
        <v/>
      </c>
      <c r="O5" t="b">
        <v>0</v>
      </c>
      <c r="P5">
        <f>""</f>
        <v/>
      </c>
      <c r="Q5" t="inlineStr">
        <is>
          <t>Quando uma ocorrência de dano causar 10 pontos ou menos, você não precisa fazer o teste para manter Concentração ou Carregar. Confira o dano de cada ocorrência depois das reduções aplicáveis. Não some todos os golpes da rodada.</t>
        </is>
      </c>
      <c r="R5" t="n">
        <v>1</v>
      </c>
      <c r="S5" t="inlineStr">
        <is>
          <t>Fundamento / Manejos</t>
        </is>
      </c>
      <c r="T5" t="inlineStr">
        <is>
          <t>Mão Firme</t>
        </is>
      </c>
      <c r="W5">
        <f>IF($A5="",IF($J5&gt;0,INDEX('DADOS_TALENTOS'!$L$2:$L$24,MAX(1,$J5)),"Talento"),$A5)</f>
        <v/>
      </c>
      <c r="X5">
        <f>IF($B5="",IF($J5&gt;0,INDEX('DADOS_TALENTOS'!$M$2:$M$24,MAX(1,$J5)),""),$B5)</f>
        <v/>
      </c>
      <c r="Y5">
        <f>IF($C5="",IF($J5&gt;0,INDEX('DADOS_TALENTOS'!$N$2:$N$24,MAX(1,$J5)),""),$C5)</f>
        <v/>
      </c>
      <c r="Z5">
        <f>IF($D5="",IF($J5&gt;0,INDEX('DADOS_TALENTOS'!$O$2:$O$24,MAX(1,$J5)),FALSE),$D5)</f>
        <v/>
      </c>
      <c r="AA5">
        <f>IF($E5="",IF($J5&gt;0,INDEX('DADOS_TALENTOS'!$P$2:$P$24,MAX(1,$J5)),""),$E5)</f>
        <v/>
      </c>
      <c r="AB5">
        <f>IF($F5="",IF($J5&gt;0,INDEX('DADOS_TALENTOS'!$Q$2:$Q$24,MAX(1,$J5)),""),$F5)</f>
        <v/>
      </c>
      <c r="AC5">
        <f>IF($G5="",IF($J5&gt;0,INDEX('DADOS_TALENTOS'!$R$2:$R$24,MAX(1,$J5)),""),$G5)</f>
        <v/>
      </c>
      <c r="AD5">
        <f>IF($H5="",IF($J5&gt;0,INDEX('DADOS_TALENTOS'!$S$2:$S$24,MAX(1,$J5)),"Todas"),$H5)</f>
        <v/>
      </c>
      <c r="AE5">
        <f>IF($J5&gt;0,INDEX('DADOS_TALENTOS'!$T$2:$T$24,MAX(1,$J5)),"")</f>
        <v/>
      </c>
      <c r="AG5">
        <f>IF(AND(ISTEXT($B5),$B5&lt;&gt;"",TRIM($B5)=$B5),"","NOME precisa ser texto sem espaços nas pontas")</f>
        <v/>
      </c>
      <c r="AH5">
        <f>IF(COUNTIF('DADOS_TALENTOS'!$B$2:$B$11,SUBSTITUTE(SUBSTITUTE(SUBSTITUTE($B5,"~","~~"),"*","~*"),"?","~?"))+COUNTIF('DADOS_TALENTOS'!$M$2:$M$24,SUBSTITUTE(SUBSTITUTE(SUBSTITUTE($B5,"~","~~"),"*","~*"),"?","~?"))=1,"","Nome repetido no livro ou custom")</f>
        <v/>
      </c>
      <c r="AI5">
        <f>IF($J5&gt;=0,"","BASE DO LIVRO inválida para o grupo")</f>
        <v/>
      </c>
      <c r="AJ5">
        <f>IF(OR($W5="Talento"),"","TIPO inválido para o grupo")</f>
        <v/>
      </c>
      <c r="AK5">
        <f>IF(ISLOGICAL($Z5),"","MESTRE VIU precisa ser caixa de seleção")</f>
        <v/>
      </c>
      <c r="AL5">
        <f>IF(ISTEXT($AB5),"","EFEITO precisa ser texto")</f>
        <v/>
      </c>
      <c r="AM5">
        <f>IF(ISTEXT($AA5),"","REQUISITOS precisa ser texto")</f>
        <v/>
      </c>
      <c r="AN5">
        <f>IF(IFERROR(AND(ISNUMBER($AC5),NOT(ISLOGICAL($AC5)),$AC5=INT($AC5),$AC5&gt;=1,$AC5&lt;=3),FALSE),"","CE inválida")</f>
        <v/>
      </c>
      <c r="AO5">
        <f>IF(OR($AD5="Todas",$AD5="Fundamento / Manejos",$AD5="Técnica Marcial"),"","ROTA inválida")</f>
        <v/>
      </c>
      <c r="AQ5">
        <f>'DADOS_TALENTOS'!$M5</f>
        <v/>
      </c>
      <c r="AR5">
        <f>'DADOS_TALENTOS'!$R5</f>
        <v/>
      </c>
      <c r="AS5">
        <f>'DADOS_TALENTOS'!$Q5&amp;IF('DADOS_TALENTOS'!$P5="","",CHAR(10)&amp;"Requisitos: "&amp;'DADOS_TALENTOS'!$P5)</f>
        <v/>
      </c>
      <c r="AT5">
        <f>N(OR('DADOS_TALENTOS'!$S5="Todas",'DADOS_TALENTOS'!$S5="Fundamento / Manejos"))</f>
        <v/>
      </c>
      <c r="AU5">
        <f>N(OR('DADOS_TALENTOS'!$S5="Todas",'DADOS_TALENTOS'!$S5="Técnica Marcial"))</f>
        <v/>
      </c>
      <c r="AV5">
        <f>IF(OR(AND(DADOS_AM!$A$2&lt;=2,OR('DADOS_TALENTOS'!$S5="Todas",'DADOS_TALENTOS'!$S5="Fundamento / Manejos")),AND(DADOS_AM!$A$2&gt;=2,OR('DADOS_TALENTOS'!$S5="Todas",'DADOS_TALENTOS'!$S5="Técnica Marcial"))),'DADOS_TALENTOS'!$M5,"")</f>
        <v/>
      </c>
      <c r="AW5" t="inlineStr">
        <is>
          <t>Quando uma ocorrência de dano causar 10 pontos ou menos, você não precisa fazer o teste para manter Concentração ou Carregar. Confira o dano de cada ocorrência depois das reduções aplicáveis. Não some todos os golpes da rodada.</t>
        </is>
      </c>
      <c r="AY5" t="inlineStr">
        <is>
          <t>Raiz</t>
        </is>
      </c>
    </row>
    <row r="6">
      <c r="A6">
        <f>IF(ISBLANK('CONFIGURAÇÃO'!$B$2309),"",'CONFIGURAÇÃO'!$B$2309)</f>
        <v/>
      </c>
      <c r="B6">
        <f>IF(ISBLANK('CONFIGURAÇÃO'!$B$2311),"",'CONFIGURAÇÃO'!$B$2311)</f>
        <v/>
      </c>
      <c r="C6">
        <f>IF(ISBLANK('CONFIGURAÇÃO'!$E$2312),"",'CONFIGURAÇÃO'!$E$2312)</f>
        <v/>
      </c>
      <c r="D6">
        <f>IF(ISBLANK('CONFIGURAÇÃO'!$F$2309),"",'CONFIGURAÇÃO'!$F$2309)</f>
        <v/>
      </c>
      <c r="E6">
        <f>IF(ISBLANK('CONFIGURAÇÃO'!$B$2317),"",'CONFIGURAÇÃO'!$B$2317)</f>
        <v/>
      </c>
      <c r="F6">
        <f>IF(ISBLANK('CONFIGURAÇÃO'!$B$2323),"",'CONFIGURAÇÃO'!$B$2323)</f>
        <v/>
      </c>
      <c r="G6">
        <f>IF(ISBLANK('CONFIGURAÇÃO'!$E$2313),"",'CONFIGURAÇÃO'!$E$2313)</f>
        <v/>
      </c>
      <c r="H6">
        <f>IF(ISBLANK('CONFIGURAÇÃO'!$E$2314),"",'CONFIGURAÇÃO'!$E$2314)</f>
        <v/>
      </c>
      <c r="I6">
        <f>IF($K6,TEXTJOIN(" · ",TRUE,$AG6:$AO6),"")</f>
        <v/>
      </c>
      <c r="J6">
        <f>IF(OR($C6="",$C6="Nenhuma"),0,IFERROR(MATCH(SUBSTITUTE(SUBSTITUTE(SUBSTITUTE($C6,"~","~~"),"*","~*"),"?","~?"),'DADOS_TALENTOS'!$M$2:$M$24,0),-1))</f>
        <v/>
      </c>
      <c r="K6">
        <f>OR($B6&lt;&gt;"",$C6&lt;&gt;"",$E6&lt;&gt;"",$F6&lt;&gt;"",$G6&lt;&gt;"",$H6&lt;&gt;"",AND($D6&lt;&gt;"",$D6&lt;&gt;FALSE),AND($A6&lt;&gt;"",$A6&lt;&gt;"Talento"))</f>
        <v/>
      </c>
      <c r="L6" t="inlineStr">
        <is>
          <t>Talento</t>
        </is>
      </c>
      <c r="M6" t="inlineStr">
        <is>
          <t>Farejador</t>
        </is>
      </c>
      <c r="N6">
        <f>""</f>
        <v/>
      </c>
      <c r="O6" t="b">
        <v>0</v>
      </c>
      <c r="P6">
        <f>""</f>
        <v/>
      </c>
      <c r="Q6" t="inlineStr">
        <is>
          <t>Você sente se houve uma conjuração no local onde está nas últimas 24 horas, e identifica a Classe deixada por ela. Se houver vestígios de mais de uma Classe, reconhece essas Classes.</t>
        </is>
      </c>
      <c r="R6" t="n">
        <v>1</v>
      </c>
      <c r="S6" t="inlineStr">
        <is>
          <t>Fundamento / Manejos</t>
        </is>
      </c>
      <c r="T6" t="inlineStr">
        <is>
          <t>Farejador</t>
        </is>
      </c>
      <c r="W6">
        <f>IF($A6="",IF($J6&gt;0,INDEX('DADOS_TALENTOS'!$L$2:$L$24,MAX(1,$J6)),"Talento"),$A6)</f>
        <v/>
      </c>
      <c r="X6">
        <f>IF($B6="",IF($J6&gt;0,INDEX('DADOS_TALENTOS'!$M$2:$M$24,MAX(1,$J6)),""),$B6)</f>
        <v/>
      </c>
      <c r="Y6">
        <f>IF($C6="",IF($J6&gt;0,INDEX('DADOS_TALENTOS'!$N$2:$N$24,MAX(1,$J6)),""),$C6)</f>
        <v/>
      </c>
      <c r="Z6">
        <f>IF($D6="",IF($J6&gt;0,INDEX('DADOS_TALENTOS'!$O$2:$O$24,MAX(1,$J6)),FALSE),$D6)</f>
        <v/>
      </c>
      <c r="AA6">
        <f>IF($E6="",IF($J6&gt;0,INDEX('DADOS_TALENTOS'!$P$2:$P$24,MAX(1,$J6)),""),$E6)</f>
        <v/>
      </c>
      <c r="AB6">
        <f>IF($F6="",IF($J6&gt;0,INDEX('DADOS_TALENTOS'!$Q$2:$Q$24,MAX(1,$J6)),""),$F6)</f>
        <v/>
      </c>
      <c r="AC6">
        <f>IF($G6="",IF($J6&gt;0,INDEX('DADOS_TALENTOS'!$R$2:$R$24,MAX(1,$J6)),""),$G6)</f>
        <v/>
      </c>
      <c r="AD6">
        <f>IF($H6="",IF($J6&gt;0,INDEX('DADOS_TALENTOS'!$S$2:$S$24,MAX(1,$J6)),"Todas"),$H6)</f>
        <v/>
      </c>
      <c r="AE6">
        <f>IF($J6&gt;0,INDEX('DADOS_TALENTOS'!$T$2:$T$24,MAX(1,$J6)),"")</f>
        <v/>
      </c>
      <c r="AG6">
        <f>IF(AND(ISTEXT($B6),$B6&lt;&gt;"",TRIM($B6)=$B6),"","NOME precisa ser texto sem espaços nas pontas")</f>
        <v/>
      </c>
      <c r="AH6">
        <f>IF(COUNTIF('DADOS_TALENTOS'!$B$2:$B$11,SUBSTITUTE(SUBSTITUTE(SUBSTITUTE($B6,"~","~~"),"*","~*"),"?","~?"))+COUNTIF('DADOS_TALENTOS'!$M$2:$M$24,SUBSTITUTE(SUBSTITUTE(SUBSTITUTE($B6,"~","~~"),"*","~*"),"?","~?"))=1,"","Nome repetido no livro ou custom")</f>
        <v/>
      </c>
      <c r="AI6">
        <f>IF($J6&gt;=0,"","BASE DO LIVRO inválida para o grupo")</f>
        <v/>
      </c>
      <c r="AJ6">
        <f>IF(OR($W6="Talento"),"","TIPO inválido para o grupo")</f>
        <v/>
      </c>
      <c r="AK6">
        <f>IF(ISLOGICAL($Z6),"","MESTRE VIU precisa ser caixa de seleção")</f>
        <v/>
      </c>
      <c r="AL6">
        <f>IF(ISTEXT($AB6),"","EFEITO precisa ser texto")</f>
        <v/>
      </c>
      <c r="AM6">
        <f>IF(ISTEXT($AA6),"","REQUISITOS precisa ser texto")</f>
        <v/>
      </c>
      <c r="AN6">
        <f>IF(IFERROR(AND(ISNUMBER($AC6),NOT(ISLOGICAL($AC6)),$AC6=INT($AC6),$AC6&gt;=1,$AC6&lt;=3),FALSE),"","CE inválida")</f>
        <v/>
      </c>
      <c r="AO6">
        <f>IF(OR($AD6="Todas",$AD6="Fundamento / Manejos",$AD6="Técnica Marcial"),"","ROTA inválida")</f>
        <v/>
      </c>
      <c r="AQ6">
        <f>'DADOS_TALENTOS'!$M6</f>
        <v/>
      </c>
      <c r="AR6">
        <f>'DADOS_TALENTOS'!$R6</f>
        <v/>
      </c>
      <c r="AS6">
        <f>'DADOS_TALENTOS'!$Q6&amp;IF('DADOS_TALENTOS'!$P6="","",CHAR(10)&amp;"Requisitos: "&amp;'DADOS_TALENTOS'!$P6)</f>
        <v/>
      </c>
      <c r="AT6">
        <f>N(OR('DADOS_TALENTOS'!$S6="Todas",'DADOS_TALENTOS'!$S6="Fundamento / Manejos"))</f>
        <v/>
      </c>
      <c r="AU6">
        <f>N(OR('DADOS_TALENTOS'!$S6="Todas",'DADOS_TALENTOS'!$S6="Técnica Marcial"))</f>
        <v/>
      </c>
      <c r="AV6">
        <f>IF(OR(AND(DADOS_AM!$A$2&lt;=2,OR('DADOS_TALENTOS'!$S6="Todas",'DADOS_TALENTOS'!$S6="Fundamento / Manejos")),AND(DADOS_AM!$A$2&gt;=2,OR('DADOS_TALENTOS'!$S6="Todas",'DADOS_TALENTOS'!$S6="Técnica Marcial"))),'DADOS_TALENTOS'!$M6,"")</f>
        <v/>
      </c>
      <c r="AW6" t="inlineStr">
        <is>
          <t>Você sente se houve uma conjuração no local onde está nas últimas 24 horas, e identifica a Classe deixada por ela. Se houver vestígios de mais de uma Classe, reconhece essas Classes.</t>
        </is>
      </c>
      <c r="AY6" t="inlineStr">
        <is>
          <t>Mão Firme</t>
        </is>
      </c>
    </row>
    <row r="7">
      <c r="A7">
        <f>IF(ISBLANK('CONFIGURAÇÃO'!$J$2309),"",'CONFIGURAÇÃO'!$J$2309)</f>
        <v/>
      </c>
      <c r="B7">
        <f>IF(ISBLANK('CONFIGURAÇÃO'!$J$2311),"",'CONFIGURAÇÃO'!$J$2311)</f>
        <v/>
      </c>
      <c r="C7">
        <f>IF(ISBLANK('CONFIGURAÇÃO'!$M$2312),"",'CONFIGURAÇÃO'!$M$2312)</f>
        <v/>
      </c>
      <c r="D7">
        <f>IF(ISBLANK('CONFIGURAÇÃO'!$N$2309),"",'CONFIGURAÇÃO'!$N$2309)</f>
        <v/>
      </c>
      <c r="E7">
        <f>IF(ISBLANK('CONFIGURAÇÃO'!$J$2317),"",'CONFIGURAÇÃO'!$J$2317)</f>
        <v/>
      </c>
      <c r="F7">
        <f>IF(ISBLANK('CONFIGURAÇÃO'!$J$2323),"",'CONFIGURAÇÃO'!$J$2323)</f>
        <v/>
      </c>
      <c r="G7">
        <f>IF(ISBLANK('CONFIGURAÇÃO'!$M$2313),"",'CONFIGURAÇÃO'!$M$2313)</f>
        <v/>
      </c>
      <c r="H7">
        <f>IF(ISBLANK('CONFIGURAÇÃO'!$M$2314),"",'CONFIGURAÇÃO'!$M$2314)</f>
        <v/>
      </c>
      <c r="I7">
        <f>IF($K7,TEXTJOIN(" · ",TRUE,$AG7:$AO7),"")</f>
        <v/>
      </c>
      <c r="J7">
        <f>IF(OR($C7="",$C7="Nenhuma"),0,IFERROR(MATCH(SUBSTITUTE(SUBSTITUTE(SUBSTITUTE($C7,"~","~~"),"*","~*"),"?","~?"),'DADOS_TALENTOS'!$M$2:$M$24,0),-1))</f>
        <v/>
      </c>
      <c r="K7">
        <f>OR($B7&lt;&gt;"",$C7&lt;&gt;"",$E7&lt;&gt;"",$F7&lt;&gt;"",$G7&lt;&gt;"",$H7&lt;&gt;"",AND($D7&lt;&gt;"",$D7&lt;&gt;FALSE),AND($A7&lt;&gt;"",$A7&lt;&gt;"Talento"))</f>
        <v/>
      </c>
      <c r="L7" t="inlineStr">
        <is>
          <t>Talento</t>
        </is>
      </c>
      <c r="M7" t="inlineStr">
        <is>
          <t>Leitura de Feitiços</t>
        </is>
      </c>
      <c r="N7">
        <f>""</f>
        <v/>
      </c>
      <c r="O7" t="b">
        <v>0</v>
      </c>
      <c r="P7">
        <f>""</f>
        <v/>
      </c>
      <c r="Q7" t="inlineStr">
        <is>
          <t>Ao ter um inimigo à vista, você sabe qual foi o último feitiço que ele usou, mesmo que não tenha presenciado aquela conjuração. Recebe o nome ou uma descrição suficiente para reconhecer a aplicação, não sua ficha completa.</t>
        </is>
      </c>
      <c r="R7" t="n">
        <v>1</v>
      </c>
      <c r="S7" t="inlineStr">
        <is>
          <t>Fundamento / Manejos</t>
        </is>
      </c>
      <c r="T7" t="inlineStr">
        <is>
          <t>Leitura de Feitiços</t>
        </is>
      </c>
      <c r="W7">
        <f>IF($A7="",IF($J7&gt;0,INDEX('DADOS_TALENTOS'!$L$2:$L$24,MAX(1,$J7)),"Talento"),$A7)</f>
        <v/>
      </c>
      <c r="X7">
        <f>IF($B7="",IF($J7&gt;0,INDEX('DADOS_TALENTOS'!$M$2:$M$24,MAX(1,$J7)),""),$B7)</f>
        <v/>
      </c>
      <c r="Y7">
        <f>IF($C7="",IF($J7&gt;0,INDEX('DADOS_TALENTOS'!$N$2:$N$24,MAX(1,$J7)),""),$C7)</f>
        <v/>
      </c>
      <c r="Z7">
        <f>IF($D7="",IF($J7&gt;0,INDEX('DADOS_TALENTOS'!$O$2:$O$24,MAX(1,$J7)),FALSE),$D7)</f>
        <v/>
      </c>
      <c r="AA7">
        <f>IF($E7="",IF($J7&gt;0,INDEX('DADOS_TALENTOS'!$P$2:$P$24,MAX(1,$J7)),""),$E7)</f>
        <v/>
      </c>
      <c r="AB7">
        <f>IF($F7="",IF($J7&gt;0,INDEX('DADOS_TALENTOS'!$Q$2:$Q$24,MAX(1,$J7)),""),$F7)</f>
        <v/>
      </c>
      <c r="AC7">
        <f>IF($G7="",IF($J7&gt;0,INDEX('DADOS_TALENTOS'!$R$2:$R$24,MAX(1,$J7)),""),$G7)</f>
        <v/>
      </c>
      <c r="AD7">
        <f>IF($H7="",IF($J7&gt;0,INDEX('DADOS_TALENTOS'!$S$2:$S$24,MAX(1,$J7)),"Todas"),$H7)</f>
        <v/>
      </c>
      <c r="AE7">
        <f>IF($J7&gt;0,INDEX('DADOS_TALENTOS'!$T$2:$T$24,MAX(1,$J7)),"")</f>
        <v/>
      </c>
      <c r="AG7">
        <f>IF(AND(ISTEXT($B7),$B7&lt;&gt;"",TRIM($B7)=$B7),"","NOME precisa ser texto sem espaços nas pontas")</f>
        <v/>
      </c>
      <c r="AH7">
        <f>IF(COUNTIF('DADOS_TALENTOS'!$B$2:$B$11,SUBSTITUTE(SUBSTITUTE(SUBSTITUTE($B7,"~","~~"),"*","~*"),"?","~?"))+COUNTIF('DADOS_TALENTOS'!$M$2:$M$24,SUBSTITUTE(SUBSTITUTE(SUBSTITUTE($B7,"~","~~"),"*","~*"),"?","~?"))=1,"","Nome repetido no livro ou custom")</f>
        <v/>
      </c>
      <c r="AI7">
        <f>IF($J7&gt;=0,"","BASE DO LIVRO inválida para o grupo")</f>
        <v/>
      </c>
      <c r="AJ7">
        <f>IF(OR($W7="Talento"),"","TIPO inválido para o grupo")</f>
        <v/>
      </c>
      <c r="AK7">
        <f>IF(ISLOGICAL($Z7),"","MESTRE VIU precisa ser caixa de seleção")</f>
        <v/>
      </c>
      <c r="AL7">
        <f>IF(ISTEXT($AB7),"","EFEITO precisa ser texto")</f>
        <v/>
      </c>
      <c r="AM7">
        <f>IF(ISTEXT($AA7),"","REQUISITOS precisa ser texto")</f>
        <v/>
      </c>
      <c r="AN7">
        <f>IF(IFERROR(AND(ISNUMBER($AC7),NOT(ISLOGICAL($AC7)),$AC7=INT($AC7),$AC7&gt;=1,$AC7&lt;=3),FALSE),"","CE inválida")</f>
        <v/>
      </c>
      <c r="AO7">
        <f>IF(OR($AD7="Todas",$AD7="Fundamento / Manejos",$AD7="Técnica Marcial"),"","ROTA inválida")</f>
        <v/>
      </c>
      <c r="AQ7">
        <f>'DADOS_TALENTOS'!$M7</f>
        <v/>
      </c>
      <c r="AR7">
        <f>'DADOS_TALENTOS'!$R7</f>
        <v/>
      </c>
      <c r="AS7">
        <f>'DADOS_TALENTOS'!$Q7&amp;IF('DADOS_TALENTOS'!$P7="","",CHAR(10)&amp;"Requisitos: "&amp;'DADOS_TALENTOS'!$P7)</f>
        <v/>
      </c>
      <c r="AT7">
        <f>N(OR('DADOS_TALENTOS'!$S7="Todas",'DADOS_TALENTOS'!$S7="Fundamento / Manejos"))</f>
        <v/>
      </c>
      <c r="AU7">
        <f>N(OR('DADOS_TALENTOS'!$S7="Todas",'DADOS_TALENTOS'!$S7="Técnica Marcial"))</f>
        <v/>
      </c>
      <c r="AV7">
        <f>IF(OR(AND(DADOS_AM!$A$2&lt;=2,OR('DADOS_TALENTOS'!$S7="Todas",'DADOS_TALENTOS'!$S7="Fundamento / Manejos")),AND(DADOS_AM!$A$2&gt;=2,OR('DADOS_TALENTOS'!$S7="Todas",'DADOS_TALENTOS'!$S7="Técnica Marcial"))),'DADOS_TALENTOS'!$M7,"")</f>
        <v/>
      </c>
      <c r="AW7" t="inlineStr">
        <is>
          <t>Ao ter um inimigo à vista, você sabe qual foi o último feitiço que ele usou, mesmo que não tenha presenciado aquela conjuração. Recebe o nome ou uma descrição suficiente para reconhecer a aplicação, não sua ficha completa.</t>
        </is>
      </c>
      <c r="AY7" t="inlineStr">
        <is>
          <t>Farejador</t>
        </is>
      </c>
    </row>
    <row r="8">
      <c r="A8">
        <f>IF(ISBLANK('CONFIGURAÇÃO'!$B$2334),"",'CONFIGURAÇÃO'!$B$2334)</f>
        <v/>
      </c>
      <c r="B8">
        <f>IF(ISBLANK('CONFIGURAÇÃO'!$B$2336),"",'CONFIGURAÇÃO'!$B$2336)</f>
        <v/>
      </c>
      <c r="C8">
        <f>IF(ISBLANK('CONFIGURAÇÃO'!$E$2337),"",'CONFIGURAÇÃO'!$E$2337)</f>
        <v/>
      </c>
      <c r="D8">
        <f>IF(ISBLANK('CONFIGURAÇÃO'!$F$2334),"",'CONFIGURAÇÃO'!$F$2334)</f>
        <v/>
      </c>
      <c r="E8">
        <f>IF(ISBLANK('CONFIGURAÇÃO'!$B$2342),"",'CONFIGURAÇÃO'!$B$2342)</f>
        <v/>
      </c>
      <c r="F8">
        <f>IF(ISBLANK('CONFIGURAÇÃO'!$B$2348),"",'CONFIGURAÇÃO'!$B$2348)</f>
        <v/>
      </c>
      <c r="G8">
        <f>IF(ISBLANK('CONFIGURAÇÃO'!$E$2338),"",'CONFIGURAÇÃO'!$E$2338)</f>
        <v/>
      </c>
      <c r="H8">
        <f>IF(ISBLANK('CONFIGURAÇÃO'!$E$2339),"",'CONFIGURAÇÃO'!$E$2339)</f>
        <v/>
      </c>
      <c r="I8">
        <f>IF($K8,TEXTJOIN(" · ",TRUE,$AG8:$AO8),"")</f>
        <v/>
      </c>
      <c r="J8">
        <f>IF(OR($C8="",$C8="Nenhuma"),0,IFERROR(MATCH(SUBSTITUTE(SUBSTITUTE(SUBSTITUTE($C8,"~","~~"),"*","~*"),"?","~?"),'DADOS_TALENTOS'!$M$2:$M$24,0),-1))</f>
        <v/>
      </c>
      <c r="K8">
        <f>OR($B8&lt;&gt;"",$C8&lt;&gt;"",$E8&lt;&gt;"",$F8&lt;&gt;"",$G8&lt;&gt;"",$H8&lt;&gt;"",AND($D8&lt;&gt;"",$D8&lt;&gt;FALSE),AND($A8&lt;&gt;"",$A8&lt;&gt;"Talento"))</f>
        <v/>
      </c>
      <c r="L8" t="inlineStr">
        <is>
          <t>Talento</t>
        </is>
      </c>
      <c r="M8" t="inlineStr">
        <is>
          <t>Fluxo</t>
        </is>
      </c>
      <c r="N8">
        <f>""</f>
        <v/>
      </c>
      <c r="O8" t="b">
        <v>0</v>
      </c>
      <c r="P8">
        <f>""</f>
        <v/>
      </c>
      <c r="Q8" t="inlineStr">
        <is>
          <t>Ao conjurar um feitiço de Classe 3 ou maior, você recebe 2 × a Classe usada em pontos de vida temporária. Uma conjuração concede a reserva uma vez, mesmo que alcance vários alvos ou produza vários ataques.</t>
        </is>
      </c>
      <c r="R8" t="n">
        <v>2</v>
      </c>
      <c r="S8" t="inlineStr">
        <is>
          <t>Fundamento / Manejos</t>
        </is>
      </c>
      <c r="T8" t="inlineStr">
        <is>
          <t>Fluxo</t>
        </is>
      </c>
      <c r="W8">
        <f>IF($A8="",IF($J8&gt;0,INDEX('DADOS_TALENTOS'!$L$2:$L$24,MAX(1,$J8)),"Talento"),$A8)</f>
        <v/>
      </c>
      <c r="X8">
        <f>IF($B8="",IF($J8&gt;0,INDEX('DADOS_TALENTOS'!$M$2:$M$24,MAX(1,$J8)),""),$B8)</f>
        <v/>
      </c>
      <c r="Y8">
        <f>IF($C8="",IF($J8&gt;0,INDEX('DADOS_TALENTOS'!$N$2:$N$24,MAX(1,$J8)),""),$C8)</f>
        <v/>
      </c>
      <c r="Z8">
        <f>IF($D8="",IF($J8&gt;0,INDEX('DADOS_TALENTOS'!$O$2:$O$24,MAX(1,$J8)),FALSE),$D8)</f>
        <v/>
      </c>
      <c r="AA8">
        <f>IF($E8="",IF($J8&gt;0,INDEX('DADOS_TALENTOS'!$P$2:$P$24,MAX(1,$J8)),""),$E8)</f>
        <v/>
      </c>
      <c r="AB8">
        <f>IF($F8="",IF($J8&gt;0,INDEX('DADOS_TALENTOS'!$Q$2:$Q$24,MAX(1,$J8)),""),$F8)</f>
        <v/>
      </c>
      <c r="AC8">
        <f>IF($G8="",IF($J8&gt;0,INDEX('DADOS_TALENTOS'!$R$2:$R$24,MAX(1,$J8)),""),$G8)</f>
        <v/>
      </c>
      <c r="AD8">
        <f>IF($H8="",IF($J8&gt;0,INDEX('DADOS_TALENTOS'!$S$2:$S$24,MAX(1,$J8)),"Todas"),$H8)</f>
        <v/>
      </c>
      <c r="AE8">
        <f>IF($J8&gt;0,INDEX('DADOS_TALENTOS'!$T$2:$T$24,MAX(1,$J8)),"")</f>
        <v/>
      </c>
      <c r="AG8">
        <f>IF(AND(ISTEXT($B8),$B8&lt;&gt;"",TRIM($B8)=$B8),"","NOME precisa ser texto sem espaços nas pontas")</f>
        <v/>
      </c>
      <c r="AH8">
        <f>IF(COUNTIF('DADOS_TALENTOS'!$B$2:$B$11,SUBSTITUTE(SUBSTITUTE(SUBSTITUTE($B8,"~","~~"),"*","~*"),"?","~?"))+COUNTIF('DADOS_TALENTOS'!$M$2:$M$24,SUBSTITUTE(SUBSTITUTE(SUBSTITUTE($B8,"~","~~"),"*","~*"),"?","~?"))=1,"","Nome repetido no livro ou custom")</f>
        <v/>
      </c>
      <c r="AI8">
        <f>IF($J8&gt;=0,"","BASE DO LIVRO inválida para o grupo")</f>
        <v/>
      </c>
      <c r="AJ8">
        <f>IF(OR($W8="Talento"),"","TIPO inválido para o grupo")</f>
        <v/>
      </c>
      <c r="AK8">
        <f>IF(ISLOGICAL($Z8),"","MESTRE VIU precisa ser caixa de seleção")</f>
        <v/>
      </c>
      <c r="AL8">
        <f>IF(ISTEXT($AB8),"","EFEITO precisa ser texto")</f>
        <v/>
      </c>
      <c r="AM8">
        <f>IF(ISTEXT($AA8),"","REQUISITOS precisa ser texto")</f>
        <v/>
      </c>
      <c r="AN8">
        <f>IF(IFERROR(AND(ISNUMBER($AC8),NOT(ISLOGICAL($AC8)),$AC8=INT($AC8),$AC8&gt;=1,$AC8&lt;=3),FALSE),"","CE inválida")</f>
        <v/>
      </c>
      <c r="AO8">
        <f>IF(OR($AD8="Todas",$AD8="Fundamento / Manejos",$AD8="Técnica Marcial"),"","ROTA inválida")</f>
        <v/>
      </c>
      <c r="AQ8">
        <f>'DADOS_TALENTOS'!$M8</f>
        <v/>
      </c>
      <c r="AR8">
        <f>'DADOS_TALENTOS'!$R8</f>
        <v/>
      </c>
      <c r="AS8">
        <f>'DADOS_TALENTOS'!$Q8&amp;IF('DADOS_TALENTOS'!$P8="","",CHAR(10)&amp;"Requisitos: "&amp;'DADOS_TALENTOS'!$P8)</f>
        <v/>
      </c>
      <c r="AT8">
        <f>N(OR('DADOS_TALENTOS'!$S8="Todas",'DADOS_TALENTOS'!$S8="Fundamento / Manejos"))</f>
        <v/>
      </c>
      <c r="AU8">
        <f>N(OR('DADOS_TALENTOS'!$S8="Todas",'DADOS_TALENTOS'!$S8="Técnica Marcial"))</f>
        <v/>
      </c>
      <c r="AV8">
        <f>IF(OR(AND(DADOS_AM!$A$2&lt;=2,OR('DADOS_TALENTOS'!$S8="Todas",'DADOS_TALENTOS'!$S8="Fundamento / Manejos")),AND(DADOS_AM!$A$2&gt;=2,OR('DADOS_TALENTOS'!$S8="Todas",'DADOS_TALENTOS'!$S8="Técnica Marcial"))),'DADOS_TALENTOS'!$M8,"")</f>
        <v/>
      </c>
      <c r="AW8" t="inlineStr">
        <is>
          <t>Ao conjurar um feitiço de Classe 3 ou maior, você recebe 2 × a Classe usada em pontos de vida temporária. Uma conjuração concede a reserva uma vez, mesmo que alcance vários alvos ou produza vários ataques.</t>
        </is>
      </c>
      <c r="AY8" t="inlineStr">
        <is>
          <t>Leitura de Feitiços</t>
        </is>
      </c>
    </row>
    <row r="9">
      <c r="A9">
        <f>IF(ISBLANK('CONFIGURAÇÃO'!$J$2334),"",'CONFIGURAÇÃO'!$J$2334)</f>
        <v/>
      </c>
      <c r="B9">
        <f>IF(ISBLANK('CONFIGURAÇÃO'!$J$2336),"",'CONFIGURAÇÃO'!$J$2336)</f>
        <v/>
      </c>
      <c r="C9">
        <f>IF(ISBLANK('CONFIGURAÇÃO'!$M$2337),"",'CONFIGURAÇÃO'!$M$2337)</f>
        <v/>
      </c>
      <c r="D9">
        <f>IF(ISBLANK('CONFIGURAÇÃO'!$N$2334),"",'CONFIGURAÇÃO'!$N$2334)</f>
        <v/>
      </c>
      <c r="E9">
        <f>IF(ISBLANK('CONFIGURAÇÃO'!$J$2342),"",'CONFIGURAÇÃO'!$J$2342)</f>
        <v/>
      </c>
      <c r="F9">
        <f>IF(ISBLANK('CONFIGURAÇÃO'!$J$2348),"",'CONFIGURAÇÃO'!$J$2348)</f>
        <v/>
      </c>
      <c r="G9">
        <f>IF(ISBLANK('CONFIGURAÇÃO'!$M$2338),"",'CONFIGURAÇÃO'!$M$2338)</f>
        <v/>
      </c>
      <c r="H9">
        <f>IF(ISBLANK('CONFIGURAÇÃO'!$M$2339),"",'CONFIGURAÇÃO'!$M$2339)</f>
        <v/>
      </c>
      <c r="I9">
        <f>IF($K9,TEXTJOIN(" · ",TRUE,$AG9:$AO9),"")</f>
        <v/>
      </c>
      <c r="J9">
        <f>IF(OR($C9="",$C9="Nenhuma"),0,IFERROR(MATCH(SUBSTITUTE(SUBSTITUTE(SUBSTITUTE($C9,"~","~~"),"*","~*"),"?","~?"),'DADOS_TALENTOS'!$M$2:$M$24,0),-1))</f>
        <v/>
      </c>
      <c r="K9">
        <f>OR($B9&lt;&gt;"",$C9&lt;&gt;"",$E9&lt;&gt;"",$F9&lt;&gt;"",$G9&lt;&gt;"",$H9&lt;&gt;"",AND($D9&lt;&gt;"",$D9&lt;&gt;FALSE),AND($A9&lt;&gt;"",$A9&lt;&gt;"Talento"))</f>
        <v/>
      </c>
      <c r="L9" t="inlineStr">
        <is>
          <t>Talento</t>
        </is>
      </c>
      <c r="M9" t="inlineStr">
        <is>
          <t>Recomposição</t>
        </is>
      </c>
      <c r="N9">
        <f>""</f>
        <v/>
      </c>
      <c r="O9" t="b">
        <v>0</v>
      </c>
      <c r="P9">
        <f>""</f>
        <v/>
      </c>
      <c r="Q9" t="inlineStr">
        <is>
          <t>Uma vez por descanso curto, use Ação Padrão para recuperar 4 × sua maior Classe em pontos de vida, até sua vida máxima. Não gasta PE. Recuperar vida não remove condições por conta própria.</t>
        </is>
      </c>
      <c r="R9" t="n">
        <v>2</v>
      </c>
      <c r="S9" t="inlineStr">
        <is>
          <t>Fundamento / Manejos</t>
        </is>
      </c>
      <c r="T9" t="inlineStr">
        <is>
          <t>Recomposição</t>
        </is>
      </c>
      <c r="W9">
        <f>IF($A9="",IF($J9&gt;0,INDEX('DADOS_TALENTOS'!$L$2:$L$24,MAX(1,$J9)),"Talento"),$A9)</f>
        <v/>
      </c>
      <c r="X9">
        <f>IF($B9="",IF($J9&gt;0,INDEX('DADOS_TALENTOS'!$M$2:$M$24,MAX(1,$J9)),""),$B9)</f>
        <v/>
      </c>
      <c r="Y9">
        <f>IF($C9="",IF($J9&gt;0,INDEX('DADOS_TALENTOS'!$N$2:$N$24,MAX(1,$J9)),""),$C9)</f>
        <v/>
      </c>
      <c r="Z9">
        <f>IF($D9="",IF($J9&gt;0,INDEX('DADOS_TALENTOS'!$O$2:$O$24,MAX(1,$J9)),FALSE),$D9)</f>
        <v/>
      </c>
      <c r="AA9">
        <f>IF($E9="",IF($J9&gt;0,INDEX('DADOS_TALENTOS'!$P$2:$P$24,MAX(1,$J9)),""),$E9)</f>
        <v/>
      </c>
      <c r="AB9">
        <f>IF($F9="",IF($J9&gt;0,INDEX('DADOS_TALENTOS'!$Q$2:$Q$24,MAX(1,$J9)),""),$F9)</f>
        <v/>
      </c>
      <c r="AC9">
        <f>IF($G9="",IF($J9&gt;0,INDEX('DADOS_TALENTOS'!$R$2:$R$24,MAX(1,$J9)),""),$G9)</f>
        <v/>
      </c>
      <c r="AD9">
        <f>IF($H9="",IF($J9&gt;0,INDEX('DADOS_TALENTOS'!$S$2:$S$24,MAX(1,$J9)),"Todas"),$H9)</f>
        <v/>
      </c>
      <c r="AE9">
        <f>IF($J9&gt;0,INDEX('DADOS_TALENTOS'!$T$2:$T$24,MAX(1,$J9)),"")</f>
        <v/>
      </c>
      <c r="AG9">
        <f>IF(AND(ISTEXT($B9),$B9&lt;&gt;"",TRIM($B9)=$B9),"","NOME precisa ser texto sem espaços nas pontas")</f>
        <v/>
      </c>
      <c r="AH9">
        <f>IF(COUNTIF('DADOS_TALENTOS'!$B$2:$B$11,SUBSTITUTE(SUBSTITUTE(SUBSTITUTE($B9,"~","~~"),"*","~*"),"?","~?"))+COUNTIF('DADOS_TALENTOS'!$M$2:$M$24,SUBSTITUTE(SUBSTITUTE(SUBSTITUTE($B9,"~","~~"),"*","~*"),"?","~?"))=1,"","Nome repetido no livro ou custom")</f>
        <v/>
      </c>
      <c r="AI9">
        <f>IF($J9&gt;=0,"","BASE DO LIVRO inválida para o grupo")</f>
        <v/>
      </c>
      <c r="AJ9">
        <f>IF(OR($W9="Talento"),"","TIPO inválido para o grupo")</f>
        <v/>
      </c>
      <c r="AK9">
        <f>IF(ISLOGICAL($Z9),"","MESTRE VIU precisa ser caixa de seleção")</f>
        <v/>
      </c>
      <c r="AL9">
        <f>IF(ISTEXT($AB9),"","EFEITO precisa ser texto")</f>
        <v/>
      </c>
      <c r="AM9">
        <f>IF(ISTEXT($AA9),"","REQUISITOS precisa ser texto")</f>
        <v/>
      </c>
      <c r="AN9">
        <f>IF(IFERROR(AND(ISNUMBER($AC9),NOT(ISLOGICAL($AC9)),$AC9=INT($AC9),$AC9&gt;=1,$AC9&lt;=3),FALSE),"","CE inválida")</f>
        <v/>
      </c>
      <c r="AO9">
        <f>IF(OR($AD9="Todas",$AD9="Fundamento / Manejos",$AD9="Técnica Marcial"),"","ROTA inválida")</f>
        <v/>
      </c>
      <c r="AQ9">
        <f>'DADOS_TALENTOS'!$M9</f>
        <v/>
      </c>
      <c r="AR9">
        <f>'DADOS_TALENTOS'!$R9</f>
        <v/>
      </c>
      <c r="AS9">
        <f>'DADOS_TALENTOS'!$Q9&amp;IF('DADOS_TALENTOS'!$P9="","",CHAR(10)&amp;"Requisitos: "&amp;'DADOS_TALENTOS'!$P9)</f>
        <v/>
      </c>
      <c r="AT9">
        <f>N(OR('DADOS_TALENTOS'!$S9="Todas",'DADOS_TALENTOS'!$S9="Fundamento / Manejos"))</f>
        <v/>
      </c>
      <c r="AU9">
        <f>N(OR('DADOS_TALENTOS'!$S9="Todas",'DADOS_TALENTOS'!$S9="Técnica Marcial"))</f>
        <v/>
      </c>
      <c r="AV9">
        <f>IF(OR(AND(DADOS_AM!$A$2&lt;=2,OR('DADOS_TALENTOS'!$S9="Todas",'DADOS_TALENTOS'!$S9="Fundamento / Manejos")),AND(DADOS_AM!$A$2&gt;=2,OR('DADOS_TALENTOS'!$S9="Todas",'DADOS_TALENTOS'!$S9="Técnica Marcial"))),'DADOS_TALENTOS'!$M9,"")</f>
        <v/>
      </c>
      <c r="AW9" t="inlineStr">
        <is>
          <t>Uma vez por descanso curto, use Ação Padrão para recuperar 4 × sua maior Classe em pontos de vida, até sua vida máxima. Não gasta PE. Recuperar vida não remove condições por conta própria.</t>
        </is>
      </c>
      <c r="AY9" t="inlineStr">
        <is>
          <t>Fluxo</t>
        </is>
      </c>
    </row>
    <row r="10">
      <c r="A10">
        <f>IF(ISBLANK('CONFIGURAÇÃO'!$B$2359),"",'CONFIGURAÇÃO'!$B$2359)</f>
        <v/>
      </c>
      <c r="B10">
        <f>IF(ISBLANK('CONFIGURAÇÃO'!$B$2361),"",'CONFIGURAÇÃO'!$B$2361)</f>
        <v/>
      </c>
      <c r="C10">
        <f>IF(ISBLANK('CONFIGURAÇÃO'!$E$2362),"",'CONFIGURAÇÃO'!$E$2362)</f>
        <v/>
      </c>
      <c r="D10">
        <f>IF(ISBLANK('CONFIGURAÇÃO'!$F$2359),"",'CONFIGURAÇÃO'!$F$2359)</f>
        <v/>
      </c>
      <c r="E10">
        <f>IF(ISBLANK('CONFIGURAÇÃO'!$B$2367),"",'CONFIGURAÇÃO'!$B$2367)</f>
        <v/>
      </c>
      <c r="F10">
        <f>IF(ISBLANK('CONFIGURAÇÃO'!$B$2373),"",'CONFIGURAÇÃO'!$B$2373)</f>
        <v/>
      </c>
      <c r="G10">
        <f>IF(ISBLANK('CONFIGURAÇÃO'!$E$2363),"",'CONFIGURAÇÃO'!$E$2363)</f>
        <v/>
      </c>
      <c r="H10">
        <f>IF(ISBLANK('CONFIGURAÇÃO'!$E$2364),"",'CONFIGURAÇÃO'!$E$2364)</f>
        <v/>
      </c>
      <c r="I10">
        <f>IF($K10,TEXTJOIN(" · ",TRUE,$AG10:$AO10),"")</f>
        <v/>
      </c>
      <c r="J10">
        <f>IF(OR($C10="",$C10="Nenhuma"),0,IFERROR(MATCH(SUBSTITUTE(SUBSTITUTE(SUBSTITUTE($C10,"~","~~"),"*","~*"),"?","~?"),'DADOS_TALENTOS'!$M$2:$M$24,0),-1))</f>
        <v/>
      </c>
      <c r="K10">
        <f>OR($B10&lt;&gt;"",$C10&lt;&gt;"",$E10&lt;&gt;"",$F10&lt;&gt;"",$G10&lt;&gt;"",$H10&lt;&gt;"",AND($D10&lt;&gt;"",$D10&lt;&gt;FALSE),AND($A10&lt;&gt;"",$A10&lt;&gt;"Talento"))</f>
        <v/>
      </c>
      <c r="L10" t="inlineStr">
        <is>
          <t>Talento</t>
        </is>
      </c>
      <c r="M10" t="inlineStr">
        <is>
          <t>Segunda Natureza</t>
        </is>
      </c>
      <c r="N10">
        <f>""</f>
        <v/>
      </c>
      <c r="O10" t="b">
        <v>0</v>
      </c>
      <c r="P10">
        <f>""</f>
        <v/>
      </c>
      <c r="Q10" t="inlineStr">
        <is>
          <t>Uma vez por dia, você pode conjurar um feitiço conhecido de Classe até metade da sua maior Classe, arredondada para baixo, sem pagar seu custo normal de PE. Declare o uso antes de conjurar.</t>
        </is>
      </c>
      <c r="R10" t="n">
        <v>2</v>
      </c>
      <c r="S10" t="inlineStr">
        <is>
          <t>Fundamento / Manejos</t>
        </is>
      </c>
      <c r="T10" t="inlineStr">
        <is>
          <t>Segunda Natureza</t>
        </is>
      </c>
      <c r="W10">
        <f>IF($A10="",IF($J10&gt;0,INDEX('DADOS_TALENTOS'!$L$2:$L$24,MAX(1,$J10)),"Talento"),$A10)</f>
        <v/>
      </c>
      <c r="X10">
        <f>IF($B10="",IF($J10&gt;0,INDEX('DADOS_TALENTOS'!$M$2:$M$24,MAX(1,$J10)),""),$B10)</f>
        <v/>
      </c>
      <c r="Y10">
        <f>IF($C10="",IF($J10&gt;0,INDEX('DADOS_TALENTOS'!$N$2:$N$24,MAX(1,$J10)),""),$C10)</f>
        <v/>
      </c>
      <c r="Z10">
        <f>IF($D10="",IF($J10&gt;0,INDEX('DADOS_TALENTOS'!$O$2:$O$24,MAX(1,$J10)),FALSE),$D10)</f>
        <v/>
      </c>
      <c r="AA10">
        <f>IF($E10="",IF($J10&gt;0,INDEX('DADOS_TALENTOS'!$P$2:$P$24,MAX(1,$J10)),""),$E10)</f>
        <v/>
      </c>
      <c r="AB10">
        <f>IF($F10="",IF($J10&gt;0,INDEX('DADOS_TALENTOS'!$Q$2:$Q$24,MAX(1,$J10)),""),$F10)</f>
        <v/>
      </c>
      <c r="AC10">
        <f>IF($G10="",IF($J10&gt;0,INDEX('DADOS_TALENTOS'!$R$2:$R$24,MAX(1,$J10)),""),$G10)</f>
        <v/>
      </c>
      <c r="AD10">
        <f>IF($H10="",IF($J10&gt;0,INDEX('DADOS_TALENTOS'!$S$2:$S$24,MAX(1,$J10)),"Todas"),$H10)</f>
        <v/>
      </c>
      <c r="AE10">
        <f>IF($J10&gt;0,INDEX('DADOS_TALENTOS'!$T$2:$T$24,MAX(1,$J10)),"")</f>
        <v/>
      </c>
      <c r="AG10">
        <f>IF(AND(ISTEXT($B10),$B10&lt;&gt;"",TRIM($B10)=$B10),"","NOME precisa ser texto sem espaços nas pontas")</f>
        <v/>
      </c>
      <c r="AH10">
        <f>IF(COUNTIF('DADOS_TALENTOS'!$B$2:$B$11,SUBSTITUTE(SUBSTITUTE(SUBSTITUTE($B10,"~","~~"),"*","~*"),"?","~?"))+COUNTIF('DADOS_TALENTOS'!$M$2:$M$24,SUBSTITUTE(SUBSTITUTE(SUBSTITUTE($B10,"~","~~"),"*","~*"),"?","~?"))=1,"","Nome repetido no livro ou custom")</f>
        <v/>
      </c>
      <c r="AI10">
        <f>IF($J10&gt;=0,"","BASE DO LIVRO inválida para o grupo")</f>
        <v/>
      </c>
      <c r="AJ10">
        <f>IF(OR($W10="Talento"),"","TIPO inválido para o grupo")</f>
        <v/>
      </c>
      <c r="AK10">
        <f>IF(ISLOGICAL($Z10),"","MESTRE VIU precisa ser caixa de seleção")</f>
        <v/>
      </c>
      <c r="AL10">
        <f>IF(ISTEXT($AB10),"","EFEITO precisa ser texto")</f>
        <v/>
      </c>
      <c r="AM10">
        <f>IF(ISTEXT($AA10),"","REQUISITOS precisa ser texto")</f>
        <v/>
      </c>
      <c r="AN10">
        <f>IF(IFERROR(AND(ISNUMBER($AC10),NOT(ISLOGICAL($AC10)),$AC10=INT($AC10),$AC10&gt;=1,$AC10&lt;=3),FALSE),"","CE inválida")</f>
        <v/>
      </c>
      <c r="AO10">
        <f>IF(OR($AD10="Todas",$AD10="Fundamento / Manejos",$AD10="Técnica Marcial"),"","ROTA inválida")</f>
        <v/>
      </c>
      <c r="AQ10">
        <f>'DADOS_TALENTOS'!$M10</f>
        <v/>
      </c>
      <c r="AR10">
        <f>'DADOS_TALENTOS'!$R10</f>
        <v/>
      </c>
      <c r="AS10">
        <f>'DADOS_TALENTOS'!$Q10&amp;IF('DADOS_TALENTOS'!$P10="","",CHAR(10)&amp;"Requisitos: "&amp;'DADOS_TALENTOS'!$P10)</f>
        <v/>
      </c>
      <c r="AT10">
        <f>N(OR('DADOS_TALENTOS'!$S10="Todas",'DADOS_TALENTOS'!$S10="Fundamento / Manejos"))</f>
        <v/>
      </c>
      <c r="AU10">
        <f>N(OR('DADOS_TALENTOS'!$S10="Todas",'DADOS_TALENTOS'!$S10="Técnica Marcial"))</f>
        <v/>
      </c>
      <c r="AV10">
        <f>IF(OR(AND(DADOS_AM!$A$2&lt;=2,OR('DADOS_TALENTOS'!$S10="Todas",'DADOS_TALENTOS'!$S10="Fundamento / Manejos")),AND(DADOS_AM!$A$2&gt;=2,OR('DADOS_TALENTOS'!$S10="Todas",'DADOS_TALENTOS'!$S10="Técnica Marcial"))),'DADOS_TALENTOS'!$M10,"")</f>
        <v/>
      </c>
      <c r="AW10" t="inlineStr">
        <is>
          <t>Uma vez por dia, você pode conjurar um feitiço conhecido de Classe até metade da sua maior Classe, arredondada para baixo, sem pagar seu custo normal de PE. Declare o uso antes de conjurar.</t>
        </is>
      </c>
      <c r="AY10" t="inlineStr">
        <is>
          <t>Recomposição</t>
        </is>
      </c>
    </row>
    <row r="11">
      <c r="A11">
        <f>IF(ISBLANK('CONFIGURAÇÃO'!$J$2359),"",'CONFIGURAÇÃO'!$J$2359)</f>
        <v/>
      </c>
      <c r="B11">
        <f>IF(ISBLANK('CONFIGURAÇÃO'!$J$2361),"",'CONFIGURAÇÃO'!$J$2361)</f>
        <v/>
      </c>
      <c r="C11">
        <f>IF(ISBLANK('CONFIGURAÇÃO'!$M$2362),"",'CONFIGURAÇÃO'!$M$2362)</f>
        <v/>
      </c>
      <c r="D11">
        <f>IF(ISBLANK('CONFIGURAÇÃO'!$N$2359),"",'CONFIGURAÇÃO'!$N$2359)</f>
        <v/>
      </c>
      <c r="E11">
        <f>IF(ISBLANK('CONFIGURAÇÃO'!$J$2367),"",'CONFIGURAÇÃO'!$J$2367)</f>
        <v/>
      </c>
      <c r="F11">
        <f>IF(ISBLANK('CONFIGURAÇÃO'!$J$2373),"",'CONFIGURAÇÃO'!$J$2373)</f>
        <v/>
      </c>
      <c r="G11">
        <f>IF(ISBLANK('CONFIGURAÇÃO'!$M$2363),"",'CONFIGURAÇÃO'!$M$2363)</f>
        <v/>
      </c>
      <c r="H11">
        <f>IF(ISBLANK('CONFIGURAÇÃO'!$M$2364),"",'CONFIGURAÇÃO'!$M$2364)</f>
        <v/>
      </c>
      <c r="I11">
        <f>IF($K11,TEXTJOIN(" · ",TRUE,$AG11:$AO11),"")</f>
        <v/>
      </c>
      <c r="J11">
        <f>IF(OR($C11="",$C11="Nenhuma"),0,IFERROR(MATCH(SUBSTITUTE(SUBSTITUTE(SUBSTITUTE($C11,"~","~~"),"*","~*"),"?","~?"),'DADOS_TALENTOS'!$M$2:$M$24,0),-1))</f>
        <v/>
      </c>
      <c r="K11">
        <f>OR($B11&lt;&gt;"",$C11&lt;&gt;"",$E11&lt;&gt;"",$F11&lt;&gt;"",$G11&lt;&gt;"",$H11&lt;&gt;"",AND($D11&lt;&gt;"",$D11&lt;&gt;FALSE),AND($A11&lt;&gt;"",$A11&lt;&gt;"Talento"))</f>
        <v/>
      </c>
      <c r="L11" t="inlineStr">
        <is>
          <t>Talento</t>
        </is>
      </c>
      <c r="M11" t="inlineStr">
        <is>
          <t>Eco</t>
        </is>
      </c>
      <c r="N11">
        <f>""</f>
        <v/>
      </c>
      <c r="O11" t="b">
        <v>0</v>
      </c>
      <c r="P11">
        <f>""</f>
        <v/>
      </c>
      <c r="Q11" t="inlineStr">
        <is>
          <t>Quando um feitiço seu reduzir um inimigo a 0 pontos de vida, o próximo feitiço que você conjurar nesta cena custa metade do seu PE normal, arredondada para cima. Derrubado, a condição, não ativa Eco.</t>
        </is>
      </c>
      <c r="R11" t="n">
        <v>2</v>
      </c>
      <c r="S11" t="inlineStr">
        <is>
          <t>Fundamento / Manejos</t>
        </is>
      </c>
      <c r="T11" t="inlineStr">
        <is>
          <t>Eco</t>
        </is>
      </c>
      <c r="W11">
        <f>IF($A11="",IF($J11&gt;0,INDEX('DADOS_TALENTOS'!$L$2:$L$24,MAX(1,$J11)),"Talento"),$A11)</f>
        <v/>
      </c>
      <c r="X11">
        <f>IF($B11="",IF($J11&gt;0,INDEX('DADOS_TALENTOS'!$M$2:$M$24,MAX(1,$J11)),""),$B11)</f>
        <v/>
      </c>
      <c r="Y11">
        <f>IF($C11="",IF($J11&gt;0,INDEX('DADOS_TALENTOS'!$N$2:$N$24,MAX(1,$J11)),""),$C11)</f>
        <v/>
      </c>
      <c r="Z11">
        <f>IF($D11="",IF($J11&gt;0,INDEX('DADOS_TALENTOS'!$O$2:$O$24,MAX(1,$J11)),FALSE),$D11)</f>
        <v/>
      </c>
      <c r="AA11">
        <f>IF($E11="",IF($J11&gt;0,INDEX('DADOS_TALENTOS'!$P$2:$P$24,MAX(1,$J11)),""),$E11)</f>
        <v/>
      </c>
      <c r="AB11">
        <f>IF($F11="",IF($J11&gt;0,INDEX('DADOS_TALENTOS'!$Q$2:$Q$24,MAX(1,$J11)),""),$F11)</f>
        <v/>
      </c>
      <c r="AC11">
        <f>IF($G11="",IF($J11&gt;0,INDEX('DADOS_TALENTOS'!$R$2:$R$24,MAX(1,$J11)),""),$G11)</f>
        <v/>
      </c>
      <c r="AD11">
        <f>IF($H11="",IF($J11&gt;0,INDEX('DADOS_TALENTOS'!$S$2:$S$24,MAX(1,$J11)),"Todas"),$H11)</f>
        <v/>
      </c>
      <c r="AE11">
        <f>IF($J11&gt;0,INDEX('DADOS_TALENTOS'!$T$2:$T$24,MAX(1,$J11)),"")</f>
        <v/>
      </c>
      <c r="AG11">
        <f>IF(AND(ISTEXT($B11),$B11&lt;&gt;"",TRIM($B11)=$B11),"","NOME precisa ser texto sem espaços nas pontas")</f>
        <v/>
      </c>
      <c r="AH11">
        <f>IF(COUNTIF('DADOS_TALENTOS'!$B$2:$B$11,SUBSTITUTE(SUBSTITUTE(SUBSTITUTE($B11,"~","~~"),"*","~*"),"?","~?"))+COUNTIF('DADOS_TALENTOS'!$M$2:$M$24,SUBSTITUTE(SUBSTITUTE(SUBSTITUTE($B11,"~","~~"),"*","~*"),"?","~?"))=1,"","Nome repetido no livro ou custom")</f>
        <v/>
      </c>
      <c r="AI11">
        <f>IF($J11&gt;=0,"","BASE DO LIVRO inválida para o grupo")</f>
        <v/>
      </c>
      <c r="AJ11">
        <f>IF(OR($W11="Talento"),"","TIPO inválido para o grupo")</f>
        <v/>
      </c>
      <c r="AK11">
        <f>IF(ISLOGICAL($Z11),"","MESTRE VIU precisa ser caixa de seleção")</f>
        <v/>
      </c>
      <c r="AL11">
        <f>IF(ISTEXT($AB11),"","EFEITO precisa ser texto")</f>
        <v/>
      </c>
      <c r="AM11">
        <f>IF(ISTEXT($AA11),"","REQUISITOS precisa ser texto")</f>
        <v/>
      </c>
      <c r="AN11">
        <f>IF(IFERROR(AND(ISNUMBER($AC11),NOT(ISLOGICAL($AC11)),$AC11=INT($AC11),$AC11&gt;=1,$AC11&lt;=3),FALSE),"","CE inválida")</f>
        <v/>
      </c>
      <c r="AO11">
        <f>IF(OR($AD11="Todas",$AD11="Fundamento / Manejos",$AD11="Técnica Marcial"),"","ROTA inválida")</f>
        <v/>
      </c>
      <c r="AQ11">
        <f>'DADOS_TALENTOS'!$M11</f>
        <v/>
      </c>
      <c r="AR11">
        <f>'DADOS_TALENTOS'!$R11</f>
        <v/>
      </c>
      <c r="AS11">
        <f>'DADOS_TALENTOS'!$Q11&amp;IF('DADOS_TALENTOS'!$P11="","",CHAR(10)&amp;"Requisitos: "&amp;'DADOS_TALENTOS'!$P11)</f>
        <v/>
      </c>
      <c r="AT11">
        <f>N(OR('DADOS_TALENTOS'!$S11="Todas",'DADOS_TALENTOS'!$S11="Fundamento / Manejos"))</f>
        <v/>
      </c>
      <c r="AU11">
        <f>N(OR('DADOS_TALENTOS'!$S11="Todas",'DADOS_TALENTOS'!$S11="Técnica Marcial"))</f>
        <v/>
      </c>
      <c r="AV11">
        <f>IF(OR(AND(DADOS_AM!$A$2&lt;=2,OR('DADOS_TALENTOS'!$S11="Todas",'DADOS_TALENTOS'!$S11="Fundamento / Manejos")),AND(DADOS_AM!$A$2&gt;=2,OR('DADOS_TALENTOS'!$S11="Todas",'DADOS_TALENTOS'!$S11="Técnica Marcial"))),'DADOS_TALENTOS'!$M11,"")</f>
        <v/>
      </c>
      <c r="AW11" t="inlineStr">
        <is>
          <t>Quando um feitiço seu reduzir um inimigo a 0 pontos de vida, o próximo feitiço que você conjurar nesta cena custa metade do seu PE normal, arredondada para cima. Derrubado, a condição, não ativa Eco.</t>
        </is>
      </c>
      <c r="AY11" t="inlineStr">
        <is>
          <t>Segunda Natureza</t>
        </is>
      </c>
    </row>
    <row r="12">
      <c r="L12" t="inlineStr">
        <is>
          <t>Talento</t>
        </is>
      </c>
      <c r="M12" t="inlineStr">
        <is>
          <t>Costura</t>
        </is>
      </c>
      <c r="N12">
        <f>""</f>
        <v/>
      </c>
      <c r="O12" t="b">
        <v>0</v>
      </c>
      <c r="P12">
        <f>""</f>
        <v/>
      </c>
      <c r="Q12" t="inlineStr">
        <is>
          <t>Uma vez por cena, quando um aliado a até 9 m sofreria uma redução de seus pontos de vida a 0, você pode fazer com que ele permaneça com 1 ponto de vida. Não exige ação nem Reação.</t>
        </is>
      </c>
      <c r="R12" t="n">
        <v>2</v>
      </c>
      <c r="S12" t="inlineStr">
        <is>
          <t>Fundamento / Manejos</t>
        </is>
      </c>
      <c r="T12" t="inlineStr">
        <is>
          <t>Costura</t>
        </is>
      </c>
      <c r="AQ12">
        <f>'DADOS_TALENTOS'!$M12</f>
        <v/>
      </c>
      <c r="AR12">
        <f>'DADOS_TALENTOS'!$R12</f>
        <v/>
      </c>
      <c r="AS12">
        <f>'DADOS_TALENTOS'!$Q12&amp;IF('DADOS_TALENTOS'!$P12="","",CHAR(10)&amp;"Requisitos: "&amp;'DADOS_TALENTOS'!$P12)</f>
        <v/>
      </c>
      <c r="AT12">
        <f>N(OR('DADOS_TALENTOS'!$S12="Todas",'DADOS_TALENTOS'!$S12="Fundamento / Manejos"))</f>
        <v/>
      </c>
      <c r="AU12">
        <f>N(OR('DADOS_TALENTOS'!$S12="Todas",'DADOS_TALENTOS'!$S12="Técnica Marcial"))</f>
        <v/>
      </c>
      <c r="AV12">
        <f>IF(OR(AND(DADOS_AM!$A$2&lt;=2,OR('DADOS_TALENTOS'!$S12="Todas",'DADOS_TALENTOS'!$S12="Fundamento / Manejos")),AND(DADOS_AM!$A$2&gt;=2,OR('DADOS_TALENTOS'!$S12="Todas",'DADOS_TALENTOS'!$S12="Técnica Marcial"))),'DADOS_TALENTOS'!$M12,"")</f>
        <v/>
      </c>
      <c r="AW12" t="inlineStr">
        <is>
          <t>Uma vez por cena, quando um aliado a até 9 m sofreria uma redução de seus pontos de vida a 0, você pode fazer com que ele permaneça com 1 ponto de vida. Não exige ação nem Reação.</t>
        </is>
      </c>
      <c r="AY12" t="inlineStr">
        <is>
          <t>Eco</t>
        </is>
      </c>
    </row>
    <row r="13">
      <c r="L13" t="inlineStr">
        <is>
          <t>Talento</t>
        </is>
      </c>
      <c r="M13" t="inlineStr">
        <is>
          <t>Contramedida</t>
        </is>
      </c>
      <c r="N13">
        <f>""</f>
        <v/>
      </c>
      <c r="O13" t="b">
        <v>0</v>
      </c>
      <c r="P13">
        <f>""</f>
        <v/>
      </c>
      <c r="Q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R13" t="n">
        <v>2</v>
      </c>
      <c r="S13" t="inlineStr">
        <is>
          <t>Fundamento / Manejos</t>
        </is>
      </c>
      <c r="T13" t="inlineStr">
        <is>
          <t>Contramedida</t>
        </is>
      </c>
      <c r="AQ13">
        <f>'DADOS_TALENTOS'!$M13</f>
        <v/>
      </c>
      <c r="AR13">
        <f>'DADOS_TALENTOS'!$R13</f>
        <v/>
      </c>
      <c r="AS13">
        <f>'DADOS_TALENTOS'!$Q13&amp;IF('DADOS_TALENTOS'!$P13="","",CHAR(10)&amp;"Requisitos: "&amp;'DADOS_TALENTOS'!$P13)</f>
        <v/>
      </c>
      <c r="AT13">
        <f>N(OR('DADOS_TALENTOS'!$S13="Todas",'DADOS_TALENTOS'!$S13="Fundamento / Manejos"))</f>
        <v/>
      </c>
      <c r="AU13">
        <f>N(OR('DADOS_TALENTOS'!$S13="Todas",'DADOS_TALENTOS'!$S13="Técnica Marcial"))</f>
        <v/>
      </c>
      <c r="AV13">
        <f>IF(OR(AND(DADOS_AM!$A$2&lt;=2,OR('DADOS_TALENTOS'!$S13="Todas",'DADOS_TALENTOS'!$S13="Fundamento / Manejos")),AND(DADOS_AM!$A$2&gt;=2,OR('DADOS_TALENTOS'!$S13="Todas",'DADOS_TALENTOS'!$S13="Técnica Marcial"))),'DADOS_TALENTOS'!$M13,"")</f>
        <v/>
      </c>
      <c r="AW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AY13" t="inlineStr">
        <is>
          <t>Costura</t>
        </is>
      </c>
    </row>
    <row r="14">
      <c r="L14" t="inlineStr">
        <is>
          <t>Talento</t>
        </is>
      </c>
      <c r="M14" t="inlineStr">
        <is>
          <t>Peso da Presença</t>
        </is>
      </c>
      <c r="N14">
        <f>""</f>
        <v/>
      </c>
      <c r="O14" t="b">
        <v>0</v>
      </c>
      <c r="P14">
        <f>""</f>
        <v/>
      </c>
      <c r="Q14"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R14" t="n">
        <v>2</v>
      </c>
      <c r="S14" t="inlineStr">
        <is>
          <t>Fundamento / Manejos</t>
        </is>
      </c>
      <c r="T14" t="inlineStr">
        <is>
          <t>Peso da Presença</t>
        </is>
      </c>
      <c r="AQ14">
        <f>'DADOS_TALENTOS'!$M14</f>
        <v/>
      </c>
      <c r="AR14">
        <f>'DADOS_TALENTOS'!$R14</f>
        <v/>
      </c>
      <c r="AS14">
        <f>'DADOS_TALENTOS'!$Q14&amp;IF('DADOS_TALENTOS'!$P14="","",CHAR(10)&amp;"Requisitos: "&amp;'DADOS_TALENTOS'!$P14)</f>
        <v/>
      </c>
      <c r="AT14">
        <f>N(OR('DADOS_TALENTOS'!$S14="Todas",'DADOS_TALENTOS'!$S14="Fundamento / Manejos"))</f>
        <v/>
      </c>
      <c r="AU14">
        <f>N(OR('DADOS_TALENTOS'!$S14="Todas",'DADOS_TALENTOS'!$S14="Técnica Marcial"))</f>
        <v/>
      </c>
      <c r="AV14">
        <f>IF(OR(AND(DADOS_AM!$A$2&lt;=2,OR('DADOS_TALENTOS'!$S14="Todas",'DADOS_TALENTOS'!$S14="Fundamento / Manejos")),AND(DADOS_AM!$A$2&gt;=2,OR('DADOS_TALENTOS'!$S14="Todas",'DADOS_TALENTOS'!$S14="Técnica Marcial"))),'DADOS_TALENTOS'!$M14,"")</f>
        <v/>
      </c>
      <c r="AW14" t="inlineStr">
        <is>
          <t>Um inimigo da categoria Capanga que comece o turno a até 6 m de você faz um TR Espírito contra a CD da sua técnica.</t>
        </is>
      </c>
      <c r="AY14" t="inlineStr">
        <is>
          <t>Contramedida</t>
        </is>
      </c>
    </row>
    <row r="15">
      <c r="L15" t="inlineStr">
        <is>
          <t>Talento</t>
        </is>
      </c>
      <c r="M15" t="inlineStr">
        <is>
          <t>Escama</t>
        </is>
      </c>
      <c r="N15">
        <f>""</f>
        <v/>
      </c>
      <c r="O15" t="b">
        <v>0</v>
      </c>
      <c r="P15">
        <f>""</f>
        <v/>
      </c>
      <c r="Q15" t="inlineStr">
        <is>
          <t>Escolha um tipo de dano que a Regra da sua técnica justifique. Você tem resistência a esse tipo: sofre metade do dano, com o arredondamento das regras de dano.</t>
        </is>
      </c>
      <c r="R15" t="n">
        <v>3</v>
      </c>
      <c r="S15" t="inlineStr">
        <is>
          <t>Fundamento / Manejos</t>
        </is>
      </c>
      <c r="T15" t="inlineStr">
        <is>
          <t>Escama</t>
        </is>
      </c>
      <c r="AQ15">
        <f>'DADOS_TALENTOS'!$M15</f>
        <v/>
      </c>
      <c r="AR15">
        <f>'DADOS_TALENTOS'!$R15</f>
        <v/>
      </c>
      <c r="AS15">
        <f>'DADOS_TALENTOS'!$Q15&amp;IF('DADOS_TALENTOS'!$P15="","",CHAR(10)&amp;"Requisitos: "&amp;'DADOS_TALENTOS'!$P15)</f>
        <v/>
      </c>
      <c r="AT15">
        <f>N(OR('DADOS_TALENTOS'!$S15="Todas",'DADOS_TALENTOS'!$S15="Fundamento / Manejos"))</f>
        <v/>
      </c>
      <c r="AU15">
        <f>N(OR('DADOS_TALENTOS'!$S15="Todas",'DADOS_TALENTOS'!$S15="Técnica Marcial"))</f>
        <v/>
      </c>
      <c r="AV15">
        <f>IF(OR(AND(DADOS_AM!$A$2&lt;=2,OR('DADOS_TALENTOS'!$S15="Todas",'DADOS_TALENTOS'!$S15="Fundamento / Manejos")),AND(DADOS_AM!$A$2&gt;=2,OR('DADOS_TALENTOS'!$S15="Todas",'DADOS_TALENTOS'!$S15="Técnica Marcial"))),'DADOS_TALENTOS'!$M15,"")</f>
        <v/>
      </c>
      <c r="AW15" t="inlineStr">
        <is>
          <t>Escolha um tipo de dano que a Regra da sua técnica justifique. Você tem resistência a esse tipo: sofre metade do dano, com o arredondamento das regras de dano.</t>
        </is>
      </c>
      <c r="AY15" t="inlineStr">
        <is>
          <t>Peso da Presença</t>
        </is>
      </c>
    </row>
    <row r="16">
      <c r="L16" t="inlineStr">
        <is>
          <t>Talento</t>
        </is>
      </c>
      <c r="M16" t="inlineStr">
        <is>
          <t>Afinidade</t>
        </is>
      </c>
      <c r="N16">
        <f>""</f>
        <v/>
      </c>
      <c r="O16" t="b">
        <v>0</v>
      </c>
      <c r="P16">
        <f>""</f>
        <v/>
      </c>
      <c r="Q16" t="inlineStr">
        <is>
          <t>Escolha um tema presente na Regra da sua técnica. Seus feitiços desse tema ignoram cobertura Parcial e resistência ao tipo de dano que causam.</t>
        </is>
      </c>
      <c r="R16" t="n">
        <v>3</v>
      </c>
      <c r="S16" t="inlineStr">
        <is>
          <t>Fundamento / Manejos</t>
        </is>
      </c>
      <c r="T16" t="inlineStr">
        <is>
          <t>Afinidade</t>
        </is>
      </c>
      <c r="AQ16">
        <f>'DADOS_TALENTOS'!$M16</f>
        <v/>
      </c>
      <c r="AR16">
        <f>'DADOS_TALENTOS'!$R16</f>
        <v/>
      </c>
      <c r="AS16">
        <f>'DADOS_TALENTOS'!$Q16&amp;IF('DADOS_TALENTOS'!$P16="","",CHAR(10)&amp;"Requisitos: "&amp;'DADOS_TALENTOS'!$P16)</f>
        <v/>
      </c>
      <c r="AT16">
        <f>N(OR('DADOS_TALENTOS'!$S16="Todas",'DADOS_TALENTOS'!$S16="Fundamento / Manejos"))</f>
        <v/>
      </c>
      <c r="AU16">
        <f>N(OR('DADOS_TALENTOS'!$S16="Todas",'DADOS_TALENTOS'!$S16="Técnica Marcial"))</f>
        <v/>
      </c>
      <c r="AV16">
        <f>IF(OR(AND(DADOS_AM!$A$2&lt;=2,OR('DADOS_TALENTOS'!$S16="Todas",'DADOS_TALENTOS'!$S16="Fundamento / Manejos")),AND(DADOS_AM!$A$2&gt;=2,OR('DADOS_TALENTOS'!$S16="Todas",'DADOS_TALENTOS'!$S16="Técnica Marcial"))),'DADOS_TALENTOS'!$M16,"")</f>
        <v/>
      </c>
      <c r="AW16" t="inlineStr">
        <is>
          <t>Escolha um tema presente na Regra da sua técnica. Seus feitiços desse tema ignoram cobertura Parcial e resistência ao tipo de dano que causam.</t>
        </is>
      </c>
      <c r="AY16" t="inlineStr">
        <is>
          <t>Escama</t>
        </is>
      </c>
    </row>
    <row r="17">
      <c r="L17" t="inlineStr">
        <is>
          <t>Talento</t>
        </is>
      </c>
      <c r="M17" t="inlineStr">
        <is>
          <t>Reserva Profunda</t>
        </is>
      </c>
      <c r="N17">
        <f>""</f>
        <v/>
      </c>
      <c r="O17" t="b">
        <v>0</v>
      </c>
      <c r="P17">
        <f>""</f>
        <v/>
      </c>
      <c r="Q17" t="inlineStr">
        <is>
          <t>Seu PE máximo aumenta em 3 × sua maior Classe. Atualize esse acréscimo quando sua maior Classe aumentar.</t>
        </is>
      </c>
      <c r="R17" t="n">
        <v>3</v>
      </c>
      <c r="S17" t="inlineStr">
        <is>
          <t>Fundamento / Manejos</t>
        </is>
      </c>
      <c r="T17" t="inlineStr">
        <is>
          <t>Reserva Profunda</t>
        </is>
      </c>
      <c r="AQ17">
        <f>'DADOS_TALENTOS'!$M17</f>
        <v/>
      </c>
      <c r="AR17">
        <f>'DADOS_TALENTOS'!$R17</f>
        <v/>
      </c>
      <c r="AS17">
        <f>'DADOS_TALENTOS'!$Q17&amp;IF('DADOS_TALENTOS'!$P17="","",CHAR(10)&amp;"Requisitos: "&amp;'DADOS_TALENTOS'!$P17)</f>
        <v/>
      </c>
      <c r="AT17">
        <f>N(OR('DADOS_TALENTOS'!$S17="Todas",'DADOS_TALENTOS'!$S17="Fundamento / Manejos"))</f>
        <v/>
      </c>
      <c r="AU17">
        <f>N(OR('DADOS_TALENTOS'!$S17="Todas",'DADOS_TALENTOS'!$S17="Técnica Marcial"))</f>
        <v/>
      </c>
      <c r="AV17">
        <f>IF(OR(AND(DADOS_AM!$A$2&lt;=2,OR('DADOS_TALENTOS'!$S17="Todas",'DADOS_TALENTOS'!$S17="Fundamento / Manejos")),AND(DADOS_AM!$A$2&gt;=2,OR('DADOS_TALENTOS'!$S17="Todas",'DADOS_TALENTOS'!$S17="Técnica Marcial"))),'DADOS_TALENTOS'!$M17,"")</f>
        <v/>
      </c>
      <c r="AW17" t="inlineStr">
        <is>
          <t>Seu PE máximo aumenta em 3 × sua maior Classe. Atualize esse acréscimo quando sua maior Classe aumentar.</t>
        </is>
      </c>
      <c r="AY17" t="inlineStr">
        <is>
          <t>Afinidade</t>
        </is>
      </c>
    </row>
    <row r="18">
      <c r="L18" t="inlineStr">
        <is>
          <t>Talento</t>
        </is>
      </c>
      <c r="M18" t="inlineStr">
        <is>
          <t>Talento Próprio (CE 1)</t>
        </is>
      </c>
      <c r="N18">
        <f>""</f>
        <v/>
      </c>
      <c r="O18" t="b">
        <v>0</v>
      </c>
      <c r="P18">
        <f>""</f>
        <v/>
      </c>
      <c r="Q18"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8" t="n">
        <v>1</v>
      </c>
      <c r="S18" t="inlineStr">
        <is>
          <t>Todas</t>
        </is>
      </c>
      <c r="T18" t="inlineStr">
        <is>
          <t>Talento Próprio (CE 1)</t>
        </is>
      </c>
      <c r="AQ18">
        <f>'DADOS_TALENTOS'!$M18</f>
        <v/>
      </c>
      <c r="AR18">
        <f>'DADOS_TALENTOS'!$R18</f>
        <v/>
      </c>
      <c r="AS18">
        <f>'DADOS_TALENTOS'!$Q18&amp;IF('DADOS_TALENTOS'!$P18="","",CHAR(10)&amp;"Requisitos: "&amp;'DADOS_TALENTOS'!$P18)</f>
        <v/>
      </c>
      <c r="AT18">
        <f>N(OR('DADOS_TALENTOS'!$S18="Todas",'DADOS_TALENTOS'!$S18="Fundamento / Manejos"))</f>
        <v/>
      </c>
      <c r="AU18">
        <f>N(OR('DADOS_TALENTOS'!$S18="Todas",'DADOS_TALENTOS'!$S18="Técnica Marcial"))</f>
        <v/>
      </c>
      <c r="AV18">
        <f>IF(OR(AND(DADOS_AM!$A$2&lt;=2,OR('DADOS_TALENTOS'!$S18="Todas",'DADOS_TALENTOS'!$S18="Fundamento / Manejos")),AND(DADOS_AM!$A$2&gt;=2,OR('DADOS_TALENTOS'!$S18="Todas",'DADOS_TALENTOS'!$S18="Técnica Marcial"))),'DADOS_TALENTOS'!$M18,"")</f>
        <v/>
      </c>
      <c r="AW18" t="inlineStr">
        <is>
          <t>Categoria de Efeito 1, 2 ou 3. Custos e níveis da Categoria escolhida. Se o catálogo não representar a ideia, escreva o efeito com o mestre antes da sessão. Ele ocupa os espaços correspondentes e conta no máximo de cinco Talentos pagos.</t>
        </is>
      </c>
      <c r="AY18" t="inlineStr">
        <is>
          <t>Reserva Profunda</t>
        </is>
      </c>
    </row>
    <row r="19">
      <c r="L19" t="inlineStr">
        <is>
          <t>Talento</t>
        </is>
      </c>
      <c r="M19" t="inlineStr">
        <is>
          <t>Talento Próprio (CE 2)</t>
        </is>
      </c>
      <c r="N19">
        <f>""</f>
        <v/>
      </c>
      <c r="O19" t="b">
        <v>0</v>
      </c>
      <c r="P19">
        <f>""</f>
        <v/>
      </c>
      <c r="Q1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9" t="n">
        <v>2</v>
      </c>
      <c r="S19" t="inlineStr">
        <is>
          <t>Todas</t>
        </is>
      </c>
      <c r="T19" t="inlineStr">
        <is>
          <t>Talento Próprio (CE 2)</t>
        </is>
      </c>
      <c r="AQ19">
        <f>'DADOS_TALENTOS'!$M19</f>
        <v/>
      </c>
      <c r="AR19">
        <f>'DADOS_TALENTOS'!$R19</f>
        <v/>
      </c>
      <c r="AS19">
        <f>'DADOS_TALENTOS'!$Q19&amp;IF('DADOS_TALENTOS'!$P19="","",CHAR(10)&amp;"Requisitos: "&amp;'DADOS_TALENTOS'!$P19)</f>
        <v/>
      </c>
      <c r="AT19">
        <f>N(OR('DADOS_TALENTOS'!$S19="Todas",'DADOS_TALENTOS'!$S19="Fundamento / Manejos"))</f>
        <v/>
      </c>
      <c r="AU19">
        <f>N(OR('DADOS_TALENTOS'!$S19="Todas",'DADOS_TALENTOS'!$S19="Técnica Marcial"))</f>
        <v/>
      </c>
      <c r="AV19">
        <f>IF(OR(AND(DADOS_AM!$A$2&lt;=2,OR('DADOS_TALENTOS'!$S19="Todas",'DADOS_TALENTOS'!$S19="Fundamento / Manejos")),AND(DADOS_AM!$A$2&gt;=2,OR('DADOS_TALENTOS'!$S19="Todas",'DADOS_TALENTOS'!$S19="Técnica Marcial"))),'DADOS_TALENTOS'!$M19,"")</f>
        <v/>
      </c>
      <c r="AW19" t="inlineStr">
        <is>
          <t>Categoria de Efeito 1, 2 ou 3. Custos e níveis da Categoria escolhida. Se o catálogo não representar a ideia, escreva o efeito com o mestre antes da sessão. Ele ocupa os espaços correspondentes e conta no máximo de cinco Talentos pagos.</t>
        </is>
      </c>
      <c r="AY19" t="inlineStr">
        <is>
          <t>Talento Próprio (CE 1)</t>
        </is>
      </c>
    </row>
    <row r="20">
      <c r="L20" t="inlineStr">
        <is>
          <t>Talento</t>
        </is>
      </c>
      <c r="M20" t="inlineStr">
        <is>
          <t>Talento Próprio (CE 3)</t>
        </is>
      </c>
      <c r="N20">
        <f>""</f>
        <v/>
      </c>
      <c r="O20" t="b">
        <v>0</v>
      </c>
      <c r="P20">
        <f>""</f>
        <v/>
      </c>
      <c r="Q2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20" t="n">
        <v>3</v>
      </c>
      <c r="S20" t="inlineStr">
        <is>
          <t>Todas</t>
        </is>
      </c>
      <c r="T20" t="inlineStr">
        <is>
          <t>Talento Próprio (CE 3)</t>
        </is>
      </c>
      <c r="AQ20">
        <f>'DADOS_TALENTOS'!$M20</f>
        <v/>
      </c>
      <c r="AR20">
        <f>'DADOS_TALENTOS'!$R20</f>
        <v/>
      </c>
      <c r="AS20">
        <f>'DADOS_TALENTOS'!$Q20&amp;IF('DADOS_TALENTOS'!$P20="","",CHAR(10)&amp;"Requisitos: "&amp;'DADOS_TALENTOS'!$P20)</f>
        <v/>
      </c>
      <c r="AT20">
        <f>N(OR('DADOS_TALENTOS'!$S20="Todas",'DADOS_TALENTOS'!$S20="Fundamento / Manejos"))</f>
        <v/>
      </c>
      <c r="AU20">
        <f>N(OR('DADOS_TALENTOS'!$S20="Todas",'DADOS_TALENTOS'!$S20="Técnica Marcial"))</f>
        <v/>
      </c>
      <c r="AV20">
        <f>IF(OR(AND(DADOS_AM!$A$2&lt;=2,OR('DADOS_TALENTOS'!$S20="Todas",'DADOS_TALENTOS'!$S20="Fundamento / Manejos")),AND(DADOS_AM!$A$2&gt;=2,OR('DADOS_TALENTOS'!$S20="Todas",'DADOS_TALENTOS'!$S20="Técnica Marcial"))),'DADOS_TALENTOS'!$M20,"")</f>
        <v/>
      </c>
      <c r="AW20" t="inlineStr">
        <is>
          <t>Categoria de Efeito 1, 2 ou 3. Custos e níveis da Categoria escolhida. Se o catálogo não representar a ideia, escreva o efeito com o mestre antes da sessão. Ele ocupa os espaços correspondentes e conta no máximo de cinco Talentos pagos.</t>
        </is>
      </c>
      <c r="AY20" t="inlineStr">
        <is>
          <t>Talento Próprio (CE 2)</t>
        </is>
      </c>
    </row>
    <row r="21">
      <c r="L21" t="inlineStr">
        <is>
          <t>Talento</t>
        </is>
      </c>
      <c r="M21" t="inlineStr">
        <is>
          <t>Maldição do Inventário</t>
        </is>
      </c>
      <c r="N21">
        <f>""</f>
        <v/>
      </c>
      <c r="O21" t="b">
        <v>0</v>
      </c>
      <c r="P21">
        <f>""</f>
        <v/>
      </c>
      <c r="Q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R21" t="n">
        <v>1</v>
      </c>
      <c r="S21" t="inlineStr">
        <is>
          <t>Técnica Marcial</t>
        </is>
      </c>
      <c r="T21" t="inlineStr">
        <is>
          <t>Maldição do Inventário</t>
        </is>
      </c>
      <c r="AQ21">
        <f>'DADOS_TALENTOS'!$M21</f>
        <v/>
      </c>
      <c r="AR21">
        <f>'DADOS_TALENTOS'!$R21</f>
        <v/>
      </c>
      <c r="AS21">
        <f>'DADOS_TALENTOS'!$Q21&amp;IF('DADOS_TALENTOS'!$P21="","",CHAR(10)&amp;"Requisitos: "&amp;'DADOS_TALENTOS'!$P21)</f>
        <v/>
      </c>
      <c r="AT21">
        <f>N(OR('DADOS_TALENTOS'!$S21="Todas",'DADOS_TALENTOS'!$S21="Fundamento / Manejos"))</f>
        <v/>
      </c>
      <c r="AU21">
        <f>N(OR('DADOS_TALENTOS'!$S21="Todas",'DADOS_TALENTOS'!$S21="Técnica Marcial"))</f>
        <v/>
      </c>
      <c r="AV21">
        <f>IF(OR(AND(DADOS_AM!$A$2&lt;=2,OR('DADOS_TALENTOS'!$S21="Todas",'DADOS_TALENTOS'!$S21="Fundamento / Manejos")),AND(DADOS_AM!$A$2&gt;=2,OR('DADOS_TALENTOS'!$S21="Todas",'DADOS_TALENTOS'!$S21="Técnica Marcial"))),'DADOS_TALENTOS'!$M21,"")</f>
        <v/>
      </c>
      <c r="AW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AY21" t="inlineStr">
        <is>
          <t>Talento Próprio (CE 3)</t>
        </is>
      </c>
    </row>
    <row r="22">
      <c r="L22" t="inlineStr">
        <is>
          <t>Talento</t>
        </is>
      </c>
      <c r="M22" t="inlineStr">
        <is>
          <t>Segundo Fôlego</t>
        </is>
      </c>
      <c r="N22">
        <f>""</f>
        <v/>
      </c>
      <c r="O22" t="b">
        <v>0</v>
      </c>
      <c r="P22">
        <f>""</f>
        <v/>
      </c>
      <c r="Q22"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R22" t="n">
        <v>2</v>
      </c>
      <c r="S22" t="inlineStr">
        <is>
          <t>Técnica Marcial</t>
        </is>
      </c>
      <c r="T22" t="inlineStr">
        <is>
          <t>Segundo Fôlego</t>
        </is>
      </c>
      <c r="AQ22">
        <f>'DADOS_TALENTOS'!$M22</f>
        <v/>
      </c>
      <c r="AR22">
        <f>'DADOS_TALENTOS'!$R22</f>
        <v/>
      </c>
      <c r="AS22">
        <f>'DADOS_TALENTOS'!$Q22&amp;IF('DADOS_TALENTOS'!$P22="","",CHAR(10)&amp;"Requisitos: "&amp;'DADOS_TALENTOS'!$P22)</f>
        <v/>
      </c>
      <c r="AT22">
        <f>N(OR('DADOS_TALENTOS'!$S22="Todas",'DADOS_TALENTOS'!$S22="Fundamento / Manejos"))</f>
        <v/>
      </c>
      <c r="AU22">
        <f>N(OR('DADOS_TALENTOS'!$S22="Todas",'DADOS_TALENTOS'!$S22="Técnica Marcial"))</f>
        <v/>
      </c>
      <c r="AV22">
        <f>IF(OR(AND(DADOS_AM!$A$2&lt;=2,OR('DADOS_TALENTOS'!$S22="Todas",'DADOS_TALENTOS'!$S22="Fundamento / Manejos")),AND(DADOS_AM!$A$2&gt;=2,OR('DADOS_TALENTOS'!$S22="Todas",'DADOS_TALENTOS'!$S22="Técnica Marcial"))),'DADOS_TALENTOS'!$M22,"")</f>
        <v/>
      </c>
      <c r="AW22" t="inlineStr">
        <is>
          <t>Uma vez por descanso longo, ao escolher Insistir, você pode usar 1/4 do máximo de referência, arredondado para cima, como tratamento necessário naquela queda, em vez do requisito normal de Insistir.</t>
        </is>
      </c>
      <c r="AY22" t="inlineStr">
        <is>
          <t>Maldição do Inventário</t>
        </is>
      </c>
    </row>
    <row r="23">
      <c r="L23" t="inlineStr">
        <is>
          <t>Talento</t>
        </is>
      </c>
      <c r="M23" t="inlineStr">
        <is>
          <t>Contragolpe</t>
        </is>
      </c>
      <c r="N23">
        <f>""</f>
        <v/>
      </c>
      <c r="O23" t="b">
        <v>0</v>
      </c>
      <c r="P23">
        <f>""</f>
        <v/>
      </c>
      <c r="Q23" t="inlineStr">
        <is>
          <t>Quando uma criatura errar um ataque corpo a corpo contra você, pode guardar uma resposta contra ela. Sua próxima rolagem de ataque de uma Kata contra essa criatura tem vantagem. O benefício termina depois dessa rolagem ou ao fim da cena.</t>
        </is>
      </c>
      <c r="R23" t="n">
        <v>2</v>
      </c>
      <c r="S23" t="inlineStr">
        <is>
          <t>Técnica Marcial</t>
        </is>
      </c>
      <c r="T23" t="inlineStr">
        <is>
          <t>Contragolpe</t>
        </is>
      </c>
      <c r="AQ23">
        <f>'DADOS_TALENTOS'!$M23</f>
        <v/>
      </c>
      <c r="AR23">
        <f>'DADOS_TALENTOS'!$R23</f>
        <v/>
      </c>
      <c r="AS23">
        <f>'DADOS_TALENTOS'!$Q23&amp;IF('DADOS_TALENTOS'!$P23="","",CHAR(10)&amp;"Requisitos: "&amp;'DADOS_TALENTOS'!$P23)</f>
        <v/>
      </c>
      <c r="AT23">
        <f>N(OR('DADOS_TALENTOS'!$S23="Todas",'DADOS_TALENTOS'!$S23="Fundamento / Manejos"))</f>
        <v/>
      </c>
      <c r="AU23">
        <f>N(OR('DADOS_TALENTOS'!$S23="Todas",'DADOS_TALENTOS'!$S23="Técnica Marcial"))</f>
        <v/>
      </c>
      <c r="AV23">
        <f>IF(OR(AND(DADOS_AM!$A$2&lt;=2,OR('DADOS_TALENTOS'!$S23="Todas",'DADOS_TALENTOS'!$S23="Fundamento / Manejos")),AND(DADOS_AM!$A$2&gt;=2,OR('DADOS_TALENTOS'!$S23="Todas",'DADOS_TALENTOS'!$S23="Técnica Marcial"))),'DADOS_TALENTOS'!$M23,"")</f>
        <v/>
      </c>
      <c r="AW23" t="inlineStr">
        <is>
          <t>Quando uma criatura errar um ataque corpo a corpo contra você, pode guardar uma resposta contra ela. Sua próxima rolagem de ataque de uma Kata contra essa criatura tem vantagem. O benefício termina depois dessa rolagem ou ao fim da cena.</t>
        </is>
      </c>
      <c r="AY23" t="inlineStr">
        <is>
          <t>Segundo Fôlego</t>
        </is>
      </c>
    </row>
    <row r="24">
      <c r="L24" t="inlineStr">
        <is>
          <t>Talento</t>
        </is>
      </c>
      <c r="M24" t="inlineStr">
        <is>
          <t>Aliança</t>
        </is>
      </c>
      <c r="N24">
        <f>""</f>
        <v/>
      </c>
      <c r="O24" t="b">
        <v>0</v>
      </c>
      <c r="P24">
        <f>""</f>
        <v/>
      </c>
      <c r="Q24" t="inlineStr">
        <is>
          <t>Escolha uma de suas armas ao adquirir este Talento. Ela não pode ser desarmada contra sua vontade e somente você pode empunhá-la para utilizá-la.</t>
        </is>
      </c>
      <c r="R24" t="n">
        <v>3</v>
      </c>
      <c r="S24" t="inlineStr">
        <is>
          <t>Técnica Marcial</t>
        </is>
      </c>
      <c r="T24" t="inlineStr">
        <is>
          <t>Aliança</t>
        </is>
      </c>
      <c r="AQ24">
        <f>'DADOS_TALENTOS'!$M24</f>
        <v/>
      </c>
      <c r="AR24">
        <f>'DADOS_TALENTOS'!$R24</f>
        <v/>
      </c>
      <c r="AS24">
        <f>'DADOS_TALENTOS'!$Q24&amp;IF('DADOS_TALENTOS'!$P24="","",CHAR(10)&amp;"Requisitos: "&amp;'DADOS_TALENTOS'!$P24)</f>
        <v/>
      </c>
      <c r="AT24">
        <f>N(OR('DADOS_TALENTOS'!$S24="Todas",'DADOS_TALENTOS'!$S24="Fundamento / Manejos"))</f>
        <v/>
      </c>
      <c r="AU24">
        <f>N(OR('DADOS_TALENTOS'!$S24="Todas",'DADOS_TALENTOS'!$S24="Técnica Marcial"))</f>
        <v/>
      </c>
      <c r="AV24">
        <f>IF(OR(AND(DADOS_AM!$A$2&lt;=2,OR('DADOS_TALENTOS'!$S24="Todas",'DADOS_TALENTOS'!$S24="Fundamento / Manejos")),AND(DADOS_AM!$A$2&gt;=2,OR('DADOS_TALENTOS'!$S24="Todas",'DADOS_TALENTOS'!$S24="Técnica Marcial"))),'DADOS_TALENTOS'!$M24,"")</f>
        <v/>
      </c>
      <c r="AW24" t="inlineStr">
        <is>
          <t>Escolha uma de suas armas ao adquirir este Talento. Ela não pode ser desarmada contra sua vontade e somente você pode empunhá-la para utilizá-la.</t>
        </is>
      </c>
      <c r="AY24" t="inlineStr">
        <is>
          <t>Contragolpe</t>
        </is>
      </c>
    </row>
    <row r="25">
      <c r="L25">
        <f>IF(AND($K2,$I2=""),$W2,"")</f>
        <v/>
      </c>
      <c r="M25">
        <f>IF(AND($K2,$I2=""),$X2,"")</f>
        <v/>
      </c>
      <c r="N25">
        <f>IF(AND($K2,$I2=""),$Y2,"")</f>
        <v/>
      </c>
      <c r="O25">
        <f>IF(AND($K2,$I2=""),$Z2,FALSE)</f>
        <v/>
      </c>
      <c r="P25">
        <f>IF(AND($K2,$I2=""),$AA2,"")</f>
        <v/>
      </c>
      <c r="Q25">
        <f>IF(AND($K2,$I2=""),$AB2,"")</f>
        <v/>
      </c>
      <c r="R25">
        <f>IF(AND($K2,$I2=""),$AC2,0)</f>
        <v/>
      </c>
      <c r="S25">
        <f>IF(AND($K2,$I2=""),$AD2,"")</f>
        <v/>
      </c>
      <c r="T25">
        <f>IF(AND($K2,$I2=""),$AE2,"")</f>
        <v/>
      </c>
      <c r="AQ25">
        <f>'DADOS_TALENTOS'!$M25</f>
        <v/>
      </c>
      <c r="AR25">
        <f>'DADOS_TALENTOS'!$R25</f>
        <v/>
      </c>
      <c r="AS25">
        <f>'DADOS_TALENTOS'!$Q25&amp;IF('DADOS_TALENTOS'!$P25="","",CHAR(10)&amp;"Requisitos: "&amp;'DADOS_TALENTOS'!$P25)</f>
        <v/>
      </c>
      <c r="AT25">
        <f>N(OR('DADOS_TALENTOS'!$S25="Todas",'DADOS_TALENTOS'!$S25="Fundamento / Manejos"))</f>
        <v/>
      </c>
      <c r="AU25">
        <f>N(OR('DADOS_TALENTOS'!$S25="Todas",'DADOS_TALENTOS'!$S25="Técnica Marcial"))</f>
        <v/>
      </c>
      <c r="AV25">
        <f>IF(OR(AND(DADOS_AM!$A$2&lt;=2,OR('DADOS_TALENTOS'!$S25="Todas",'DADOS_TALENTOS'!$S25="Fundamento / Manejos")),AND(DADOS_AM!$A$2&gt;=2,OR('DADOS_TALENTOS'!$S25="Todas",'DADOS_TALENTOS'!$S25="Técnica Marcial"))),'DADOS_TALENTOS'!$M25,"")</f>
        <v/>
      </c>
      <c r="AW25">
        <f>'DADOS_TALENTOS'!$Q25&amp;IF('DADOS_TALENTOS'!$P25="","",CHAR(10)&amp;"Requisitos: "&amp;'DADOS_TALENTOS'!$P25)</f>
        <v/>
      </c>
      <c r="AY25" t="inlineStr">
        <is>
          <t>Aliança</t>
        </is>
      </c>
    </row>
    <row r="26">
      <c r="L26">
        <f>IF(AND($K3,$I3=""),$W3,"")</f>
        <v/>
      </c>
      <c r="M26">
        <f>IF(AND($K3,$I3=""),$X3,"")</f>
        <v/>
      </c>
      <c r="N26">
        <f>IF(AND($K3,$I3=""),$Y3,"")</f>
        <v/>
      </c>
      <c r="O26">
        <f>IF(AND($K3,$I3=""),$Z3,FALSE)</f>
        <v/>
      </c>
      <c r="P26">
        <f>IF(AND($K3,$I3=""),$AA3,"")</f>
        <v/>
      </c>
      <c r="Q26">
        <f>IF(AND($K3,$I3=""),$AB3,"")</f>
        <v/>
      </c>
      <c r="R26">
        <f>IF(AND($K3,$I3=""),$AC3,0)</f>
        <v/>
      </c>
      <c r="S26">
        <f>IF(AND($K3,$I3=""),$AD3,"")</f>
        <v/>
      </c>
      <c r="T26">
        <f>IF(AND($K3,$I3=""),$AE3,"")</f>
        <v/>
      </c>
      <c r="AQ26">
        <f>'DADOS_TALENTOS'!$M26</f>
        <v/>
      </c>
      <c r="AR26">
        <f>'DADOS_TALENTOS'!$R26</f>
        <v/>
      </c>
      <c r="AS26">
        <f>'DADOS_TALENTOS'!$Q26&amp;IF('DADOS_TALENTOS'!$P26="","",CHAR(10)&amp;"Requisitos: "&amp;'DADOS_TALENTOS'!$P26)</f>
        <v/>
      </c>
      <c r="AT26">
        <f>N(OR('DADOS_TALENTOS'!$S26="Todas",'DADOS_TALENTOS'!$S26="Fundamento / Manejos"))</f>
        <v/>
      </c>
      <c r="AU26">
        <f>N(OR('DADOS_TALENTOS'!$S26="Todas",'DADOS_TALENTOS'!$S26="Técnica Marcial"))</f>
        <v/>
      </c>
      <c r="AV26">
        <f>IF(OR(AND(DADOS_AM!$A$2&lt;=2,OR('DADOS_TALENTOS'!$S26="Todas",'DADOS_TALENTOS'!$S26="Fundamento / Manejos")),AND(DADOS_AM!$A$2&gt;=2,OR('DADOS_TALENTOS'!$S26="Todas",'DADOS_TALENTOS'!$S26="Técnica Marcial"))),'DADOS_TALENTOS'!$M26,"")</f>
        <v/>
      </c>
      <c r="AW26">
        <f>'DADOS_TALENTOS'!$Q26&amp;IF('DADOS_TALENTOS'!$P26="","",CHAR(10)&amp;"Requisitos: "&amp;'DADOS_TALENTOS'!$P26)</f>
        <v/>
      </c>
    </row>
    <row r="27">
      <c r="L27">
        <f>IF(AND($K4,$I4=""),$W4,"")</f>
        <v/>
      </c>
      <c r="M27">
        <f>IF(AND($K4,$I4=""),$X4,"")</f>
        <v/>
      </c>
      <c r="N27">
        <f>IF(AND($K4,$I4=""),$Y4,"")</f>
        <v/>
      </c>
      <c r="O27">
        <f>IF(AND($K4,$I4=""),$Z4,FALSE)</f>
        <v/>
      </c>
      <c r="P27">
        <f>IF(AND($K4,$I4=""),$AA4,"")</f>
        <v/>
      </c>
      <c r="Q27">
        <f>IF(AND($K4,$I4=""),$AB4,"")</f>
        <v/>
      </c>
      <c r="R27">
        <f>IF(AND($K4,$I4=""),$AC4,0)</f>
        <v/>
      </c>
      <c r="S27">
        <f>IF(AND($K4,$I4=""),$AD4,"")</f>
        <v/>
      </c>
      <c r="T27">
        <f>IF(AND($K4,$I4=""),$AE4,"")</f>
        <v/>
      </c>
      <c r="AQ27">
        <f>'DADOS_TALENTOS'!$M27</f>
        <v/>
      </c>
      <c r="AR27">
        <f>'DADOS_TALENTOS'!$R27</f>
        <v/>
      </c>
      <c r="AS27">
        <f>'DADOS_TALENTOS'!$Q27&amp;IF('DADOS_TALENTOS'!$P27="","",CHAR(10)&amp;"Requisitos: "&amp;'DADOS_TALENTOS'!$P27)</f>
        <v/>
      </c>
      <c r="AT27">
        <f>N(OR('DADOS_TALENTOS'!$S27="Todas",'DADOS_TALENTOS'!$S27="Fundamento / Manejos"))</f>
        <v/>
      </c>
      <c r="AU27">
        <f>N(OR('DADOS_TALENTOS'!$S27="Todas",'DADOS_TALENTOS'!$S27="Técnica Marcial"))</f>
        <v/>
      </c>
      <c r="AV27">
        <f>IF(OR(AND(DADOS_AM!$A$2&lt;=2,OR('DADOS_TALENTOS'!$S27="Todas",'DADOS_TALENTOS'!$S27="Fundamento / Manejos")),AND(DADOS_AM!$A$2&gt;=2,OR('DADOS_TALENTOS'!$S27="Todas",'DADOS_TALENTOS'!$S27="Técnica Marcial"))),'DADOS_TALENTOS'!$M27,"")</f>
        <v/>
      </c>
      <c r="AW27">
        <f>'DADOS_TALENTOS'!$Q27&amp;IF('DADOS_TALENTOS'!$P27="","",CHAR(10)&amp;"Requisitos: "&amp;'DADOS_TALENTOS'!$P27)</f>
        <v/>
      </c>
    </row>
    <row r="28">
      <c r="L28">
        <f>IF(AND($K5,$I5=""),$W5,"")</f>
        <v/>
      </c>
      <c r="M28">
        <f>IF(AND($K5,$I5=""),$X5,"")</f>
        <v/>
      </c>
      <c r="N28">
        <f>IF(AND($K5,$I5=""),$Y5,"")</f>
        <v/>
      </c>
      <c r="O28">
        <f>IF(AND($K5,$I5=""),$Z5,FALSE)</f>
        <v/>
      </c>
      <c r="P28">
        <f>IF(AND($K5,$I5=""),$AA5,"")</f>
        <v/>
      </c>
      <c r="Q28">
        <f>IF(AND($K5,$I5=""),$AB5,"")</f>
        <v/>
      </c>
      <c r="R28">
        <f>IF(AND($K5,$I5=""),$AC5,0)</f>
        <v/>
      </c>
      <c r="S28">
        <f>IF(AND($K5,$I5=""),$AD5,"")</f>
        <v/>
      </c>
      <c r="T28">
        <f>IF(AND($K5,$I5=""),$AE5,"")</f>
        <v/>
      </c>
      <c r="AQ28">
        <f>'DADOS_TALENTOS'!$M28</f>
        <v/>
      </c>
      <c r="AR28">
        <f>'DADOS_TALENTOS'!$R28</f>
        <v/>
      </c>
      <c r="AS28">
        <f>'DADOS_TALENTOS'!$Q28&amp;IF('DADOS_TALENTOS'!$P28="","",CHAR(10)&amp;"Requisitos: "&amp;'DADOS_TALENTOS'!$P28)</f>
        <v/>
      </c>
      <c r="AT28">
        <f>N(OR('DADOS_TALENTOS'!$S28="Todas",'DADOS_TALENTOS'!$S28="Fundamento / Manejos"))</f>
        <v/>
      </c>
      <c r="AU28">
        <f>N(OR('DADOS_TALENTOS'!$S28="Todas",'DADOS_TALENTOS'!$S28="Técnica Marcial"))</f>
        <v/>
      </c>
      <c r="AV28">
        <f>IF(OR(AND(DADOS_AM!$A$2&lt;=2,OR('DADOS_TALENTOS'!$S28="Todas",'DADOS_TALENTOS'!$S28="Fundamento / Manejos")),AND(DADOS_AM!$A$2&gt;=2,OR('DADOS_TALENTOS'!$S28="Todas",'DADOS_TALENTOS'!$S28="Técnica Marcial"))),'DADOS_TALENTOS'!$M28,"")</f>
        <v/>
      </c>
      <c r="AW28">
        <f>'DADOS_TALENTOS'!$Q28&amp;IF('DADOS_TALENTOS'!$P28="","",CHAR(10)&amp;"Requisitos: "&amp;'DADOS_TALENTOS'!$P28)</f>
        <v/>
      </c>
    </row>
    <row r="29">
      <c r="L29">
        <f>IF(AND($K6,$I6=""),$W6,"")</f>
        <v/>
      </c>
      <c r="M29">
        <f>IF(AND($K6,$I6=""),$X6,"")</f>
        <v/>
      </c>
      <c r="N29">
        <f>IF(AND($K6,$I6=""),$Y6,"")</f>
        <v/>
      </c>
      <c r="O29">
        <f>IF(AND($K6,$I6=""),$Z6,FALSE)</f>
        <v/>
      </c>
      <c r="P29">
        <f>IF(AND($K6,$I6=""),$AA6,"")</f>
        <v/>
      </c>
      <c r="Q29">
        <f>IF(AND($K6,$I6=""),$AB6,"")</f>
        <v/>
      </c>
      <c r="R29">
        <f>IF(AND($K6,$I6=""),$AC6,0)</f>
        <v/>
      </c>
      <c r="S29">
        <f>IF(AND($K6,$I6=""),$AD6,"")</f>
        <v/>
      </c>
      <c r="T29">
        <f>IF(AND($K6,$I6=""),$AE6,"")</f>
        <v/>
      </c>
      <c r="AQ29">
        <f>'DADOS_TALENTOS'!$M29</f>
        <v/>
      </c>
      <c r="AR29">
        <f>'DADOS_TALENTOS'!$R29</f>
        <v/>
      </c>
      <c r="AS29">
        <f>'DADOS_TALENTOS'!$Q29&amp;IF('DADOS_TALENTOS'!$P29="","",CHAR(10)&amp;"Requisitos: "&amp;'DADOS_TALENTOS'!$P29)</f>
        <v/>
      </c>
      <c r="AT29">
        <f>N(OR('DADOS_TALENTOS'!$S29="Todas",'DADOS_TALENTOS'!$S29="Fundamento / Manejos"))</f>
        <v/>
      </c>
      <c r="AU29">
        <f>N(OR('DADOS_TALENTOS'!$S29="Todas",'DADOS_TALENTOS'!$S29="Técnica Marcial"))</f>
        <v/>
      </c>
      <c r="AV29">
        <f>IF(OR(AND(DADOS_AM!$A$2&lt;=2,OR('DADOS_TALENTOS'!$S29="Todas",'DADOS_TALENTOS'!$S29="Fundamento / Manejos")),AND(DADOS_AM!$A$2&gt;=2,OR('DADOS_TALENTOS'!$S29="Todas",'DADOS_TALENTOS'!$S29="Técnica Marcial"))),'DADOS_TALENTOS'!$M29,"")</f>
        <v/>
      </c>
      <c r="AW29">
        <f>'DADOS_TALENTOS'!$Q29&amp;IF('DADOS_TALENTOS'!$P29="","",CHAR(10)&amp;"Requisitos: "&amp;'DADOS_TALENTOS'!$P29)</f>
        <v/>
      </c>
    </row>
    <row r="30">
      <c r="L30">
        <f>IF(AND($K7,$I7=""),$W7,"")</f>
        <v/>
      </c>
      <c r="M30">
        <f>IF(AND($K7,$I7=""),$X7,"")</f>
        <v/>
      </c>
      <c r="N30">
        <f>IF(AND($K7,$I7=""),$Y7,"")</f>
        <v/>
      </c>
      <c r="O30">
        <f>IF(AND($K7,$I7=""),$Z7,FALSE)</f>
        <v/>
      </c>
      <c r="P30">
        <f>IF(AND($K7,$I7=""),$AA7,"")</f>
        <v/>
      </c>
      <c r="Q30">
        <f>IF(AND($K7,$I7=""),$AB7,"")</f>
        <v/>
      </c>
      <c r="R30">
        <f>IF(AND($K7,$I7=""),$AC7,0)</f>
        <v/>
      </c>
      <c r="S30">
        <f>IF(AND($K7,$I7=""),$AD7,"")</f>
        <v/>
      </c>
      <c r="T30">
        <f>IF(AND($K7,$I7=""),$AE7,"")</f>
        <v/>
      </c>
      <c r="AQ30">
        <f>'DADOS_TALENTOS'!$M30</f>
        <v/>
      </c>
      <c r="AR30">
        <f>'DADOS_TALENTOS'!$R30</f>
        <v/>
      </c>
      <c r="AS30">
        <f>'DADOS_TALENTOS'!$Q30&amp;IF('DADOS_TALENTOS'!$P30="","",CHAR(10)&amp;"Requisitos: "&amp;'DADOS_TALENTOS'!$P30)</f>
        <v/>
      </c>
      <c r="AT30">
        <f>N(OR('DADOS_TALENTOS'!$S30="Todas",'DADOS_TALENTOS'!$S30="Fundamento / Manejos"))</f>
        <v/>
      </c>
      <c r="AU30">
        <f>N(OR('DADOS_TALENTOS'!$S30="Todas",'DADOS_TALENTOS'!$S30="Técnica Marcial"))</f>
        <v/>
      </c>
      <c r="AV30">
        <f>IF(OR(AND(DADOS_AM!$A$2&lt;=2,OR('DADOS_TALENTOS'!$S30="Todas",'DADOS_TALENTOS'!$S30="Fundamento / Manejos")),AND(DADOS_AM!$A$2&gt;=2,OR('DADOS_TALENTOS'!$S30="Todas",'DADOS_TALENTOS'!$S30="Técnica Marcial"))),'DADOS_TALENTOS'!$M30,"")</f>
        <v/>
      </c>
      <c r="AW30">
        <f>'DADOS_TALENTOS'!$Q30&amp;IF('DADOS_TALENTOS'!$P30="","",CHAR(10)&amp;"Requisitos: "&amp;'DADOS_TALENTOS'!$P30)</f>
        <v/>
      </c>
    </row>
    <row r="31">
      <c r="L31">
        <f>IF(AND($K8,$I8=""),$W8,"")</f>
        <v/>
      </c>
      <c r="M31">
        <f>IF(AND($K8,$I8=""),$X8,"")</f>
        <v/>
      </c>
      <c r="N31">
        <f>IF(AND($K8,$I8=""),$Y8,"")</f>
        <v/>
      </c>
      <c r="O31">
        <f>IF(AND($K8,$I8=""),$Z8,FALSE)</f>
        <v/>
      </c>
      <c r="P31">
        <f>IF(AND($K8,$I8=""),$AA8,"")</f>
        <v/>
      </c>
      <c r="Q31">
        <f>IF(AND($K8,$I8=""),$AB8,"")</f>
        <v/>
      </c>
      <c r="R31">
        <f>IF(AND($K8,$I8=""),$AC8,0)</f>
        <v/>
      </c>
      <c r="S31">
        <f>IF(AND($K8,$I8=""),$AD8,"")</f>
        <v/>
      </c>
      <c r="T31">
        <f>IF(AND($K8,$I8=""),$AE8,"")</f>
        <v/>
      </c>
      <c r="AQ31">
        <f>'DADOS_TALENTOS'!$M31</f>
        <v/>
      </c>
      <c r="AR31">
        <f>'DADOS_TALENTOS'!$R31</f>
        <v/>
      </c>
      <c r="AS31">
        <f>'DADOS_TALENTOS'!$Q31&amp;IF('DADOS_TALENTOS'!$P31="","",CHAR(10)&amp;"Requisitos: "&amp;'DADOS_TALENTOS'!$P31)</f>
        <v/>
      </c>
      <c r="AT31">
        <f>N(OR('DADOS_TALENTOS'!$S31="Todas",'DADOS_TALENTOS'!$S31="Fundamento / Manejos"))</f>
        <v/>
      </c>
      <c r="AU31">
        <f>N(OR('DADOS_TALENTOS'!$S31="Todas",'DADOS_TALENTOS'!$S31="Técnica Marcial"))</f>
        <v/>
      </c>
      <c r="AV31">
        <f>IF(OR(AND(DADOS_AM!$A$2&lt;=2,OR('DADOS_TALENTOS'!$S31="Todas",'DADOS_TALENTOS'!$S31="Fundamento / Manejos")),AND(DADOS_AM!$A$2&gt;=2,OR('DADOS_TALENTOS'!$S31="Todas",'DADOS_TALENTOS'!$S31="Técnica Marcial"))),'DADOS_TALENTOS'!$M31,"")</f>
        <v/>
      </c>
      <c r="AW31">
        <f>'DADOS_TALENTOS'!$Q31&amp;IF('DADOS_TALENTOS'!$P31="","",CHAR(10)&amp;"Requisitos: "&amp;'DADOS_TALENTOS'!$P31)</f>
        <v/>
      </c>
    </row>
    <row r="32">
      <c r="L32">
        <f>IF(AND($K9,$I9=""),$W9,"")</f>
        <v/>
      </c>
      <c r="M32">
        <f>IF(AND($K9,$I9=""),$X9,"")</f>
        <v/>
      </c>
      <c r="N32">
        <f>IF(AND($K9,$I9=""),$Y9,"")</f>
        <v/>
      </c>
      <c r="O32">
        <f>IF(AND($K9,$I9=""),$Z9,FALSE)</f>
        <v/>
      </c>
      <c r="P32">
        <f>IF(AND($K9,$I9=""),$AA9,"")</f>
        <v/>
      </c>
      <c r="Q32">
        <f>IF(AND($K9,$I9=""),$AB9,"")</f>
        <v/>
      </c>
      <c r="R32">
        <f>IF(AND($K9,$I9=""),$AC9,0)</f>
        <v/>
      </c>
      <c r="S32">
        <f>IF(AND($K9,$I9=""),$AD9,"")</f>
        <v/>
      </c>
      <c r="T32">
        <f>IF(AND($K9,$I9=""),$AE9,"")</f>
        <v/>
      </c>
      <c r="AQ32">
        <f>'DADOS_TALENTOS'!$M32</f>
        <v/>
      </c>
      <c r="AR32">
        <f>'DADOS_TALENTOS'!$R32</f>
        <v/>
      </c>
      <c r="AS32">
        <f>'DADOS_TALENTOS'!$Q32&amp;IF('DADOS_TALENTOS'!$P32="","",CHAR(10)&amp;"Requisitos: "&amp;'DADOS_TALENTOS'!$P32)</f>
        <v/>
      </c>
      <c r="AT32">
        <f>N(OR('DADOS_TALENTOS'!$S32="Todas",'DADOS_TALENTOS'!$S32="Fundamento / Manejos"))</f>
        <v/>
      </c>
      <c r="AU32">
        <f>N(OR('DADOS_TALENTOS'!$S32="Todas",'DADOS_TALENTOS'!$S32="Técnica Marcial"))</f>
        <v/>
      </c>
      <c r="AV32">
        <f>IF(OR(AND(DADOS_AM!$A$2&lt;=2,OR('DADOS_TALENTOS'!$S32="Todas",'DADOS_TALENTOS'!$S32="Fundamento / Manejos")),AND(DADOS_AM!$A$2&gt;=2,OR('DADOS_TALENTOS'!$S32="Todas",'DADOS_TALENTOS'!$S32="Técnica Marcial"))),'DADOS_TALENTOS'!$M32,"")</f>
        <v/>
      </c>
      <c r="AW32">
        <f>'DADOS_TALENTOS'!$Q32&amp;IF('DADOS_TALENTOS'!$P32="","",CHAR(10)&amp;"Requisitos: "&amp;'DADOS_TALENTOS'!$P32)</f>
        <v/>
      </c>
    </row>
    <row r="33">
      <c r="L33">
        <f>IF(AND($K10,$I10=""),$W10,"")</f>
        <v/>
      </c>
      <c r="M33">
        <f>IF(AND($K10,$I10=""),$X10,"")</f>
        <v/>
      </c>
      <c r="N33">
        <f>IF(AND($K10,$I10=""),$Y10,"")</f>
        <v/>
      </c>
      <c r="O33">
        <f>IF(AND($K10,$I10=""),$Z10,FALSE)</f>
        <v/>
      </c>
      <c r="P33">
        <f>IF(AND($K10,$I10=""),$AA10,"")</f>
        <v/>
      </c>
      <c r="Q33">
        <f>IF(AND($K10,$I10=""),$AB10,"")</f>
        <v/>
      </c>
      <c r="R33">
        <f>IF(AND($K10,$I10=""),$AC10,0)</f>
        <v/>
      </c>
      <c r="S33">
        <f>IF(AND($K10,$I10=""),$AD10,"")</f>
        <v/>
      </c>
      <c r="T33">
        <f>IF(AND($K10,$I10=""),$AE10,"")</f>
        <v/>
      </c>
      <c r="AQ33">
        <f>'DADOS_TALENTOS'!$M33</f>
        <v/>
      </c>
      <c r="AR33">
        <f>'DADOS_TALENTOS'!$R33</f>
        <v/>
      </c>
      <c r="AS33">
        <f>'DADOS_TALENTOS'!$Q33&amp;IF('DADOS_TALENTOS'!$P33="","",CHAR(10)&amp;"Requisitos: "&amp;'DADOS_TALENTOS'!$P33)</f>
        <v/>
      </c>
      <c r="AT33">
        <f>N(OR('DADOS_TALENTOS'!$S33="Todas",'DADOS_TALENTOS'!$S33="Fundamento / Manejos"))</f>
        <v/>
      </c>
      <c r="AU33">
        <f>N(OR('DADOS_TALENTOS'!$S33="Todas",'DADOS_TALENTOS'!$S33="Técnica Marcial"))</f>
        <v/>
      </c>
      <c r="AV33">
        <f>IF(OR(AND(DADOS_AM!$A$2&lt;=2,OR('DADOS_TALENTOS'!$S33="Todas",'DADOS_TALENTOS'!$S33="Fundamento / Manejos")),AND(DADOS_AM!$A$2&gt;=2,OR('DADOS_TALENTOS'!$S33="Todas",'DADOS_TALENTOS'!$S33="Técnica Marcial"))),'DADOS_TALENTOS'!$M33,"")</f>
        <v/>
      </c>
      <c r="AW33">
        <f>'DADOS_TALENTOS'!$Q33&amp;IF('DADOS_TALENTOS'!$P33="","",CHAR(10)&amp;"Requisitos: "&amp;'DADOS_TALENTOS'!$P33)</f>
        <v/>
      </c>
    </row>
    <row r="34">
      <c r="L34">
        <f>IF(AND($K11,$I11=""),$W11,"")</f>
        <v/>
      </c>
      <c r="M34">
        <f>IF(AND($K11,$I11=""),$X11,"")</f>
        <v/>
      </c>
      <c r="N34">
        <f>IF(AND($K11,$I11=""),$Y11,"")</f>
        <v/>
      </c>
      <c r="O34">
        <f>IF(AND($K11,$I11=""),$Z11,FALSE)</f>
        <v/>
      </c>
      <c r="P34">
        <f>IF(AND($K11,$I11=""),$AA11,"")</f>
        <v/>
      </c>
      <c r="Q34">
        <f>IF(AND($K11,$I11=""),$AB11,"")</f>
        <v/>
      </c>
      <c r="R34">
        <f>IF(AND($K11,$I11=""),$AC11,0)</f>
        <v/>
      </c>
      <c r="S34">
        <f>IF(AND($K11,$I11=""),$AD11,"")</f>
        <v/>
      </c>
      <c r="T34">
        <f>IF(AND($K11,$I11=""),$AE11,"")</f>
        <v/>
      </c>
      <c r="AQ34">
        <f>'DADOS_TALENTOS'!$M34</f>
        <v/>
      </c>
      <c r="AR34">
        <f>'DADOS_TALENTOS'!$R34</f>
        <v/>
      </c>
      <c r="AS34">
        <f>'DADOS_TALENTOS'!$Q34&amp;IF('DADOS_TALENTOS'!$P34="","",CHAR(10)&amp;"Requisitos: "&amp;'DADOS_TALENTOS'!$P34)</f>
        <v/>
      </c>
      <c r="AT34">
        <f>N(OR('DADOS_TALENTOS'!$S34="Todas",'DADOS_TALENTOS'!$S34="Fundamento / Manejos"))</f>
        <v/>
      </c>
      <c r="AU34">
        <f>N(OR('DADOS_TALENTOS'!$S34="Todas",'DADOS_TALENTOS'!$S34="Técnica Marcial"))</f>
        <v/>
      </c>
      <c r="AV34">
        <f>IF(OR(AND(DADOS_AM!$A$2&lt;=2,OR('DADOS_TALENTOS'!$S34="Todas",'DADOS_TALENTOS'!$S34="Fundamento / Manejos")),AND(DADOS_AM!$A$2&gt;=2,OR('DADOS_TALENTOS'!$S34="Todas",'DADOS_TALENTOS'!$S34="Técnica Marcial"))),'DADOS_TALENTOS'!$M34,"")</f>
        <v/>
      </c>
      <c r="AW34">
        <f>'DADOS_TALENTOS'!$Q34&amp;IF('DADOS_TALENTOS'!$P34="","",CHAR(10)&amp;"Requisitos: "&amp;'DADOS_TALENTOS'!$P34)</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R35"/>
  <sheetViews>
    <sheetView showGridLines="0" workbookViewId="0">
      <selection activeCell="A1" sqref="A1"/>
    </sheetView>
  </sheetViews>
  <sheetFormatPr baseColWidth="8" defaultRowHeight="15.75" customHeight="1"/>
  <sheetData>
    <row r="1">
      <c r="A1" t="inlineStr">
        <is>
          <t>registro</t>
        </is>
      </c>
      <c r="B1" t="inlineStr">
        <is>
          <t>nome</t>
        </is>
      </c>
      <c r="C1" t="inlineStr">
        <is>
          <t>base</t>
        </is>
      </c>
      <c r="D1" t="inlineStr">
        <is>
          <t>vida</t>
        </is>
      </c>
      <c r="E1" t="inlineStr">
        <is>
          <t>talismã</t>
        </is>
      </c>
      <c r="F1" t="inlineStr">
        <is>
          <t>reserva de PE</t>
        </is>
      </c>
      <c r="G1" t="inlineStr">
        <is>
          <t>mestre viu</t>
        </is>
      </c>
      <c r="H1" t="inlineStr">
        <is>
          <t>definição</t>
        </is>
      </c>
      <c r="I1" t="inlineStr">
        <is>
          <t>efeito e requisitos</t>
        </is>
      </c>
      <c r="J1" t="inlineStr">
        <is>
          <t>linha da base</t>
        </is>
      </c>
      <c r="K1" t="inlineStr">
        <is>
          <t>problema</t>
        </is>
      </c>
      <c r="M1" t="inlineStr">
        <is>
          <t>tipo de entidade</t>
        </is>
      </c>
      <c r="N1" t="inlineStr">
        <is>
          <t>vida de criação</t>
        </is>
      </c>
      <c r="O1" t="inlineStr">
        <is>
          <t>usa talismã</t>
        </is>
      </c>
      <c r="P1" t="inlineStr">
        <is>
          <t>reserva de domada</t>
        </is>
      </c>
      <c r="R1" t="inlineStr">
        <is>
          <t>opções vida</t>
        </is>
      </c>
      <c r="S1" t="inlineStr">
        <is>
          <t>opções talisma</t>
        </is>
      </c>
      <c r="T1" t="inlineStr">
        <is>
          <t>opções reserva_pe</t>
        </is>
      </c>
      <c r="U1" t="inlineStr">
        <is>
          <t>base do tipo</t>
        </is>
      </c>
      <c r="V1" t="inlineStr">
        <is>
          <t>opções categoria</t>
        </is>
      </c>
      <c r="W1" t="inlineStr">
        <is>
          <t>base do talento</t>
        </is>
      </c>
      <c r="Y1" t="inlineStr">
        <is>
          <t>registro</t>
        </is>
      </c>
      <c r="Z1" t="inlineStr">
        <is>
          <t>nome</t>
        </is>
      </c>
      <c r="AA1" t="inlineStr">
        <is>
          <t>base</t>
        </is>
      </c>
      <c r="AB1" t="inlineStr">
        <is>
          <t>categoria de efeito</t>
        </is>
      </c>
      <c r="AC1" t="inlineStr">
        <is>
          <t>requisitos</t>
        </is>
      </c>
      <c r="AD1" t="inlineStr">
        <is>
          <t>efeito</t>
        </is>
      </c>
      <c r="AE1" t="inlineStr">
        <is>
          <t>mestre viu</t>
        </is>
      </c>
      <c r="AF1" t="inlineStr">
        <is>
          <t>linha da base</t>
        </is>
      </c>
      <c r="AG1" t="inlineStr">
        <is>
          <t>problema</t>
        </is>
      </c>
      <c r="AI1" t="inlineStr">
        <is>
          <t>talento</t>
        </is>
      </c>
      <c r="AJ1" t="inlineStr">
        <is>
          <t>categoria de efeito</t>
        </is>
      </c>
      <c r="AK1" t="inlineStr">
        <is>
          <t>o que o talento faz</t>
        </is>
      </c>
      <c r="AL1" t="inlineStr">
        <is>
          <t>menu de talento da trilha</t>
        </is>
      </c>
      <c r="AM1" t="inlineStr">
        <is>
          <t>índice do tipo custom selecionado</t>
        </is>
      </c>
      <c r="AN1" t="inlineStr">
        <is>
          <t>definição do tipo selecionado</t>
        </is>
      </c>
      <c r="AO1" t="inlineStr">
        <is>
          <t>efeito do tipo selecionado</t>
        </is>
      </c>
      <c r="AP1" t="inlineStr">
        <is>
          <t>nota do tipo selecionado</t>
        </is>
      </c>
      <c r="AQ1" t="inlineStr">
        <is>
          <t>definição efetiva do tipo</t>
        </is>
      </c>
      <c r="AR1" t="inlineStr">
        <is>
          <t>efeito efetivo do tipo</t>
        </is>
      </c>
    </row>
    <row r="2">
      <c r="A2" t="n">
        <v>1</v>
      </c>
      <c r="B2">
        <f>IF(ISBLANK('CONFIGURAÇÃO'!$B$2390),"",'CONFIGURAÇÃO'!$B$2390)</f>
        <v/>
      </c>
      <c r="C2">
        <f>IF(ISBLANK('CONFIGURAÇÃO'!$E$2392),"",'CONFIGURAÇÃO'!$E$2392)</f>
        <v/>
      </c>
      <c r="D2">
        <f>IF(ISBLANK('CONFIGURAÇÃO'!$E$2393),"",'CONFIGURAÇÃO'!$E$2393)</f>
        <v/>
      </c>
      <c r="E2">
        <f>IF(ISBLANK('CONFIGURAÇÃO'!$E$2394),"",'CONFIGURAÇÃO'!$E$2394)</f>
        <v/>
      </c>
      <c r="F2">
        <f>IF(ISBLANK('CONFIGURAÇÃO'!$E$2396),"",'CONFIGURAÇÃO'!$E$2396)</f>
        <v/>
      </c>
      <c r="G2">
        <f>IF(ISBLANK('CONFIGURAÇÃO'!$F$2390),"",'CONFIGURAÇÃO'!$F$2390)</f>
        <v/>
      </c>
      <c r="H2">
        <f>IF(ISBLANK('CONFIGURAÇÃO'!$B$2400),"",'CONFIGURAÇÃO'!$B$2400)</f>
        <v/>
      </c>
      <c r="I2">
        <f>IF(ISBLANK('CONFIGURAÇÃO'!$B$2405),"",'CONFIGURAÇÃO'!$B$2405)</f>
        <v/>
      </c>
      <c r="J2">
        <f>IF(OR(C2="",C2="Nenhuma"),0,IFERROR(MATCH(SUBSTITUTE(SUBSTITUTE(SUBSTITUTE(C2,"~","~~"),"*","~*"),"?","~?"),'DADOS_ENTIDADES'!$M$2:$M$6,0),-1))</f>
        <v/>
      </c>
      <c r="K2">
        <f>IF(B2="",IF(OR(D2&lt;&gt;"",E2&lt;&gt;"",F2&lt;&gt;"",H2&lt;&gt;"",I2&lt;&gt;"",G2=TRUE,AND(C2&lt;&gt;"",C2&lt;&gt;"Nenhuma")),"Preencha NOME",""),TEXTJOIN(" · ",TRUE,IF(OR(NOT(ISTEXT(B2)),TRIM(B2)&lt;&gt;B2),"NOME precisa ser texto sem espaços nas pontas",""),IF(COUNTIF('DADOS_ENTIDADES'!$B$2:$B$11,SUBSTITUTE(SUBSTITUTE(SUBSTITUTE(B2,"~","~~"),"*","~*"),"?","~?"))+COUNTIF('DADOS_ENTIDADES'!$M$2:$M$6,SUBSTITUTE(SUBSTITUTE(SUBSTITUTE(B2,"~","~~"),"*","~*"),"?","~?"))&gt;1,"Nome repetido no livro ou custom",""),IF(J2&lt;0,"Escolha uma BASE DO LIVRO válida",""),IF(AND(D2&lt;&gt;"",NOT(OR(D2="Normal da entidade",D2="Corpo de criação"))),"VIDA inválida",""),IF(AND(E2&lt;&gt;"",NOT(OR(E2="Não usa",E2="Usa"))),"TALISMÃ inválida",""),IF(AND(F2&lt;&gt;"",NOT(OR(F2="Normal da entidade",F2="Maldição domada"))),"RESERVA DE PE inválida",""),IF(ISLOGICAL(G2),"","MESTRE VIU deve ser caixa de seleção")))</f>
        <v/>
      </c>
      <c r="M2">
        <f>IF(ISBLANK(DADOS_INVOC!$BN$2),"",DADOS_INVOC!$BN$2)</f>
        <v/>
      </c>
      <c r="N2" t="n">
        <v>0</v>
      </c>
      <c r="O2" t="n">
        <v>0</v>
      </c>
      <c r="P2" t="n">
        <v>0</v>
      </c>
      <c r="R2" t="inlineStr">
        <is>
          <t>Normal da entidade</t>
        </is>
      </c>
      <c r="S2" t="inlineStr">
        <is>
          <t>Não usa</t>
        </is>
      </c>
      <c r="T2" t="inlineStr">
        <is>
          <t>Normal da entidade</t>
        </is>
      </c>
      <c r="U2" t="inlineStr">
        <is>
          <t>Nenhuma</t>
        </is>
      </c>
      <c r="V2" t="n">
        <v>1</v>
      </c>
      <c r="W2" t="inlineStr">
        <is>
          <t>Nenhuma</t>
        </is>
      </c>
      <c r="Y2" t="n">
        <v>1</v>
      </c>
      <c r="Z2">
        <f>IF(ISBLANK('CONFIGURAÇÃO'!$B$2532),"",'CONFIGURAÇÃO'!$B$2532)</f>
        <v/>
      </c>
      <c r="AA2">
        <f>IF(ISBLANK('CONFIGURAÇÃO'!$E$2534),"",'CONFIGURAÇÃO'!$E$2534)</f>
        <v/>
      </c>
      <c r="AB2">
        <f>IF(ISBLANK('CONFIGURAÇÃO'!$E$2535),"",'CONFIGURAÇÃO'!$E$2535)</f>
        <v/>
      </c>
      <c r="AC2">
        <f>IF(ISBLANK('CONFIGURAÇÃO'!$B$2542),"",'CONFIGURAÇÃO'!$B$2542)</f>
        <v/>
      </c>
      <c r="AD2">
        <f>IF(ISBLANK('CONFIGURAÇÃO'!$B$2547),"",'CONFIGURAÇÃO'!$B$2547)</f>
        <v/>
      </c>
      <c r="AE2">
        <f>IF(ISBLANK('CONFIGURAÇÃO'!$F$2532),"",'CONFIGURAÇÃO'!$F$2532)</f>
        <v/>
      </c>
      <c r="AF2">
        <f>IF(OR(AA2="",AA2="Nenhuma"),0,IFERROR(MATCH(SUBSTITUTE(SUBSTITUTE(SUBSTITUTE(AA2,"~","~~"),"*","~*"),"?","~?"),'DADOS_ENTIDADES'!$AI$2:$AI$15,0),-1))</f>
        <v/>
      </c>
      <c r="AG2">
        <f>IF(Z2="",IF(OR(AB2&lt;&gt;"",AC2&lt;&gt;"",AD2&lt;&gt;"",AE2=TRUE,AND(AA2&lt;&gt;"",AA2&lt;&gt;"Nenhuma")),"Preencha NOME",""),TEXTJOIN(" · ",TRUE,IF(OR(NOT(ISTEXT(Z2)),TRIM(Z2)&lt;&gt;Z2),"NOME precisa ser texto sem espaços nas pontas",""),IF(COUNTIF('DADOS_ENTIDADES'!$Z$2:$Z$21,SUBSTITUTE(SUBSTITUTE(SUBSTITUTE(Z2,"~","~~"),"*","~*"),"?","~?"))+COUNTIF('DADOS_ENTIDADES'!$AI$2:$AI$15,SUBSTITUTE(SUBSTITUTE(SUBSTITUTE(Z2,"~","~~"),"*","~*"),"?","~?"))&gt;1,"Nome repetido no livro ou custom",""),IF(AF2&lt;0,"Escolha uma BASE DO LIVRO válida",""),IF(AND(AB2="",AF2&lt;=0),"Escolha CATEGORIA DE EFEITO",""),IF(AND(AB2&lt;&gt;"",NOT(IFERROR(AND(ISNUMBER(AB2),NOT(ISLOGICAL(AB2)),AB2=INT(AB2),AB2&gt;=1,AB2&lt;=3),FALSE))),"CATEGORIA DE EFEITO deve ser 1, 2 ou 3",""),IF(ISLOGICAL(AE2),"","MESTRE VIU deve ser caixa de seleção")))</f>
        <v/>
      </c>
      <c r="AI2">
        <f>IF(ISBLANK(DADOS_INVOC!$BI$2),"",DADOS_INVOC!$BI$2)</f>
        <v/>
      </c>
      <c r="AJ2">
        <f>IF(ISBLANK(DADOS_INVOC!$BJ$2),"",DADOS_INVOC!$BJ$2)</f>
        <v/>
      </c>
      <c r="AK2">
        <f>IF(ISBLANK(DADOS_INVOC!$BK$2),"",DADOS_INVOC!$BK$2)</f>
        <v/>
      </c>
      <c r="AL2">
        <f>IF(ISBLANK(DADOS_INVOC!$BL$2),"",DADOS_INVOC!$BL$2)</f>
        <v/>
      </c>
      <c r="AM2">
        <f>IF('INVOCAÇÕES'!$I$43="",0,IFERROR(MATCH(SUBSTITUTE(SUBSTITUTE(SUBSTITUTE('INVOCAÇÕES'!$I$43,"~","~~"),"*","~*"),"?","~?"),'DADOS_ENTIDADES'!$M$2:$M$16,0),0))</f>
        <v/>
      </c>
      <c r="AN2">
        <f>IF(AM2=0,"",IFERROR(INDEX('DADOS_ENTIDADES'!$AQ$2:$AQ$16,AM2)&amp;"",""))</f>
        <v/>
      </c>
      <c r="AO2">
        <f>IF(AM2=0,"",IFERROR(INDEX('DADOS_ENTIDADES'!$AR$2:$AR$16,AM2)&amp;"",""))</f>
        <v/>
      </c>
      <c r="AP2">
        <f>TEXTJOIN(CHAR(10)&amp;CHAR(10),TRUE,IF(AN2="","","DEFINIÇÃO"&amp;CHAR(10)&amp;AN2),IF(AO2="","","EFEITO E REQUISITOS"&amp;CHAR(10)&amp;AO2))</f>
        <v/>
      </c>
      <c r="AQ2" t="inlineStr">
        <is>
          <t>Criatura ligada à técnica.</t>
        </is>
      </c>
      <c r="AR2" t="inlineStr">
        <is>
          <t>Usa a ficha normal de entidade.</t>
        </is>
      </c>
    </row>
    <row r="3">
      <c r="A3" t="n">
        <v>2</v>
      </c>
      <c r="B3">
        <f>IF(ISBLANK('CONFIGURAÇÃO'!$J$2390),"",'CONFIGURAÇÃO'!$J$2390)</f>
        <v/>
      </c>
      <c r="C3">
        <f>IF(ISBLANK('CONFIGURAÇÃO'!$M$2392),"",'CONFIGURAÇÃO'!$M$2392)</f>
        <v/>
      </c>
      <c r="D3">
        <f>IF(ISBLANK('CONFIGURAÇÃO'!$M$2393),"",'CONFIGURAÇÃO'!$M$2393)</f>
        <v/>
      </c>
      <c r="E3">
        <f>IF(ISBLANK('CONFIGURAÇÃO'!$M$2394),"",'CONFIGURAÇÃO'!$M$2394)</f>
        <v/>
      </c>
      <c r="F3">
        <f>IF(ISBLANK('CONFIGURAÇÃO'!$M$2396),"",'CONFIGURAÇÃO'!$M$2396)</f>
        <v/>
      </c>
      <c r="G3">
        <f>IF(ISBLANK('CONFIGURAÇÃO'!$N$2390),"",'CONFIGURAÇÃO'!$N$2390)</f>
        <v/>
      </c>
      <c r="H3">
        <f>IF(ISBLANK('CONFIGURAÇÃO'!$J$2400),"",'CONFIGURAÇÃO'!$J$2400)</f>
        <v/>
      </c>
      <c r="I3">
        <f>IF(ISBLANK('CONFIGURAÇÃO'!$J$2405),"",'CONFIGURAÇÃO'!$J$2405)</f>
        <v/>
      </c>
      <c r="J3">
        <f>IF(OR(C3="",C3="Nenhuma"),0,IFERROR(MATCH(SUBSTITUTE(SUBSTITUTE(SUBSTITUTE(C3,"~","~~"),"*","~*"),"?","~?"),'DADOS_ENTIDADES'!$M$2:$M$6,0),-1))</f>
        <v/>
      </c>
      <c r="K3">
        <f>IF(B3="",IF(OR(D3&lt;&gt;"",E3&lt;&gt;"",F3&lt;&gt;"",H3&lt;&gt;"",I3&lt;&gt;"",G3=TRUE,AND(C3&lt;&gt;"",C3&lt;&gt;"Nenhuma")),"Preencha NOME",""),TEXTJOIN(" · ",TRUE,IF(OR(NOT(ISTEXT(B3)),TRIM(B3)&lt;&gt;B3),"NOME precisa ser texto sem espaços nas pontas",""),IF(COUNTIF('DADOS_ENTIDADES'!$B$2:$B$11,SUBSTITUTE(SUBSTITUTE(SUBSTITUTE(B3,"~","~~"),"*","~*"),"?","~?"))+COUNTIF('DADOS_ENTIDADES'!$M$2:$M$6,SUBSTITUTE(SUBSTITUTE(SUBSTITUTE(B3,"~","~~"),"*","~*"),"?","~?"))&gt;1,"Nome repetido no livro ou custom",""),IF(J3&lt;0,"Escolha uma BASE DO LIVRO válida",""),IF(AND(D3&lt;&gt;"",NOT(OR(D3="Normal da entidade",D3="Corpo de criação"))),"VIDA inválida",""),IF(AND(E3&lt;&gt;"",NOT(OR(E3="Não usa",E3="Usa"))),"TALISMÃ inválida",""),IF(AND(F3&lt;&gt;"",NOT(OR(F3="Normal da entidade",F3="Maldição domada"))),"RESERVA DE PE inválida",""),IF(ISLOGICAL(G3),"","MESTRE VIU deve ser caixa de seleção")))</f>
        <v/>
      </c>
      <c r="M3">
        <f>IF(ISBLANK(DADOS_INVOC!$BN$3),"",DADOS_INVOC!$BN$3)</f>
        <v/>
      </c>
      <c r="N3" t="n">
        <v>0</v>
      </c>
      <c r="O3" t="n">
        <v>0</v>
      </c>
      <c r="P3" t="n">
        <v>0</v>
      </c>
      <c r="R3" t="inlineStr">
        <is>
          <t>Corpo de criação</t>
        </is>
      </c>
      <c r="S3" t="inlineStr">
        <is>
          <t>Usa</t>
        </is>
      </c>
      <c r="T3" t="inlineStr">
        <is>
          <t>Maldição domada</t>
        </is>
      </c>
      <c r="U3">
        <f>M2</f>
        <v/>
      </c>
      <c r="V3" t="n">
        <v>2</v>
      </c>
      <c r="W3">
        <f>AI2</f>
        <v/>
      </c>
      <c r="Y3" t="n">
        <v>2</v>
      </c>
      <c r="Z3">
        <f>IF(ISBLANK('CONFIGURAÇÃO'!$J$2532),"",'CONFIGURAÇÃO'!$J$2532)</f>
        <v/>
      </c>
      <c r="AA3">
        <f>IF(ISBLANK('CONFIGURAÇÃO'!$M$2534),"",'CONFIGURAÇÃO'!$M$2534)</f>
        <v/>
      </c>
      <c r="AB3">
        <f>IF(ISBLANK('CONFIGURAÇÃO'!$M$2535),"",'CONFIGURAÇÃO'!$M$2535)</f>
        <v/>
      </c>
      <c r="AC3">
        <f>IF(ISBLANK('CONFIGURAÇÃO'!$J$2542),"",'CONFIGURAÇÃO'!$J$2542)</f>
        <v/>
      </c>
      <c r="AD3">
        <f>IF(ISBLANK('CONFIGURAÇÃO'!$J$2547),"",'CONFIGURAÇÃO'!$J$2547)</f>
        <v/>
      </c>
      <c r="AE3">
        <f>IF(ISBLANK('CONFIGURAÇÃO'!$N$2532),"",'CONFIGURAÇÃO'!$N$2532)</f>
        <v/>
      </c>
      <c r="AF3">
        <f>IF(OR(AA3="",AA3="Nenhuma"),0,IFERROR(MATCH(SUBSTITUTE(SUBSTITUTE(SUBSTITUTE(AA3,"~","~~"),"*","~*"),"?","~?"),'DADOS_ENTIDADES'!$AI$2:$AI$15,0),-1))</f>
        <v/>
      </c>
      <c r="AG3">
        <f>IF(Z3="",IF(OR(AB3&lt;&gt;"",AC3&lt;&gt;"",AD3&lt;&gt;"",AE3=TRUE,AND(AA3&lt;&gt;"",AA3&lt;&gt;"Nenhuma")),"Preencha NOME",""),TEXTJOIN(" · ",TRUE,IF(OR(NOT(ISTEXT(Z3)),TRIM(Z3)&lt;&gt;Z3),"NOME precisa ser texto sem espaços nas pontas",""),IF(COUNTIF('DADOS_ENTIDADES'!$Z$2:$Z$21,SUBSTITUTE(SUBSTITUTE(SUBSTITUTE(Z3,"~","~~"),"*","~*"),"?","~?"))+COUNTIF('DADOS_ENTIDADES'!$AI$2:$AI$15,SUBSTITUTE(SUBSTITUTE(SUBSTITUTE(Z3,"~","~~"),"*","~*"),"?","~?"))&gt;1,"Nome repetido no livro ou custom",""),IF(AF3&lt;0,"Escolha uma BASE DO LIVRO válida",""),IF(AND(AB3="",AF3&lt;=0),"Escolha CATEGORIA DE EFEITO",""),IF(AND(AB3&lt;&gt;"",NOT(IFERROR(AND(ISNUMBER(AB3),NOT(ISLOGICAL(AB3)),AB3=INT(AB3),AB3&gt;=1,AB3&lt;=3),FALSE))),"CATEGORIA DE EFEITO deve ser 1, 2 ou 3",""),IF(ISLOGICAL(AE3),"","MESTRE VIU deve ser caixa de seleção")))</f>
        <v/>
      </c>
      <c r="AI3">
        <f>IF(ISBLANK(DADOS_INVOC!$BI$3),"",DADOS_INVOC!$BI$3)</f>
        <v/>
      </c>
      <c r="AJ3">
        <f>IF(ISBLANK(DADOS_INVOC!$BJ$3),"",DADOS_INVOC!$BJ$3)</f>
        <v/>
      </c>
      <c r="AK3">
        <f>IF(ISBLANK(DADOS_INVOC!$BK$3),"",DADOS_INVOC!$BK$3)</f>
        <v/>
      </c>
      <c r="AL3">
        <f>IF(ISBLANK(DADOS_INVOC!$BL$3),"",DADOS_INVOC!$BL$3)</f>
        <v/>
      </c>
      <c r="AM3">
        <f>IF('INVOCAÇÕES'!$I$241="",0,IFERROR(MATCH(SUBSTITUTE(SUBSTITUTE(SUBSTITUTE('INVOCAÇÕES'!$I$241,"~","~~"),"*","~*"),"?","~?"),'DADOS_ENTIDADES'!$M$2:$M$16,0),0))</f>
        <v/>
      </c>
      <c r="AN3">
        <f>IF(AM3=0,"",IFERROR(INDEX('DADOS_ENTIDADES'!$AQ$2:$AQ$16,AM3)&amp;"",""))</f>
        <v/>
      </c>
      <c r="AO3">
        <f>IF(AM3=0,"",IFERROR(INDEX('DADOS_ENTIDADES'!$AR$2:$AR$16,AM3)&amp;"",""))</f>
        <v/>
      </c>
      <c r="AP3">
        <f>TEXTJOIN(CHAR(10)&amp;CHAR(10),TRUE,IF(AN3="","","DEFINIÇÃO"&amp;CHAR(10)&amp;AN3),IF(AO3="","","EFEITO E REQUISITOS"&amp;CHAR(10)&amp;AO3))</f>
        <v/>
      </c>
      <c r="AQ3" t="inlineStr">
        <is>
          <t>Corpo ligado à técnica.</t>
        </is>
      </c>
      <c r="AR3" t="inlineStr">
        <is>
          <t>Usa a vida normal e as regras de corpo amaldiçoado.</t>
        </is>
      </c>
    </row>
    <row r="4">
      <c r="A4" t="n">
        <v>3</v>
      </c>
      <c r="B4">
        <f>IF(ISBLANK('CONFIGURAÇÃO'!$B$2418),"",'CONFIGURAÇÃO'!$B$2418)</f>
        <v/>
      </c>
      <c r="C4">
        <f>IF(ISBLANK('CONFIGURAÇÃO'!$E$2420),"",'CONFIGURAÇÃO'!$E$2420)</f>
        <v/>
      </c>
      <c r="D4">
        <f>IF(ISBLANK('CONFIGURAÇÃO'!$E$2421),"",'CONFIGURAÇÃO'!$E$2421)</f>
        <v/>
      </c>
      <c r="E4">
        <f>IF(ISBLANK('CONFIGURAÇÃO'!$E$2422),"",'CONFIGURAÇÃO'!$E$2422)</f>
        <v/>
      </c>
      <c r="F4">
        <f>IF(ISBLANK('CONFIGURAÇÃO'!$E$2424),"",'CONFIGURAÇÃO'!$E$2424)</f>
        <v/>
      </c>
      <c r="G4">
        <f>IF(ISBLANK('CONFIGURAÇÃO'!$F$2418),"",'CONFIGURAÇÃO'!$F$2418)</f>
        <v/>
      </c>
      <c r="H4">
        <f>IF(ISBLANK('CONFIGURAÇÃO'!$B$2428),"",'CONFIGURAÇÃO'!$B$2428)</f>
        <v/>
      </c>
      <c r="I4">
        <f>IF(ISBLANK('CONFIGURAÇÃO'!$B$2433),"",'CONFIGURAÇÃO'!$B$2433)</f>
        <v/>
      </c>
      <c r="J4">
        <f>IF(OR(C4="",C4="Nenhuma"),0,IFERROR(MATCH(SUBSTITUTE(SUBSTITUTE(SUBSTITUTE(C4,"~","~~"),"*","~*"),"?","~?"),'DADOS_ENTIDADES'!$M$2:$M$6,0),-1))</f>
        <v/>
      </c>
      <c r="K4">
        <f>IF(B4="",IF(OR(D4&lt;&gt;"",E4&lt;&gt;"",F4&lt;&gt;"",H4&lt;&gt;"",I4&lt;&gt;"",G4=TRUE,AND(C4&lt;&gt;"",C4&lt;&gt;"Nenhuma")),"Preencha NOME",""),TEXTJOIN(" · ",TRUE,IF(OR(NOT(ISTEXT(B4)),TRIM(B4)&lt;&gt;B4),"NOME precisa ser texto sem espaços nas pontas",""),IF(COUNTIF('DADOS_ENTIDADES'!$B$2:$B$11,SUBSTITUTE(SUBSTITUTE(SUBSTITUTE(B4,"~","~~"),"*","~*"),"?","~?"))+COUNTIF('DADOS_ENTIDADES'!$M$2:$M$6,SUBSTITUTE(SUBSTITUTE(SUBSTITUTE(B4,"~","~~"),"*","~*"),"?","~?"))&gt;1,"Nome repetido no livro ou custom",""),IF(J4&lt;0,"Escolha uma BASE DO LIVRO válida",""),IF(AND(D4&lt;&gt;"",NOT(OR(D4="Normal da entidade",D4="Corpo de criação"))),"VIDA inválida",""),IF(AND(E4&lt;&gt;"",NOT(OR(E4="Não usa",E4="Usa"))),"TALISMÃ inválida",""),IF(AND(F4&lt;&gt;"",NOT(OR(F4="Normal da entidade",F4="Maldição domada"))),"RESERVA DE PE inválida",""),IF(ISLOGICAL(G4),"","MESTRE VIU deve ser caixa de seleção")))</f>
        <v/>
      </c>
      <c r="M4">
        <f>IF(ISBLANK(DADOS_INVOC!$BN$4),"",DADOS_INVOC!$BN$4)</f>
        <v/>
      </c>
      <c r="N4" t="n">
        <v>0</v>
      </c>
      <c r="O4" t="n">
        <v>1</v>
      </c>
      <c r="P4" t="n">
        <v>0</v>
      </c>
      <c r="U4">
        <f>M3</f>
        <v/>
      </c>
      <c r="V4" t="n">
        <v>3</v>
      </c>
      <c r="W4">
        <f>AI3</f>
        <v/>
      </c>
      <c r="Y4" t="n">
        <v>3</v>
      </c>
      <c r="Z4">
        <f>IF(ISBLANK('CONFIGURAÇÃO'!$B$2560),"",'CONFIGURAÇÃO'!$B$2560)</f>
        <v/>
      </c>
      <c r="AA4">
        <f>IF(ISBLANK('CONFIGURAÇÃO'!$E$2562),"",'CONFIGURAÇÃO'!$E$2562)</f>
        <v/>
      </c>
      <c r="AB4">
        <f>IF(ISBLANK('CONFIGURAÇÃO'!$E$2563),"",'CONFIGURAÇÃO'!$E$2563)</f>
        <v/>
      </c>
      <c r="AC4">
        <f>IF(ISBLANK('CONFIGURAÇÃO'!$B$2570),"",'CONFIGURAÇÃO'!$B$2570)</f>
        <v/>
      </c>
      <c r="AD4">
        <f>IF(ISBLANK('CONFIGURAÇÃO'!$B$2575),"",'CONFIGURAÇÃO'!$B$2575)</f>
        <v/>
      </c>
      <c r="AE4">
        <f>IF(ISBLANK('CONFIGURAÇÃO'!$F$2560),"",'CONFIGURAÇÃO'!$F$2560)</f>
        <v/>
      </c>
      <c r="AF4">
        <f>IF(OR(AA4="",AA4="Nenhuma"),0,IFERROR(MATCH(SUBSTITUTE(SUBSTITUTE(SUBSTITUTE(AA4,"~","~~"),"*","~*"),"?","~?"),'DADOS_ENTIDADES'!$AI$2:$AI$15,0),-1))</f>
        <v/>
      </c>
      <c r="AG4">
        <f>IF(Z4="",IF(OR(AB4&lt;&gt;"",AC4&lt;&gt;"",AD4&lt;&gt;"",AE4=TRUE,AND(AA4&lt;&gt;"",AA4&lt;&gt;"Nenhuma")),"Preencha NOME",""),TEXTJOIN(" · ",TRUE,IF(OR(NOT(ISTEXT(Z4)),TRIM(Z4)&lt;&gt;Z4),"NOME precisa ser texto sem espaços nas pontas",""),IF(COUNTIF('DADOS_ENTIDADES'!$Z$2:$Z$21,SUBSTITUTE(SUBSTITUTE(SUBSTITUTE(Z4,"~","~~"),"*","~*"),"?","~?"))+COUNTIF('DADOS_ENTIDADES'!$AI$2:$AI$15,SUBSTITUTE(SUBSTITUTE(SUBSTITUTE(Z4,"~","~~"),"*","~*"),"?","~?"))&gt;1,"Nome repetido no livro ou custom",""),IF(AF4&lt;0,"Escolha uma BASE DO LIVRO válida",""),IF(AND(AB4="",AF4&lt;=0),"Escolha CATEGORIA DE EFEITO",""),IF(AND(AB4&lt;&gt;"",NOT(IFERROR(AND(ISNUMBER(AB4),NOT(ISLOGICAL(AB4)),AB4=INT(AB4),AB4&gt;=1,AB4&lt;=3),FALSE))),"CATEGORIA DE EFEITO deve ser 1, 2 ou 3",""),IF(ISLOGICAL(AE4),"","MESTRE VIU deve ser caixa de seleção")))</f>
        <v/>
      </c>
      <c r="AI4">
        <f>IF(ISBLANK(DADOS_INVOC!$BI$4),"",DADOS_INVOC!$BI$4)</f>
        <v/>
      </c>
      <c r="AJ4">
        <f>IF(ISBLANK(DADOS_INVOC!$BJ$4),"",DADOS_INVOC!$BJ$4)</f>
        <v/>
      </c>
      <c r="AK4">
        <f>IF(ISBLANK(DADOS_INVOC!$BK$4),"",DADOS_INVOC!$BK$4)</f>
        <v/>
      </c>
      <c r="AL4">
        <f>IF(ISBLANK(DADOS_INVOC!$BL$4),"",DADOS_INVOC!$BL$4)</f>
        <v/>
      </c>
      <c r="AM4">
        <f>IF('INVOCAÇÕES'!$I$439="",0,IFERROR(MATCH(SUBSTITUTE(SUBSTITUTE(SUBSTITUTE('INVOCAÇÕES'!$I$439,"~","~~"),"*","~*"),"?","~?"),'DADOS_ENTIDADES'!$M$2:$M$16,0),0))</f>
        <v/>
      </c>
      <c r="AN4">
        <f>IF(AM4=0,"",IFERROR(INDEX('DADOS_ENTIDADES'!$AQ$2:$AQ$16,AM4)&amp;"",""))</f>
        <v/>
      </c>
      <c r="AO4">
        <f>IF(AM4=0,"",IFERROR(INDEX('DADOS_ENTIDADES'!$AR$2:$AR$16,AM4)&amp;"",""))</f>
        <v/>
      </c>
      <c r="AP4">
        <f>TEXTJOIN(CHAR(10)&amp;CHAR(10),TRUE,IF(AN4="","","DEFINIÇÃO"&amp;CHAR(10)&amp;AN4),IF(AO4="","","EFEITO E REQUISITOS"&amp;CHAR(10)&amp;AO4))</f>
        <v/>
      </c>
      <c r="AQ4" t="inlineStr">
        <is>
          <t>Criatura guardada em um talismã.</t>
        </is>
      </c>
      <c r="AR4" t="inlineStr">
        <is>
          <t>Registra o talismã e sua carga.</t>
        </is>
      </c>
    </row>
    <row r="5">
      <c r="A5" t="n">
        <v>4</v>
      </c>
      <c r="B5">
        <f>IF(ISBLANK('CONFIGURAÇÃO'!$J$2418),"",'CONFIGURAÇÃO'!$J$2418)</f>
        <v/>
      </c>
      <c r="C5">
        <f>IF(ISBLANK('CONFIGURAÇÃO'!$M$2420),"",'CONFIGURAÇÃO'!$M$2420)</f>
        <v/>
      </c>
      <c r="D5">
        <f>IF(ISBLANK('CONFIGURAÇÃO'!$M$2421),"",'CONFIGURAÇÃO'!$M$2421)</f>
        <v/>
      </c>
      <c r="E5">
        <f>IF(ISBLANK('CONFIGURAÇÃO'!$M$2422),"",'CONFIGURAÇÃO'!$M$2422)</f>
        <v/>
      </c>
      <c r="F5">
        <f>IF(ISBLANK('CONFIGURAÇÃO'!$M$2424),"",'CONFIGURAÇÃO'!$M$2424)</f>
        <v/>
      </c>
      <c r="G5">
        <f>IF(ISBLANK('CONFIGURAÇÃO'!$N$2418),"",'CONFIGURAÇÃO'!$N$2418)</f>
        <v/>
      </c>
      <c r="H5">
        <f>IF(ISBLANK('CONFIGURAÇÃO'!$J$2428),"",'CONFIGURAÇÃO'!$J$2428)</f>
        <v/>
      </c>
      <c r="I5">
        <f>IF(ISBLANK('CONFIGURAÇÃO'!$J$2433),"",'CONFIGURAÇÃO'!$J$2433)</f>
        <v/>
      </c>
      <c r="J5">
        <f>IF(OR(C5="",C5="Nenhuma"),0,IFERROR(MATCH(SUBSTITUTE(SUBSTITUTE(SUBSTITUTE(C5,"~","~~"),"*","~*"),"?","~?"),'DADOS_ENTIDADES'!$M$2:$M$6,0),-1))</f>
        <v/>
      </c>
      <c r="K5">
        <f>IF(B5="",IF(OR(D5&lt;&gt;"",E5&lt;&gt;"",F5&lt;&gt;"",H5&lt;&gt;"",I5&lt;&gt;"",G5=TRUE,AND(C5&lt;&gt;"",C5&lt;&gt;"Nenhuma")),"Preencha NOME",""),TEXTJOIN(" · ",TRUE,IF(OR(NOT(ISTEXT(B5)),TRIM(B5)&lt;&gt;B5),"NOME precisa ser texto sem espaços nas pontas",""),IF(COUNTIF('DADOS_ENTIDADES'!$B$2:$B$11,SUBSTITUTE(SUBSTITUTE(SUBSTITUTE(B5,"~","~~"),"*","~*"),"?","~?"))+COUNTIF('DADOS_ENTIDADES'!$M$2:$M$6,SUBSTITUTE(SUBSTITUTE(SUBSTITUTE(B5,"~","~~"),"*","~*"),"?","~?"))&gt;1,"Nome repetido no livro ou custom",""),IF(J5&lt;0,"Escolha uma BASE DO LIVRO válida",""),IF(AND(D5&lt;&gt;"",NOT(OR(D5="Normal da entidade",D5="Corpo de criação"))),"VIDA inválida",""),IF(AND(E5&lt;&gt;"",NOT(OR(E5="Não usa",E5="Usa"))),"TALISMÃ inválida",""),IF(AND(F5&lt;&gt;"",NOT(OR(F5="Normal da entidade",F5="Maldição domada"))),"RESERVA DE PE inválida",""),IF(ISLOGICAL(G5),"","MESTRE VIU deve ser caixa de seleção")))</f>
        <v/>
      </c>
      <c r="M5">
        <f>IF(ISBLANK(DADOS_INVOC!$BN$5),"",DADOS_INVOC!$BN$5)</f>
        <v/>
      </c>
      <c r="N5" t="n">
        <v>1</v>
      </c>
      <c r="O5" t="n">
        <v>0</v>
      </c>
      <c r="P5" t="n">
        <v>0</v>
      </c>
      <c r="U5">
        <f>M4</f>
        <v/>
      </c>
      <c r="W5">
        <f>AI4</f>
        <v/>
      </c>
      <c r="Y5" t="n">
        <v>4</v>
      </c>
      <c r="Z5">
        <f>IF(ISBLANK('CONFIGURAÇÃO'!$J$2560),"",'CONFIGURAÇÃO'!$J$2560)</f>
        <v/>
      </c>
      <c r="AA5">
        <f>IF(ISBLANK('CONFIGURAÇÃO'!$M$2562),"",'CONFIGURAÇÃO'!$M$2562)</f>
        <v/>
      </c>
      <c r="AB5">
        <f>IF(ISBLANK('CONFIGURAÇÃO'!$M$2563),"",'CONFIGURAÇÃO'!$M$2563)</f>
        <v/>
      </c>
      <c r="AC5">
        <f>IF(ISBLANK('CONFIGURAÇÃO'!$J$2570),"",'CONFIGURAÇÃO'!$J$2570)</f>
        <v/>
      </c>
      <c r="AD5">
        <f>IF(ISBLANK('CONFIGURAÇÃO'!$J$2575),"",'CONFIGURAÇÃO'!$J$2575)</f>
        <v/>
      </c>
      <c r="AE5">
        <f>IF(ISBLANK('CONFIGURAÇÃO'!$N$2560),"",'CONFIGURAÇÃO'!$N$2560)</f>
        <v/>
      </c>
      <c r="AF5">
        <f>IF(OR(AA5="",AA5="Nenhuma"),0,IFERROR(MATCH(SUBSTITUTE(SUBSTITUTE(SUBSTITUTE(AA5,"~","~~"),"*","~*"),"?","~?"),'DADOS_ENTIDADES'!$AI$2:$AI$15,0),-1))</f>
        <v/>
      </c>
      <c r="AG5">
        <f>IF(Z5="",IF(OR(AB5&lt;&gt;"",AC5&lt;&gt;"",AD5&lt;&gt;"",AE5=TRUE,AND(AA5&lt;&gt;"",AA5&lt;&gt;"Nenhuma")),"Preencha NOME",""),TEXTJOIN(" · ",TRUE,IF(OR(NOT(ISTEXT(Z5)),TRIM(Z5)&lt;&gt;Z5),"NOME precisa ser texto sem espaços nas pontas",""),IF(COUNTIF('DADOS_ENTIDADES'!$Z$2:$Z$21,SUBSTITUTE(SUBSTITUTE(SUBSTITUTE(Z5,"~","~~"),"*","~*"),"?","~?"))+COUNTIF('DADOS_ENTIDADES'!$AI$2:$AI$15,SUBSTITUTE(SUBSTITUTE(SUBSTITUTE(Z5,"~","~~"),"*","~*"),"?","~?"))&gt;1,"Nome repetido no livro ou custom",""),IF(AF5&lt;0,"Escolha uma BASE DO LIVRO válida",""),IF(AND(AB5="",AF5&lt;=0),"Escolha CATEGORIA DE EFEITO",""),IF(AND(AB5&lt;&gt;"",NOT(IFERROR(AND(ISNUMBER(AB5),NOT(ISLOGICAL(AB5)),AB5=INT(AB5),AB5&gt;=1,AB5&lt;=3),FALSE))),"CATEGORIA DE EFEITO deve ser 1, 2 ou 3",""),IF(ISLOGICAL(AE5),"","MESTRE VIU deve ser caixa de seleção")))</f>
        <v/>
      </c>
      <c r="AI5">
        <f>IF(ISBLANK(DADOS_INVOC!$BI$5),"",DADOS_INVOC!$BI$5)</f>
        <v/>
      </c>
      <c r="AJ5">
        <f>IF(ISBLANK(DADOS_INVOC!$BJ$5),"",DADOS_INVOC!$BJ$5)</f>
        <v/>
      </c>
      <c r="AK5">
        <f>IF(ISBLANK(DADOS_INVOC!$BK$5),"",DADOS_INVOC!$BK$5)</f>
        <v/>
      </c>
      <c r="AL5">
        <f>IF(ISBLANK(DADOS_INVOC!$BL$5),"",DADOS_INVOC!$BL$5)</f>
        <v/>
      </c>
      <c r="AM5">
        <f>IF('INVOCAÇÕES'!$I$637="",0,IFERROR(MATCH(SUBSTITUTE(SUBSTITUTE(SUBSTITUTE('INVOCAÇÕES'!$I$637,"~","~~"),"*","~*"),"?","~?"),'DADOS_ENTIDADES'!$M$2:$M$16,0),0))</f>
        <v/>
      </c>
      <c r="AN5">
        <f>IF(AM5=0,"",IFERROR(INDEX('DADOS_ENTIDADES'!$AQ$2:$AQ$16,AM5)&amp;"",""))</f>
        <v/>
      </c>
      <c r="AO5">
        <f>IF(AM5=0,"",IFERROR(INDEX('DADOS_ENTIDADES'!$AR$2:$AR$16,AM5)&amp;"",""))</f>
        <v/>
      </c>
      <c r="AP5">
        <f>TEXTJOIN(CHAR(10)&amp;CHAR(10),TRUE,IF(AN5="","","DEFINIÇÃO"&amp;CHAR(10)&amp;AN5),IF(AO5="","","EFEITO E REQUISITOS"&amp;CHAR(10)&amp;AO5))</f>
        <v/>
      </c>
      <c r="AQ5" t="inlineStr">
        <is>
          <t>Corpo fabricado.</t>
        </is>
      </c>
      <c r="AR5" t="inlineStr">
        <is>
          <t>Ganha 4 + Constituição por nível depois do primeiro.</t>
        </is>
      </c>
    </row>
    <row r="6">
      <c r="A6" t="n">
        <v>5</v>
      </c>
      <c r="B6">
        <f>IF(ISBLANK('CONFIGURAÇÃO'!$B$2446),"",'CONFIGURAÇÃO'!$B$2446)</f>
        <v/>
      </c>
      <c r="C6">
        <f>IF(ISBLANK('CONFIGURAÇÃO'!$E$2448),"",'CONFIGURAÇÃO'!$E$2448)</f>
        <v/>
      </c>
      <c r="D6">
        <f>IF(ISBLANK('CONFIGURAÇÃO'!$E$2449),"",'CONFIGURAÇÃO'!$E$2449)</f>
        <v/>
      </c>
      <c r="E6">
        <f>IF(ISBLANK('CONFIGURAÇÃO'!$E$2450),"",'CONFIGURAÇÃO'!$E$2450)</f>
        <v/>
      </c>
      <c r="F6">
        <f>IF(ISBLANK('CONFIGURAÇÃO'!$E$2452),"",'CONFIGURAÇÃO'!$E$2452)</f>
        <v/>
      </c>
      <c r="G6">
        <f>IF(ISBLANK('CONFIGURAÇÃO'!$F$2446),"",'CONFIGURAÇÃO'!$F$2446)</f>
        <v/>
      </c>
      <c r="H6">
        <f>IF(ISBLANK('CONFIGURAÇÃO'!$B$2456),"",'CONFIGURAÇÃO'!$B$2456)</f>
        <v/>
      </c>
      <c r="I6">
        <f>IF(ISBLANK('CONFIGURAÇÃO'!$B$2461),"",'CONFIGURAÇÃO'!$B$2461)</f>
        <v/>
      </c>
      <c r="J6">
        <f>IF(OR(C6="",C6="Nenhuma"),0,IFERROR(MATCH(SUBSTITUTE(SUBSTITUTE(SUBSTITUTE(C6,"~","~~"),"*","~*"),"?","~?"),'DADOS_ENTIDADES'!$M$2:$M$6,0),-1))</f>
        <v/>
      </c>
      <c r="K6">
        <f>IF(B6="",IF(OR(D6&lt;&gt;"",E6&lt;&gt;"",F6&lt;&gt;"",H6&lt;&gt;"",I6&lt;&gt;"",G6=TRUE,AND(C6&lt;&gt;"",C6&lt;&gt;"Nenhuma")),"Preencha NOME",""),TEXTJOIN(" · ",TRUE,IF(OR(NOT(ISTEXT(B6)),TRIM(B6)&lt;&gt;B6),"NOME precisa ser texto sem espaços nas pontas",""),IF(COUNTIF('DADOS_ENTIDADES'!$B$2:$B$11,SUBSTITUTE(SUBSTITUTE(SUBSTITUTE(B6,"~","~~"),"*","~*"),"?","~?"))+COUNTIF('DADOS_ENTIDADES'!$M$2:$M$6,SUBSTITUTE(SUBSTITUTE(SUBSTITUTE(B6,"~","~~"),"*","~*"),"?","~?"))&gt;1,"Nome repetido no livro ou custom",""),IF(J6&lt;0,"Escolha uma BASE DO LIVRO válida",""),IF(AND(D6&lt;&gt;"",NOT(OR(D6="Normal da entidade",D6="Corpo de criação"))),"VIDA inválida",""),IF(AND(E6&lt;&gt;"",NOT(OR(E6="Não usa",E6="Usa"))),"TALISMÃ inválida",""),IF(AND(F6&lt;&gt;"",NOT(OR(F6="Normal da entidade",F6="Maldição domada"))),"RESERVA DE PE inválida",""),IF(ISLOGICAL(G6),"","MESTRE VIU deve ser caixa de seleção")))</f>
        <v/>
      </c>
      <c r="M6">
        <f>IF(ISBLANK(DADOS_INVOC!$BN$6),"",DADOS_INVOC!$BN$6)</f>
        <v/>
      </c>
      <c r="N6" t="n">
        <v>0</v>
      </c>
      <c r="O6" t="n">
        <v>0</v>
      </c>
      <c r="P6" t="n">
        <v>1</v>
      </c>
      <c r="U6">
        <f>M5</f>
        <v/>
      </c>
      <c r="W6">
        <f>AI5</f>
        <v/>
      </c>
      <c r="Y6" t="n">
        <v>5</v>
      </c>
      <c r="Z6">
        <f>IF(ISBLANK('CONFIGURAÇÃO'!$B$2588),"",'CONFIGURAÇÃO'!$B$2588)</f>
        <v/>
      </c>
      <c r="AA6">
        <f>IF(ISBLANK('CONFIGURAÇÃO'!$E$2590),"",'CONFIGURAÇÃO'!$E$2590)</f>
        <v/>
      </c>
      <c r="AB6">
        <f>IF(ISBLANK('CONFIGURAÇÃO'!$E$2591),"",'CONFIGURAÇÃO'!$E$2591)</f>
        <v/>
      </c>
      <c r="AC6">
        <f>IF(ISBLANK('CONFIGURAÇÃO'!$B$2598),"",'CONFIGURAÇÃO'!$B$2598)</f>
        <v/>
      </c>
      <c r="AD6">
        <f>IF(ISBLANK('CONFIGURAÇÃO'!$B$2603),"",'CONFIGURAÇÃO'!$B$2603)</f>
        <v/>
      </c>
      <c r="AE6">
        <f>IF(ISBLANK('CONFIGURAÇÃO'!$F$2588),"",'CONFIGURAÇÃO'!$F$2588)</f>
        <v/>
      </c>
      <c r="AF6">
        <f>IF(OR(AA6="",AA6="Nenhuma"),0,IFERROR(MATCH(SUBSTITUTE(SUBSTITUTE(SUBSTITUTE(AA6,"~","~~"),"*","~*"),"?","~?"),'DADOS_ENTIDADES'!$AI$2:$AI$15,0),-1))</f>
        <v/>
      </c>
      <c r="AG6">
        <f>IF(Z6="",IF(OR(AB6&lt;&gt;"",AC6&lt;&gt;"",AD6&lt;&gt;"",AE6=TRUE,AND(AA6&lt;&gt;"",AA6&lt;&gt;"Nenhuma")),"Preencha NOME",""),TEXTJOIN(" · ",TRUE,IF(OR(NOT(ISTEXT(Z6)),TRIM(Z6)&lt;&gt;Z6),"NOME precisa ser texto sem espaços nas pontas",""),IF(COUNTIF('DADOS_ENTIDADES'!$Z$2:$Z$21,SUBSTITUTE(SUBSTITUTE(SUBSTITUTE(Z6,"~","~~"),"*","~*"),"?","~?"))+COUNTIF('DADOS_ENTIDADES'!$AI$2:$AI$15,SUBSTITUTE(SUBSTITUTE(SUBSTITUTE(Z6,"~","~~"),"*","~*"),"?","~?"))&gt;1,"Nome repetido no livro ou custom",""),IF(AF6&lt;0,"Escolha uma BASE DO LIVRO válida",""),IF(AND(AB6="",AF6&lt;=0),"Escolha CATEGORIA DE EFEITO",""),IF(AND(AB6&lt;&gt;"",NOT(IFERROR(AND(ISNUMBER(AB6),NOT(ISLOGICAL(AB6)),AB6=INT(AB6),AB6&gt;=1,AB6&lt;=3),FALSE))),"CATEGORIA DE EFEITO deve ser 1, 2 ou 3",""),IF(ISLOGICAL(AE6),"","MESTRE VIU deve ser caixa de seleção")))</f>
        <v/>
      </c>
      <c r="AI6">
        <f>IF(ISBLANK(DADOS_INVOC!$BI$6),"",DADOS_INVOC!$BI$6)</f>
        <v/>
      </c>
      <c r="AJ6">
        <f>IF(ISBLANK(DADOS_INVOC!$BJ$6),"",DADOS_INVOC!$BJ$6)</f>
        <v/>
      </c>
      <c r="AK6">
        <f>IF(ISBLANK(DADOS_INVOC!$BK$6),"",DADOS_INVOC!$BK$6)</f>
        <v/>
      </c>
      <c r="AL6">
        <f>IF(ISBLANK(DADOS_INVOC!$BL$6),"",DADOS_INVOC!$BL$6)</f>
        <v/>
      </c>
      <c r="AM6">
        <f>IF('INVOCAÇÕES'!$I$835="",0,IFERROR(MATCH(SUBSTITUTE(SUBSTITUTE(SUBSTITUTE('INVOCAÇÕES'!$I$835,"~","~~"),"*","~*"),"?","~?"),'DADOS_ENTIDADES'!$M$2:$M$16,0),0))</f>
        <v/>
      </c>
      <c r="AN6">
        <f>IF(AM6=0,"",IFERROR(INDEX('DADOS_ENTIDADES'!$AQ$2:$AQ$16,AM6)&amp;"",""))</f>
        <v/>
      </c>
      <c r="AO6">
        <f>IF(AM6=0,"",IFERROR(INDEX('DADOS_ENTIDADES'!$AR$2:$AR$16,AM6)&amp;"",""))</f>
        <v/>
      </c>
      <c r="AP6">
        <f>TEXTJOIN(CHAR(10)&amp;CHAR(10),TRUE,IF(AN6="","","DEFINIÇÃO"&amp;CHAR(10)&amp;AN6),IF(AO6="","","EFEITO E REQUISITOS"&amp;CHAR(10)&amp;AO6))</f>
        <v/>
      </c>
      <c r="AQ6" t="inlineStr">
        <is>
          <t>Maldição submetida.</t>
        </is>
      </c>
      <c r="AR6" t="inlineStr">
        <is>
          <t>Mantém seu nível e suas capacidades de origem.</t>
        </is>
      </c>
    </row>
    <row r="7">
      <c r="A7" t="n">
        <v>6</v>
      </c>
      <c r="B7">
        <f>IF(ISBLANK('CONFIGURAÇÃO'!$J$2446),"",'CONFIGURAÇÃO'!$J$2446)</f>
        <v/>
      </c>
      <c r="C7">
        <f>IF(ISBLANK('CONFIGURAÇÃO'!$M$2448),"",'CONFIGURAÇÃO'!$M$2448)</f>
        <v/>
      </c>
      <c r="D7">
        <f>IF(ISBLANK('CONFIGURAÇÃO'!$M$2449),"",'CONFIGURAÇÃO'!$M$2449)</f>
        <v/>
      </c>
      <c r="E7">
        <f>IF(ISBLANK('CONFIGURAÇÃO'!$M$2450),"",'CONFIGURAÇÃO'!$M$2450)</f>
        <v/>
      </c>
      <c r="F7">
        <f>IF(ISBLANK('CONFIGURAÇÃO'!$M$2452),"",'CONFIGURAÇÃO'!$M$2452)</f>
        <v/>
      </c>
      <c r="G7">
        <f>IF(ISBLANK('CONFIGURAÇÃO'!$N$2446),"",'CONFIGURAÇÃO'!$N$2446)</f>
        <v/>
      </c>
      <c r="H7">
        <f>IF(ISBLANK('CONFIGURAÇÃO'!$J$2456),"",'CONFIGURAÇÃO'!$J$2456)</f>
        <v/>
      </c>
      <c r="I7">
        <f>IF(ISBLANK('CONFIGURAÇÃO'!$J$2461),"",'CONFIGURAÇÃO'!$J$2461)</f>
        <v/>
      </c>
      <c r="J7">
        <f>IF(OR(C7="",C7="Nenhuma"),0,IFERROR(MATCH(SUBSTITUTE(SUBSTITUTE(SUBSTITUTE(C7,"~","~~"),"*","~*"),"?","~?"),'DADOS_ENTIDADES'!$M$2:$M$6,0),-1))</f>
        <v/>
      </c>
      <c r="K7">
        <f>IF(B7="",IF(OR(D7&lt;&gt;"",E7&lt;&gt;"",F7&lt;&gt;"",H7&lt;&gt;"",I7&lt;&gt;"",G7=TRUE,AND(C7&lt;&gt;"",C7&lt;&gt;"Nenhuma")),"Preencha NOME",""),TEXTJOIN(" · ",TRUE,IF(OR(NOT(ISTEXT(B7)),TRIM(B7)&lt;&gt;B7),"NOME precisa ser texto sem espaços nas pontas",""),IF(COUNTIF('DADOS_ENTIDADES'!$B$2:$B$11,SUBSTITUTE(SUBSTITUTE(SUBSTITUTE(B7,"~","~~"),"*","~*"),"?","~?"))+COUNTIF('DADOS_ENTIDADES'!$M$2:$M$6,SUBSTITUTE(SUBSTITUTE(SUBSTITUTE(B7,"~","~~"),"*","~*"),"?","~?"))&gt;1,"Nome repetido no livro ou custom",""),IF(J7&lt;0,"Escolha uma BASE DO LIVRO válida",""),IF(AND(D7&lt;&gt;"",NOT(OR(D7="Normal da entidade",D7="Corpo de criação"))),"VIDA inválida",""),IF(AND(E7&lt;&gt;"",NOT(OR(E7="Não usa",E7="Usa"))),"TALISMÃ inválida",""),IF(AND(F7&lt;&gt;"",NOT(OR(F7="Normal da entidade",F7="Maldição domada"))),"RESERVA DE PE inválida",""),IF(ISLOGICAL(G7),"","MESTRE VIU deve ser caixa de seleção")))</f>
        <v/>
      </c>
      <c r="M7">
        <f>IF(AND(B2&lt;&gt;"",K2=""),B2,"")</f>
        <v/>
      </c>
      <c r="N7">
        <f>IF(M7="",0,IF(D2="",IF(J2&gt;0,INDEX('DADOS_ENTIDADES'!$N$2:$N$6,J2),0),IF(D2="Corpo de criação",1,0)))</f>
        <v/>
      </c>
      <c r="O7">
        <f>IF(M7="",0,IF(E2="",IF(J2&gt;0,INDEX('DADOS_ENTIDADES'!$O$2:$O$6,J2),0),IF(E2="Usa",1,0)))</f>
        <v/>
      </c>
      <c r="P7">
        <f>IF(M7="",0,IF(F2="",IF(J2&gt;0,INDEX('DADOS_ENTIDADES'!$P$2:$P$6,J2),0),IF(F2="Maldição domada",1,0)))</f>
        <v/>
      </c>
      <c r="U7">
        <f>M6</f>
        <v/>
      </c>
      <c r="W7">
        <f>AI6</f>
        <v/>
      </c>
      <c r="Y7" t="n">
        <v>6</v>
      </c>
      <c r="Z7">
        <f>IF(ISBLANK('CONFIGURAÇÃO'!$J$2588),"",'CONFIGURAÇÃO'!$J$2588)</f>
        <v/>
      </c>
      <c r="AA7">
        <f>IF(ISBLANK('CONFIGURAÇÃO'!$M$2590),"",'CONFIGURAÇÃO'!$M$2590)</f>
        <v/>
      </c>
      <c r="AB7">
        <f>IF(ISBLANK('CONFIGURAÇÃO'!$M$2591),"",'CONFIGURAÇÃO'!$M$2591)</f>
        <v/>
      </c>
      <c r="AC7">
        <f>IF(ISBLANK('CONFIGURAÇÃO'!$J$2598),"",'CONFIGURAÇÃO'!$J$2598)</f>
        <v/>
      </c>
      <c r="AD7">
        <f>IF(ISBLANK('CONFIGURAÇÃO'!$J$2603),"",'CONFIGURAÇÃO'!$J$2603)</f>
        <v/>
      </c>
      <c r="AE7">
        <f>IF(ISBLANK('CONFIGURAÇÃO'!$N$2588),"",'CONFIGURAÇÃO'!$N$2588)</f>
        <v/>
      </c>
      <c r="AF7">
        <f>IF(OR(AA7="",AA7="Nenhuma"),0,IFERROR(MATCH(SUBSTITUTE(SUBSTITUTE(SUBSTITUTE(AA7,"~","~~"),"*","~*"),"?","~?"),'DADOS_ENTIDADES'!$AI$2:$AI$15,0),-1))</f>
        <v/>
      </c>
      <c r="AG7">
        <f>IF(Z7="",IF(OR(AB7&lt;&gt;"",AC7&lt;&gt;"",AD7&lt;&gt;"",AE7=TRUE,AND(AA7&lt;&gt;"",AA7&lt;&gt;"Nenhuma")),"Preencha NOME",""),TEXTJOIN(" · ",TRUE,IF(OR(NOT(ISTEXT(Z7)),TRIM(Z7)&lt;&gt;Z7),"NOME precisa ser texto sem espaços nas pontas",""),IF(COUNTIF('DADOS_ENTIDADES'!$Z$2:$Z$21,SUBSTITUTE(SUBSTITUTE(SUBSTITUTE(Z7,"~","~~"),"*","~*"),"?","~?"))+COUNTIF('DADOS_ENTIDADES'!$AI$2:$AI$15,SUBSTITUTE(SUBSTITUTE(SUBSTITUTE(Z7,"~","~~"),"*","~*"),"?","~?"))&gt;1,"Nome repetido no livro ou custom",""),IF(AF7&lt;0,"Escolha uma BASE DO LIVRO válida",""),IF(AND(AB7="",AF7&lt;=0),"Escolha CATEGORIA DE EFEITO",""),IF(AND(AB7&lt;&gt;"",NOT(IFERROR(AND(ISNUMBER(AB7),NOT(ISLOGICAL(AB7)),AB7=INT(AB7),AB7&gt;=1,AB7&lt;=3),FALSE))),"CATEGORIA DE EFEITO deve ser 1, 2 ou 3",""),IF(ISLOGICAL(AE7),"","MESTRE VIU deve ser caixa de seleção")))</f>
        <v/>
      </c>
      <c r="AI7">
        <f>IF(ISBLANK(DADOS_INVOC!$BI$7),"",DADOS_INVOC!$BI$7)</f>
        <v/>
      </c>
      <c r="AJ7">
        <f>IF(ISBLANK(DADOS_INVOC!$BJ$7),"",DADOS_INVOC!$BJ$7)</f>
        <v/>
      </c>
      <c r="AK7">
        <f>IF(ISBLANK(DADOS_INVOC!$BK$7),"",DADOS_INVOC!$BK$7)</f>
        <v/>
      </c>
      <c r="AL7">
        <f>IF(ISBLANK(DADOS_INVOC!$BL$7),"",DADOS_INVOC!$BL$7)</f>
        <v/>
      </c>
      <c r="AM7">
        <f>IF('INVOCAÇÕES'!$I$1033="",0,IFERROR(MATCH(SUBSTITUTE(SUBSTITUTE(SUBSTITUTE('INVOCAÇÕES'!$I$1033,"~","~~"),"*","~*"),"?","~?"),'DADOS_ENTIDADES'!$M$2:$M$16,0),0))</f>
        <v/>
      </c>
      <c r="AN7">
        <f>IF(AM7=0,"",IFERROR(INDEX('DADOS_ENTIDADES'!$AQ$2:$AQ$16,AM7)&amp;"",""))</f>
        <v/>
      </c>
      <c r="AO7">
        <f>IF(AM7=0,"",IFERROR(INDEX('DADOS_ENTIDADES'!$AR$2:$AR$16,AM7)&amp;"",""))</f>
        <v/>
      </c>
      <c r="AP7">
        <f>TEXTJOIN(CHAR(10)&amp;CHAR(10),TRUE,IF(AN7="","","DEFINIÇÃO"&amp;CHAR(10)&amp;AN7),IF(AO7="","","EFEITO E REQUISITOS"&amp;CHAR(10)&amp;AO7))</f>
        <v/>
      </c>
      <c r="AQ7">
        <f>IF(M7="","",IF(H2="",IF(J2&gt;0,INDEX('DADOS_ENTIDADES'!$AQ$2:$AQ$6,J2),""),H2))</f>
        <v/>
      </c>
      <c r="AR7">
        <f>IF(M7="","",IF(I2="",IF(J2&gt;0,INDEX('DADOS_ENTIDADES'!$AR$2:$AR$6,J2),""),I2))</f>
        <v/>
      </c>
    </row>
    <row r="8">
      <c r="A8" t="n">
        <v>7</v>
      </c>
      <c r="B8">
        <f>IF(ISBLANK('CONFIGURAÇÃO'!$B$2474),"",'CONFIGURAÇÃO'!$B$2474)</f>
        <v/>
      </c>
      <c r="C8">
        <f>IF(ISBLANK('CONFIGURAÇÃO'!$E$2476),"",'CONFIGURAÇÃO'!$E$2476)</f>
        <v/>
      </c>
      <c r="D8">
        <f>IF(ISBLANK('CONFIGURAÇÃO'!$E$2477),"",'CONFIGURAÇÃO'!$E$2477)</f>
        <v/>
      </c>
      <c r="E8">
        <f>IF(ISBLANK('CONFIGURAÇÃO'!$E$2478),"",'CONFIGURAÇÃO'!$E$2478)</f>
        <v/>
      </c>
      <c r="F8">
        <f>IF(ISBLANK('CONFIGURAÇÃO'!$E$2480),"",'CONFIGURAÇÃO'!$E$2480)</f>
        <v/>
      </c>
      <c r="G8">
        <f>IF(ISBLANK('CONFIGURAÇÃO'!$F$2474),"",'CONFIGURAÇÃO'!$F$2474)</f>
        <v/>
      </c>
      <c r="H8">
        <f>IF(ISBLANK('CONFIGURAÇÃO'!$B$2484),"",'CONFIGURAÇÃO'!$B$2484)</f>
        <v/>
      </c>
      <c r="I8">
        <f>IF(ISBLANK('CONFIGURAÇÃO'!$B$2489),"",'CONFIGURAÇÃO'!$B$2489)</f>
        <v/>
      </c>
      <c r="J8">
        <f>IF(OR(C8="",C8="Nenhuma"),0,IFERROR(MATCH(SUBSTITUTE(SUBSTITUTE(SUBSTITUTE(C8,"~","~~"),"*","~*"),"?","~?"),'DADOS_ENTIDADES'!$M$2:$M$6,0),-1))</f>
        <v/>
      </c>
      <c r="K8">
        <f>IF(B8="",IF(OR(D8&lt;&gt;"",E8&lt;&gt;"",F8&lt;&gt;"",H8&lt;&gt;"",I8&lt;&gt;"",G8=TRUE,AND(C8&lt;&gt;"",C8&lt;&gt;"Nenhuma")),"Preencha NOME",""),TEXTJOIN(" · ",TRUE,IF(OR(NOT(ISTEXT(B8)),TRIM(B8)&lt;&gt;B8),"NOME precisa ser texto sem espaços nas pontas",""),IF(COUNTIF('DADOS_ENTIDADES'!$B$2:$B$11,SUBSTITUTE(SUBSTITUTE(SUBSTITUTE(B8,"~","~~"),"*","~*"),"?","~?"))+COUNTIF('DADOS_ENTIDADES'!$M$2:$M$6,SUBSTITUTE(SUBSTITUTE(SUBSTITUTE(B8,"~","~~"),"*","~*"),"?","~?"))&gt;1,"Nome repetido no livro ou custom",""),IF(J8&lt;0,"Escolha uma BASE DO LIVRO válida",""),IF(AND(D8&lt;&gt;"",NOT(OR(D8="Normal da entidade",D8="Corpo de criação"))),"VIDA inválida",""),IF(AND(E8&lt;&gt;"",NOT(OR(E8="Não usa",E8="Usa"))),"TALISMÃ inválida",""),IF(AND(F8&lt;&gt;"",NOT(OR(F8="Normal da entidade",F8="Maldição domada"))),"RESERVA DE PE inválida",""),IF(ISLOGICAL(G8),"","MESTRE VIU deve ser caixa de seleção")))</f>
        <v/>
      </c>
      <c r="M8">
        <f>IF(AND(B3&lt;&gt;"",K3=""),B3,"")</f>
        <v/>
      </c>
      <c r="N8">
        <f>IF(M8="",0,IF(D3="",IF(J3&gt;0,INDEX('DADOS_ENTIDADES'!$N$2:$N$6,J3),0),IF(D3="Corpo de criação",1,0)))</f>
        <v/>
      </c>
      <c r="O8">
        <f>IF(M8="",0,IF(E3="",IF(J3&gt;0,INDEX('DADOS_ENTIDADES'!$O$2:$O$6,J3),0),IF(E3="Usa",1,0)))</f>
        <v/>
      </c>
      <c r="P8">
        <f>IF(M8="",0,IF(F3="",IF(J3&gt;0,INDEX('DADOS_ENTIDADES'!$P$2:$P$6,J3),0),IF(F3="Maldição domada",1,0)))</f>
        <v/>
      </c>
      <c r="W8">
        <f>AI7</f>
        <v/>
      </c>
      <c r="Y8" t="n">
        <v>7</v>
      </c>
      <c r="Z8">
        <f>IF(ISBLANK('CONFIGURAÇÃO'!$B$2616),"",'CONFIGURAÇÃO'!$B$2616)</f>
        <v/>
      </c>
      <c r="AA8">
        <f>IF(ISBLANK('CONFIGURAÇÃO'!$E$2618),"",'CONFIGURAÇÃO'!$E$2618)</f>
        <v/>
      </c>
      <c r="AB8">
        <f>IF(ISBLANK('CONFIGURAÇÃO'!$E$2619),"",'CONFIGURAÇÃO'!$E$2619)</f>
        <v/>
      </c>
      <c r="AC8">
        <f>IF(ISBLANK('CONFIGURAÇÃO'!$B$2626),"",'CONFIGURAÇÃO'!$B$2626)</f>
        <v/>
      </c>
      <c r="AD8">
        <f>IF(ISBLANK('CONFIGURAÇÃO'!$B$2631),"",'CONFIGURAÇÃO'!$B$2631)</f>
        <v/>
      </c>
      <c r="AE8">
        <f>IF(ISBLANK('CONFIGURAÇÃO'!$F$2616),"",'CONFIGURAÇÃO'!$F$2616)</f>
        <v/>
      </c>
      <c r="AF8">
        <f>IF(OR(AA8="",AA8="Nenhuma"),0,IFERROR(MATCH(SUBSTITUTE(SUBSTITUTE(SUBSTITUTE(AA8,"~","~~"),"*","~*"),"?","~?"),'DADOS_ENTIDADES'!$AI$2:$AI$15,0),-1))</f>
        <v/>
      </c>
      <c r="AG8">
        <f>IF(Z8="",IF(OR(AB8&lt;&gt;"",AC8&lt;&gt;"",AD8&lt;&gt;"",AE8=TRUE,AND(AA8&lt;&gt;"",AA8&lt;&gt;"Nenhuma")),"Preencha NOME",""),TEXTJOIN(" · ",TRUE,IF(OR(NOT(ISTEXT(Z8)),TRIM(Z8)&lt;&gt;Z8),"NOME precisa ser texto sem espaços nas pontas",""),IF(COUNTIF('DADOS_ENTIDADES'!$Z$2:$Z$21,SUBSTITUTE(SUBSTITUTE(SUBSTITUTE(Z8,"~","~~"),"*","~*"),"?","~?"))+COUNTIF('DADOS_ENTIDADES'!$AI$2:$AI$15,SUBSTITUTE(SUBSTITUTE(SUBSTITUTE(Z8,"~","~~"),"*","~*"),"?","~?"))&gt;1,"Nome repetido no livro ou custom",""),IF(AF8&lt;0,"Escolha uma BASE DO LIVRO válida",""),IF(AND(AB8="",AF8&lt;=0),"Escolha CATEGORIA DE EFEITO",""),IF(AND(AB8&lt;&gt;"",NOT(IFERROR(AND(ISNUMBER(AB8),NOT(ISLOGICAL(AB8)),AB8=INT(AB8),AB8&gt;=1,AB8&lt;=3),FALSE))),"CATEGORIA DE EFEITO deve ser 1, 2 ou 3",""),IF(ISLOGICAL(AE8),"","MESTRE VIU deve ser caixa de seleção")))</f>
        <v/>
      </c>
      <c r="AI8">
        <f>IF(ISBLANK(DADOS_INVOC!$BI$8),"",DADOS_INVOC!$BI$8)</f>
        <v/>
      </c>
      <c r="AJ8">
        <f>IF(ISBLANK(DADOS_INVOC!$BJ$8),"",DADOS_INVOC!$BJ$8)</f>
        <v/>
      </c>
      <c r="AK8">
        <f>IF(ISBLANK(DADOS_INVOC!$BK$8),"",DADOS_INVOC!$BK$8)</f>
        <v/>
      </c>
      <c r="AL8">
        <f>IF(ISBLANK(DADOS_INVOC!$BL$8),"",DADOS_INVOC!$BL$8)</f>
        <v/>
      </c>
      <c r="AM8">
        <f>IF('INVOCAÇÕES'!$AB$43="",0,IFERROR(MATCH(SUBSTITUTE(SUBSTITUTE(SUBSTITUTE('INVOCAÇÕES'!$AB$43,"~","~~"),"*","~*"),"?","~?"),'DADOS_ENTIDADES'!$M$2:$M$16,0),0))</f>
        <v/>
      </c>
      <c r="AN8">
        <f>IF(AM8=0,"",IFERROR(INDEX('DADOS_ENTIDADES'!$AQ$2:$AQ$16,AM8)&amp;"",""))</f>
        <v/>
      </c>
      <c r="AO8">
        <f>IF(AM8=0,"",IFERROR(INDEX('DADOS_ENTIDADES'!$AR$2:$AR$16,AM8)&amp;"",""))</f>
        <v/>
      </c>
      <c r="AP8">
        <f>TEXTJOIN(CHAR(10)&amp;CHAR(10),TRUE,IF(AN8="","","DEFINIÇÃO"&amp;CHAR(10)&amp;AN8),IF(AO8="","","EFEITO E REQUISITOS"&amp;CHAR(10)&amp;AO8))</f>
        <v/>
      </c>
      <c r="AQ8">
        <f>IF(M8="","",IF(H3="",IF(J3&gt;0,INDEX('DADOS_ENTIDADES'!$AQ$2:$AQ$6,J3),""),H3))</f>
        <v/>
      </c>
      <c r="AR8">
        <f>IF(M8="","",IF(I3="",IF(J3&gt;0,INDEX('DADOS_ENTIDADES'!$AR$2:$AR$6,J3),""),I3))</f>
        <v/>
      </c>
    </row>
    <row r="9">
      <c r="A9" t="n">
        <v>8</v>
      </c>
      <c r="B9">
        <f>IF(ISBLANK('CONFIGURAÇÃO'!$J$2474),"",'CONFIGURAÇÃO'!$J$2474)</f>
        <v/>
      </c>
      <c r="C9">
        <f>IF(ISBLANK('CONFIGURAÇÃO'!$M$2476),"",'CONFIGURAÇÃO'!$M$2476)</f>
        <v/>
      </c>
      <c r="D9">
        <f>IF(ISBLANK('CONFIGURAÇÃO'!$M$2477),"",'CONFIGURAÇÃO'!$M$2477)</f>
        <v/>
      </c>
      <c r="E9">
        <f>IF(ISBLANK('CONFIGURAÇÃO'!$M$2478),"",'CONFIGURAÇÃO'!$M$2478)</f>
        <v/>
      </c>
      <c r="F9">
        <f>IF(ISBLANK('CONFIGURAÇÃO'!$M$2480),"",'CONFIGURAÇÃO'!$M$2480)</f>
        <v/>
      </c>
      <c r="G9">
        <f>IF(ISBLANK('CONFIGURAÇÃO'!$N$2474),"",'CONFIGURAÇÃO'!$N$2474)</f>
        <v/>
      </c>
      <c r="H9">
        <f>IF(ISBLANK('CONFIGURAÇÃO'!$J$2484),"",'CONFIGURAÇÃO'!$J$2484)</f>
        <v/>
      </c>
      <c r="I9">
        <f>IF(ISBLANK('CONFIGURAÇÃO'!$J$2489),"",'CONFIGURAÇÃO'!$J$2489)</f>
        <v/>
      </c>
      <c r="J9">
        <f>IF(OR(C9="",C9="Nenhuma"),0,IFERROR(MATCH(SUBSTITUTE(SUBSTITUTE(SUBSTITUTE(C9,"~","~~"),"*","~*"),"?","~?"),'DADOS_ENTIDADES'!$M$2:$M$6,0),-1))</f>
        <v/>
      </c>
      <c r="K9">
        <f>IF(B9="",IF(OR(D9&lt;&gt;"",E9&lt;&gt;"",F9&lt;&gt;"",H9&lt;&gt;"",I9&lt;&gt;"",G9=TRUE,AND(C9&lt;&gt;"",C9&lt;&gt;"Nenhuma")),"Preencha NOME",""),TEXTJOIN(" · ",TRUE,IF(OR(NOT(ISTEXT(B9)),TRIM(B9)&lt;&gt;B9),"NOME precisa ser texto sem espaços nas pontas",""),IF(COUNTIF('DADOS_ENTIDADES'!$B$2:$B$11,SUBSTITUTE(SUBSTITUTE(SUBSTITUTE(B9,"~","~~"),"*","~*"),"?","~?"))+COUNTIF('DADOS_ENTIDADES'!$M$2:$M$6,SUBSTITUTE(SUBSTITUTE(SUBSTITUTE(B9,"~","~~"),"*","~*"),"?","~?"))&gt;1,"Nome repetido no livro ou custom",""),IF(J9&lt;0,"Escolha uma BASE DO LIVRO válida",""),IF(AND(D9&lt;&gt;"",NOT(OR(D9="Normal da entidade",D9="Corpo de criação"))),"VIDA inválida",""),IF(AND(E9&lt;&gt;"",NOT(OR(E9="Não usa",E9="Usa"))),"TALISMÃ inválida",""),IF(AND(F9&lt;&gt;"",NOT(OR(F9="Normal da entidade",F9="Maldição domada"))),"RESERVA DE PE inválida",""),IF(ISLOGICAL(G9),"","MESTRE VIU deve ser caixa de seleção")))</f>
        <v/>
      </c>
      <c r="M9">
        <f>IF(AND(B4&lt;&gt;"",K4=""),B4,"")</f>
        <v/>
      </c>
      <c r="N9">
        <f>IF(M9="",0,IF(D4="",IF(J4&gt;0,INDEX('DADOS_ENTIDADES'!$N$2:$N$6,J4),0),IF(D4="Corpo de criação",1,0)))</f>
        <v/>
      </c>
      <c r="O9">
        <f>IF(M9="",0,IF(E4="",IF(J4&gt;0,INDEX('DADOS_ENTIDADES'!$O$2:$O$6,J4),0),IF(E4="Usa",1,0)))</f>
        <v/>
      </c>
      <c r="P9">
        <f>IF(M9="",0,IF(F4="",IF(J4&gt;0,INDEX('DADOS_ENTIDADES'!$P$2:$P$6,J4),0),IF(F4="Maldição domada",1,0)))</f>
        <v/>
      </c>
      <c r="W9">
        <f>AI8</f>
        <v/>
      </c>
      <c r="Y9" t="n">
        <v>8</v>
      </c>
      <c r="Z9">
        <f>IF(ISBLANK('CONFIGURAÇÃO'!$J$2616),"",'CONFIGURAÇÃO'!$J$2616)</f>
        <v/>
      </c>
      <c r="AA9">
        <f>IF(ISBLANK('CONFIGURAÇÃO'!$M$2618),"",'CONFIGURAÇÃO'!$M$2618)</f>
        <v/>
      </c>
      <c r="AB9">
        <f>IF(ISBLANK('CONFIGURAÇÃO'!$M$2619),"",'CONFIGURAÇÃO'!$M$2619)</f>
        <v/>
      </c>
      <c r="AC9">
        <f>IF(ISBLANK('CONFIGURAÇÃO'!$J$2626),"",'CONFIGURAÇÃO'!$J$2626)</f>
        <v/>
      </c>
      <c r="AD9">
        <f>IF(ISBLANK('CONFIGURAÇÃO'!$J$2631),"",'CONFIGURAÇÃO'!$J$2631)</f>
        <v/>
      </c>
      <c r="AE9">
        <f>IF(ISBLANK('CONFIGURAÇÃO'!$N$2616),"",'CONFIGURAÇÃO'!$N$2616)</f>
        <v/>
      </c>
      <c r="AF9">
        <f>IF(OR(AA9="",AA9="Nenhuma"),0,IFERROR(MATCH(SUBSTITUTE(SUBSTITUTE(SUBSTITUTE(AA9,"~","~~"),"*","~*"),"?","~?"),'DADOS_ENTIDADES'!$AI$2:$AI$15,0),-1))</f>
        <v/>
      </c>
      <c r="AG9">
        <f>IF(Z9="",IF(OR(AB9&lt;&gt;"",AC9&lt;&gt;"",AD9&lt;&gt;"",AE9=TRUE,AND(AA9&lt;&gt;"",AA9&lt;&gt;"Nenhuma")),"Preencha NOME",""),TEXTJOIN(" · ",TRUE,IF(OR(NOT(ISTEXT(Z9)),TRIM(Z9)&lt;&gt;Z9),"NOME precisa ser texto sem espaços nas pontas",""),IF(COUNTIF('DADOS_ENTIDADES'!$Z$2:$Z$21,SUBSTITUTE(SUBSTITUTE(SUBSTITUTE(Z9,"~","~~"),"*","~*"),"?","~?"))+COUNTIF('DADOS_ENTIDADES'!$AI$2:$AI$15,SUBSTITUTE(SUBSTITUTE(SUBSTITUTE(Z9,"~","~~"),"*","~*"),"?","~?"))&gt;1,"Nome repetido no livro ou custom",""),IF(AF9&lt;0,"Escolha uma BASE DO LIVRO válida",""),IF(AND(AB9="",AF9&lt;=0),"Escolha CATEGORIA DE EFEITO",""),IF(AND(AB9&lt;&gt;"",NOT(IFERROR(AND(ISNUMBER(AB9),NOT(ISLOGICAL(AB9)),AB9=INT(AB9),AB9&gt;=1,AB9&lt;=3),FALSE))),"CATEGORIA DE EFEITO deve ser 1, 2 ou 3",""),IF(ISLOGICAL(AE9),"","MESTRE VIU deve ser caixa de seleção")))</f>
        <v/>
      </c>
      <c r="AI9">
        <f>IF(ISBLANK(DADOS_INVOC!$BI$9),"",DADOS_INVOC!$BI$9)</f>
        <v/>
      </c>
      <c r="AJ9">
        <f>IF(ISBLANK(DADOS_INVOC!$BJ$9),"",DADOS_INVOC!$BJ$9)</f>
        <v/>
      </c>
      <c r="AK9">
        <f>IF(ISBLANK(DADOS_INVOC!$BK$9),"",DADOS_INVOC!$BK$9)</f>
        <v/>
      </c>
      <c r="AL9">
        <f>IF(ISBLANK(DADOS_INVOC!$BL$9),"",DADOS_INVOC!$BL$9)</f>
        <v/>
      </c>
      <c r="AM9">
        <f>IF('INVOCAÇÕES'!$AB$241="",0,IFERROR(MATCH(SUBSTITUTE(SUBSTITUTE(SUBSTITUTE('INVOCAÇÕES'!$AB$241,"~","~~"),"*","~*"),"?","~?"),'DADOS_ENTIDADES'!$M$2:$M$16,0),0))</f>
        <v/>
      </c>
      <c r="AN9">
        <f>IF(AM9=0,"",IFERROR(INDEX('DADOS_ENTIDADES'!$AQ$2:$AQ$16,AM9)&amp;"",""))</f>
        <v/>
      </c>
      <c r="AO9">
        <f>IF(AM9=0,"",IFERROR(INDEX('DADOS_ENTIDADES'!$AR$2:$AR$16,AM9)&amp;"",""))</f>
        <v/>
      </c>
      <c r="AP9">
        <f>TEXTJOIN(CHAR(10)&amp;CHAR(10),TRUE,IF(AN9="","","DEFINIÇÃO"&amp;CHAR(10)&amp;AN9),IF(AO9="","","EFEITO E REQUISITOS"&amp;CHAR(10)&amp;AO9))</f>
        <v/>
      </c>
      <c r="AQ9">
        <f>IF(M9="","",IF(H4="",IF(J4&gt;0,INDEX('DADOS_ENTIDADES'!$AQ$2:$AQ$6,J4),""),H4))</f>
        <v/>
      </c>
      <c r="AR9">
        <f>IF(M9="","",IF(I4="",IF(J4&gt;0,INDEX('DADOS_ENTIDADES'!$AR$2:$AR$6,J4),""),I4))</f>
        <v/>
      </c>
    </row>
    <row r="10">
      <c r="A10" t="n">
        <v>9</v>
      </c>
      <c r="B10">
        <f>IF(ISBLANK('CONFIGURAÇÃO'!$B$2502),"",'CONFIGURAÇÃO'!$B$2502)</f>
        <v/>
      </c>
      <c r="C10">
        <f>IF(ISBLANK('CONFIGURAÇÃO'!$E$2504),"",'CONFIGURAÇÃO'!$E$2504)</f>
        <v/>
      </c>
      <c r="D10">
        <f>IF(ISBLANK('CONFIGURAÇÃO'!$E$2505),"",'CONFIGURAÇÃO'!$E$2505)</f>
        <v/>
      </c>
      <c r="E10">
        <f>IF(ISBLANK('CONFIGURAÇÃO'!$E$2506),"",'CONFIGURAÇÃO'!$E$2506)</f>
        <v/>
      </c>
      <c r="F10">
        <f>IF(ISBLANK('CONFIGURAÇÃO'!$E$2508),"",'CONFIGURAÇÃO'!$E$2508)</f>
        <v/>
      </c>
      <c r="G10">
        <f>IF(ISBLANK('CONFIGURAÇÃO'!$F$2502),"",'CONFIGURAÇÃO'!$F$2502)</f>
        <v/>
      </c>
      <c r="H10">
        <f>IF(ISBLANK('CONFIGURAÇÃO'!$B$2512),"",'CONFIGURAÇÃO'!$B$2512)</f>
        <v/>
      </c>
      <c r="I10">
        <f>IF(ISBLANK('CONFIGURAÇÃO'!$B$2517),"",'CONFIGURAÇÃO'!$B$2517)</f>
        <v/>
      </c>
      <c r="J10">
        <f>IF(OR(C10="",C10="Nenhuma"),0,IFERROR(MATCH(SUBSTITUTE(SUBSTITUTE(SUBSTITUTE(C10,"~","~~"),"*","~*"),"?","~?"),'DADOS_ENTIDADES'!$M$2:$M$6,0),-1))</f>
        <v/>
      </c>
      <c r="K10">
        <f>IF(B10="",IF(OR(D10&lt;&gt;"",E10&lt;&gt;"",F10&lt;&gt;"",H10&lt;&gt;"",I10&lt;&gt;"",G10=TRUE,AND(C10&lt;&gt;"",C10&lt;&gt;"Nenhuma")),"Preencha NOME",""),TEXTJOIN(" · ",TRUE,IF(OR(NOT(ISTEXT(B10)),TRIM(B10)&lt;&gt;B10),"NOME precisa ser texto sem espaços nas pontas",""),IF(COUNTIF('DADOS_ENTIDADES'!$B$2:$B$11,SUBSTITUTE(SUBSTITUTE(SUBSTITUTE(B10,"~","~~"),"*","~*"),"?","~?"))+COUNTIF('DADOS_ENTIDADES'!$M$2:$M$6,SUBSTITUTE(SUBSTITUTE(SUBSTITUTE(B10,"~","~~"),"*","~*"),"?","~?"))&gt;1,"Nome repetido no livro ou custom",""),IF(J10&lt;0,"Escolha uma BASE DO LIVRO válida",""),IF(AND(D10&lt;&gt;"",NOT(OR(D10="Normal da entidade",D10="Corpo de criação"))),"VIDA inválida",""),IF(AND(E10&lt;&gt;"",NOT(OR(E10="Não usa",E10="Usa"))),"TALISMÃ inválida",""),IF(AND(F10&lt;&gt;"",NOT(OR(F10="Normal da entidade",F10="Maldição domada"))),"RESERVA DE PE inválida",""),IF(ISLOGICAL(G10),"","MESTRE VIU deve ser caixa de seleção")))</f>
        <v/>
      </c>
      <c r="M10">
        <f>IF(AND(B5&lt;&gt;"",K5=""),B5,"")</f>
        <v/>
      </c>
      <c r="N10">
        <f>IF(M10="",0,IF(D5="",IF(J5&gt;0,INDEX('DADOS_ENTIDADES'!$N$2:$N$6,J5),0),IF(D5="Corpo de criação",1,0)))</f>
        <v/>
      </c>
      <c r="O10">
        <f>IF(M10="",0,IF(E5="",IF(J5&gt;0,INDEX('DADOS_ENTIDADES'!$O$2:$O$6,J5),0),IF(E5="Usa",1,0)))</f>
        <v/>
      </c>
      <c r="P10">
        <f>IF(M10="",0,IF(F5="",IF(J5&gt;0,INDEX('DADOS_ENTIDADES'!$P$2:$P$6,J5),0),IF(F5="Maldição domada",1,0)))</f>
        <v/>
      </c>
      <c r="W10">
        <f>AI9</f>
        <v/>
      </c>
      <c r="Y10" t="n">
        <v>9</v>
      </c>
      <c r="Z10">
        <f>IF(ISBLANK('CONFIGURAÇÃO'!$B$2644),"",'CONFIGURAÇÃO'!$B$2644)</f>
        <v/>
      </c>
      <c r="AA10">
        <f>IF(ISBLANK('CONFIGURAÇÃO'!$E$2646),"",'CONFIGURAÇÃO'!$E$2646)</f>
        <v/>
      </c>
      <c r="AB10">
        <f>IF(ISBLANK('CONFIGURAÇÃO'!$E$2647),"",'CONFIGURAÇÃO'!$E$2647)</f>
        <v/>
      </c>
      <c r="AC10">
        <f>IF(ISBLANK('CONFIGURAÇÃO'!$B$2654),"",'CONFIGURAÇÃO'!$B$2654)</f>
        <v/>
      </c>
      <c r="AD10">
        <f>IF(ISBLANK('CONFIGURAÇÃO'!$B$2659),"",'CONFIGURAÇÃO'!$B$2659)</f>
        <v/>
      </c>
      <c r="AE10">
        <f>IF(ISBLANK('CONFIGURAÇÃO'!$F$2644),"",'CONFIGURAÇÃO'!$F$2644)</f>
        <v/>
      </c>
      <c r="AF10">
        <f>IF(OR(AA10="",AA10="Nenhuma"),0,IFERROR(MATCH(SUBSTITUTE(SUBSTITUTE(SUBSTITUTE(AA10,"~","~~"),"*","~*"),"?","~?"),'DADOS_ENTIDADES'!$AI$2:$AI$15,0),-1))</f>
        <v/>
      </c>
      <c r="AG10">
        <f>IF(Z10="",IF(OR(AB10&lt;&gt;"",AC10&lt;&gt;"",AD10&lt;&gt;"",AE10=TRUE,AND(AA10&lt;&gt;"",AA10&lt;&gt;"Nenhuma")),"Preencha NOME",""),TEXTJOIN(" · ",TRUE,IF(OR(NOT(ISTEXT(Z10)),TRIM(Z10)&lt;&gt;Z10),"NOME precisa ser texto sem espaços nas pontas",""),IF(COUNTIF('DADOS_ENTIDADES'!$Z$2:$Z$21,SUBSTITUTE(SUBSTITUTE(SUBSTITUTE(Z10,"~","~~"),"*","~*"),"?","~?"))+COUNTIF('DADOS_ENTIDADES'!$AI$2:$AI$15,SUBSTITUTE(SUBSTITUTE(SUBSTITUTE(Z10,"~","~~"),"*","~*"),"?","~?"))&gt;1,"Nome repetido no livro ou custom",""),IF(AF10&lt;0,"Escolha uma BASE DO LIVRO válida",""),IF(AND(AB10="",AF10&lt;=0),"Escolha CATEGORIA DE EFEITO",""),IF(AND(AB10&lt;&gt;"",NOT(IFERROR(AND(ISNUMBER(AB10),NOT(ISLOGICAL(AB10)),AB10=INT(AB10),AB10&gt;=1,AB10&lt;=3),FALSE))),"CATEGORIA DE EFEITO deve ser 1, 2 ou 3",""),IF(ISLOGICAL(AE10),"","MESTRE VIU deve ser caixa de seleção")))</f>
        <v/>
      </c>
      <c r="AI10">
        <f>IF(ISBLANK(DADOS_INVOC!$BI$10),"",DADOS_INVOC!$BI$10)</f>
        <v/>
      </c>
      <c r="AJ10">
        <f>IF(ISBLANK(DADOS_INVOC!$BJ$10),"",DADOS_INVOC!$BJ$10)</f>
        <v/>
      </c>
      <c r="AK10">
        <f>IF(ISBLANK(DADOS_INVOC!$BK$10),"",DADOS_INVOC!$BK$10)</f>
        <v/>
      </c>
      <c r="AL10">
        <f>IF(ISBLANK(DADOS_INVOC!$BL$10),"",DADOS_INVOC!$BL$10)</f>
        <v/>
      </c>
      <c r="AM10">
        <f>IF('INVOCAÇÕES'!$AB$439="",0,IFERROR(MATCH(SUBSTITUTE(SUBSTITUTE(SUBSTITUTE('INVOCAÇÕES'!$AB$439,"~","~~"),"*","~*"),"?","~?"),'DADOS_ENTIDADES'!$M$2:$M$16,0),0))</f>
        <v/>
      </c>
      <c r="AN10">
        <f>IF(AM10=0,"",IFERROR(INDEX('DADOS_ENTIDADES'!$AQ$2:$AQ$16,AM10)&amp;"",""))</f>
        <v/>
      </c>
      <c r="AO10">
        <f>IF(AM10=0,"",IFERROR(INDEX('DADOS_ENTIDADES'!$AR$2:$AR$16,AM10)&amp;"",""))</f>
        <v/>
      </c>
      <c r="AP10">
        <f>TEXTJOIN(CHAR(10)&amp;CHAR(10),TRUE,IF(AN10="","","DEFINIÇÃO"&amp;CHAR(10)&amp;AN10),IF(AO10="","","EFEITO E REQUISITOS"&amp;CHAR(10)&amp;AO10))</f>
        <v/>
      </c>
      <c r="AQ10">
        <f>IF(M10="","",IF(H5="",IF(J5&gt;0,INDEX('DADOS_ENTIDADES'!$AQ$2:$AQ$6,J5),""),H5))</f>
        <v/>
      </c>
      <c r="AR10">
        <f>IF(M10="","",IF(I5="",IF(J5&gt;0,INDEX('DADOS_ENTIDADES'!$AR$2:$AR$6,J5),""),I5))</f>
        <v/>
      </c>
    </row>
    <row r="11">
      <c r="A11" t="n">
        <v>10</v>
      </c>
      <c r="B11">
        <f>IF(ISBLANK('CONFIGURAÇÃO'!$J$2502),"",'CONFIGURAÇÃO'!$J$2502)</f>
        <v/>
      </c>
      <c r="C11">
        <f>IF(ISBLANK('CONFIGURAÇÃO'!$M$2504),"",'CONFIGURAÇÃO'!$M$2504)</f>
        <v/>
      </c>
      <c r="D11">
        <f>IF(ISBLANK('CONFIGURAÇÃO'!$M$2505),"",'CONFIGURAÇÃO'!$M$2505)</f>
        <v/>
      </c>
      <c r="E11">
        <f>IF(ISBLANK('CONFIGURAÇÃO'!$M$2506),"",'CONFIGURAÇÃO'!$M$2506)</f>
        <v/>
      </c>
      <c r="F11">
        <f>IF(ISBLANK('CONFIGURAÇÃO'!$M$2508),"",'CONFIGURAÇÃO'!$M$2508)</f>
        <v/>
      </c>
      <c r="G11">
        <f>IF(ISBLANK('CONFIGURAÇÃO'!$N$2502),"",'CONFIGURAÇÃO'!$N$2502)</f>
        <v/>
      </c>
      <c r="H11">
        <f>IF(ISBLANK('CONFIGURAÇÃO'!$J$2512),"",'CONFIGURAÇÃO'!$J$2512)</f>
        <v/>
      </c>
      <c r="I11">
        <f>IF(ISBLANK('CONFIGURAÇÃO'!$J$2517),"",'CONFIGURAÇÃO'!$J$2517)</f>
        <v/>
      </c>
      <c r="J11">
        <f>IF(OR(C11="",C11="Nenhuma"),0,IFERROR(MATCH(SUBSTITUTE(SUBSTITUTE(SUBSTITUTE(C11,"~","~~"),"*","~*"),"?","~?"),'DADOS_ENTIDADES'!$M$2:$M$6,0),-1))</f>
        <v/>
      </c>
      <c r="K11">
        <f>IF(B11="",IF(OR(D11&lt;&gt;"",E11&lt;&gt;"",F11&lt;&gt;"",H11&lt;&gt;"",I11&lt;&gt;"",G11=TRUE,AND(C11&lt;&gt;"",C11&lt;&gt;"Nenhuma")),"Preencha NOME",""),TEXTJOIN(" · ",TRUE,IF(OR(NOT(ISTEXT(B11)),TRIM(B11)&lt;&gt;B11),"NOME precisa ser texto sem espaços nas pontas",""),IF(COUNTIF('DADOS_ENTIDADES'!$B$2:$B$11,SUBSTITUTE(SUBSTITUTE(SUBSTITUTE(B11,"~","~~"),"*","~*"),"?","~?"))+COUNTIF('DADOS_ENTIDADES'!$M$2:$M$6,SUBSTITUTE(SUBSTITUTE(SUBSTITUTE(B11,"~","~~"),"*","~*"),"?","~?"))&gt;1,"Nome repetido no livro ou custom",""),IF(J11&lt;0,"Escolha uma BASE DO LIVRO válida",""),IF(AND(D11&lt;&gt;"",NOT(OR(D11="Normal da entidade",D11="Corpo de criação"))),"VIDA inválida",""),IF(AND(E11&lt;&gt;"",NOT(OR(E11="Não usa",E11="Usa"))),"TALISMÃ inválida",""),IF(AND(F11&lt;&gt;"",NOT(OR(F11="Normal da entidade",F11="Maldição domada"))),"RESERVA DE PE inválida",""),IF(ISLOGICAL(G11),"","MESTRE VIU deve ser caixa de seleção")))</f>
        <v/>
      </c>
      <c r="M11">
        <f>IF(AND(B6&lt;&gt;"",K6=""),B6,"")</f>
        <v/>
      </c>
      <c r="N11">
        <f>IF(M11="",0,IF(D6="",IF(J6&gt;0,INDEX('DADOS_ENTIDADES'!$N$2:$N$6,J6),0),IF(D6="Corpo de criação",1,0)))</f>
        <v/>
      </c>
      <c r="O11">
        <f>IF(M11="",0,IF(E6="",IF(J6&gt;0,INDEX('DADOS_ENTIDADES'!$O$2:$O$6,J6),0),IF(E6="Usa",1,0)))</f>
        <v/>
      </c>
      <c r="P11">
        <f>IF(M11="",0,IF(F6="",IF(J6&gt;0,INDEX('DADOS_ENTIDADES'!$P$2:$P$6,J6),0),IF(F6="Maldição domada",1,0)))</f>
        <v/>
      </c>
      <c r="W11">
        <f>AI10</f>
        <v/>
      </c>
      <c r="Y11" t="n">
        <v>10</v>
      </c>
      <c r="Z11">
        <f>IF(ISBLANK('CONFIGURAÇÃO'!$J$2644),"",'CONFIGURAÇÃO'!$J$2644)</f>
        <v/>
      </c>
      <c r="AA11">
        <f>IF(ISBLANK('CONFIGURAÇÃO'!$M$2646),"",'CONFIGURAÇÃO'!$M$2646)</f>
        <v/>
      </c>
      <c r="AB11">
        <f>IF(ISBLANK('CONFIGURAÇÃO'!$M$2647),"",'CONFIGURAÇÃO'!$M$2647)</f>
        <v/>
      </c>
      <c r="AC11">
        <f>IF(ISBLANK('CONFIGURAÇÃO'!$J$2654),"",'CONFIGURAÇÃO'!$J$2654)</f>
        <v/>
      </c>
      <c r="AD11">
        <f>IF(ISBLANK('CONFIGURAÇÃO'!$J$2659),"",'CONFIGURAÇÃO'!$J$2659)</f>
        <v/>
      </c>
      <c r="AE11">
        <f>IF(ISBLANK('CONFIGURAÇÃO'!$N$2644),"",'CONFIGURAÇÃO'!$N$2644)</f>
        <v/>
      </c>
      <c r="AF11">
        <f>IF(OR(AA11="",AA11="Nenhuma"),0,IFERROR(MATCH(SUBSTITUTE(SUBSTITUTE(SUBSTITUTE(AA11,"~","~~"),"*","~*"),"?","~?"),'DADOS_ENTIDADES'!$AI$2:$AI$15,0),-1))</f>
        <v/>
      </c>
      <c r="AG11">
        <f>IF(Z11="",IF(OR(AB11&lt;&gt;"",AC11&lt;&gt;"",AD11&lt;&gt;"",AE11=TRUE,AND(AA11&lt;&gt;"",AA11&lt;&gt;"Nenhuma")),"Preencha NOME",""),TEXTJOIN(" · ",TRUE,IF(OR(NOT(ISTEXT(Z11)),TRIM(Z11)&lt;&gt;Z11),"NOME precisa ser texto sem espaços nas pontas",""),IF(COUNTIF('DADOS_ENTIDADES'!$Z$2:$Z$21,SUBSTITUTE(SUBSTITUTE(SUBSTITUTE(Z11,"~","~~"),"*","~*"),"?","~?"))+COUNTIF('DADOS_ENTIDADES'!$AI$2:$AI$15,SUBSTITUTE(SUBSTITUTE(SUBSTITUTE(Z11,"~","~~"),"*","~*"),"?","~?"))&gt;1,"Nome repetido no livro ou custom",""),IF(AF11&lt;0,"Escolha uma BASE DO LIVRO válida",""),IF(AND(AB11="",AF11&lt;=0),"Escolha CATEGORIA DE EFEITO",""),IF(AND(AB11&lt;&gt;"",NOT(IFERROR(AND(ISNUMBER(AB11),NOT(ISLOGICAL(AB11)),AB11=INT(AB11),AB11&gt;=1,AB11&lt;=3),FALSE))),"CATEGORIA DE EFEITO deve ser 1, 2 ou 3",""),IF(ISLOGICAL(AE11),"","MESTRE VIU deve ser caixa de seleção")))</f>
        <v/>
      </c>
      <c r="AI11">
        <f>IF(ISBLANK(DADOS_INVOC!$BI$11),"",DADOS_INVOC!$BI$11)</f>
        <v/>
      </c>
      <c r="AJ11">
        <f>IF(ISBLANK(DADOS_INVOC!$BJ$11),"",DADOS_INVOC!$BJ$11)</f>
        <v/>
      </c>
      <c r="AK11">
        <f>IF(ISBLANK(DADOS_INVOC!$BK$11),"",DADOS_INVOC!$BK$11)</f>
        <v/>
      </c>
      <c r="AL11">
        <f>IF(ISBLANK(DADOS_INVOC!$BL$11),"",DADOS_INVOC!$BL$11)</f>
        <v/>
      </c>
      <c r="AM11">
        <f>IF('INVOCAÇÕES'!$AB$637="",0,IFERROR(MATCH(SUBSTITUTE(SUBSTITUTE(SUBSTITUTE('INVOCAÇÕES'!$AB$637,"~","~~"),"*","~*"),"?","~?"),'DADOS_ENTIDADES'!$M$2:$M$16,0),0))</f>
        <v/>
      </c>
      <c r="AN11">
        <f>IF(AM11=0,"",IFERROR(INDEX('DADOS_ENTIDADES'!$AQ$2:$AQ$16,AM11)&amp;"",""))</f>
        <v/>
      </c>
      <c r="AO11">
        <f>IF(AM11=0,"",IFERROR(INDEX('DADOS_ENTIDADES'!$AR$2:$AR$16,AM11)&amp;"",""))</f>
        <v/>
      </c>
      <c r="AP11">
        <f>TEXTJOIN(CHAR(10)&amp;CHAR(10),TRUE,IF(AN11="","","DEFINIÇÃO"&amp;CHAR(10)&amp;AN11),IF(AO11="","","EFEITO E REQUISITOS"&amp;CHAR(10)&amp;AO11))</f>
        <v/>
      </c>
      <c r="AQ11">
        <f>IF(M11="","",IF(H6="",IF(J6&gt;0,INDEX('DADOS_ENTIDADES'!$AQ$2:$AQ$6,J6),""),H6))</f>
        <v/>
      </c>
      <c r="AR11">
        <f>IF(M11="","",IF(I6="",IF(J6&gt;0,INDEX('DADOS_ENTIDADES'!$AR$2:$AR$6,J6),""),I6))</f>
        <v/>
      </c>
    </row>
    <row r="12">
      <c r="M12">
        <f>IF(AND(B7&lt;&gt;"",K7=""),B7,"")</f>
        <v/>
      </c>
      <c r="N12">
        <f>IF(M12="",0,IF(D7="",IF(J7&gt;0,INDEX('DADOS_ENTIDADES'!$N$2:$N$6,J7),0),IF(D7="Corpo de criação",1,0)))</f>
        <v/>
      </c>
      <c r="O12">
        <f>IF(M12="",0,IF(E7="",IF(J7&gt;0,INDEX('DADOS_ENTIDADES'!$O$2:$O$6,J7),0),IF(E7="Usa",1,0)))</f>
        <v/>
      </c>
      <c r="P12">
        <f>IF(M12="",0,IF(F7="",IF(J7&gt;0,INDEX('DADOS_ENTIDADES'!$P$2:$P$6,J7),0),IF(F7="Maldição domada",1,0)))</f>
        <v/>
      </c>
      <c r="W12">
        <f>AI11</f>
        <v/>
      </c>
      <c r="Y12" t="n">
        <v>11</v>
      </c>
      <c r="Z12">
        <f>IF(ISBLANK('CONFIGURAÇÃO'!$B$2672),"",'CONFIGURAÇÃO'!$B$2672)</f>
        <v/>
      </c>
      <c r="AA12">
        <f>IF(ISBLANK('CONFIGURAÇÃO'!$E$2674),"",'CONFIGURAÇÃO'!$E$2674)</f>
        <v/>
      </c>
      <c r="AB12">
        <f>IF(ISBLANK('CONFIGURAÇÃO'!$E$2675),"",'CONFIGURAÇÃO'!$E$2675)</f>
        <v/>
      </c>
      <c r="AC12">
        <f>IF(ISBLANK('CONFIGURAÇÃO'!$B$2682),"",'CONFIGURAÇÃO'!$B$2682)</f>
        <v/>
      </c>
      <c r="AD12">
        <f>IF(ISBLANK('CONFIGURAÇÃO'!$B$2687),"",'CONFIGURAÇÃO'!$B$2687)</f>
        <v/>
      </c>
      <c r="AE12">
        <f>IF(ISBLANK('CONFIGURAÇÃO'!$F$2672),"",'CONFIGURAÇÃO'!$F$2672)</f>
        <v/>
      </c>
      <c r="AF12">
        <f>IF(OR(AA12="",AA12="Nenhuma"),0,IFERROR(MATCH(SUBSTITUTE(SUBSTITUTE(SUBSTITUTE(AA12,"~","~~"),"*","~*"),"?","~?"),'DADOS_ENTIDADES'!$AI$2:$AI$15,0),-1))</f>
        <v/>
      </c>
      <c r="AG12">
        <f>IF(Z12="",IF(OR(AB12&lt;&gt;"",AC12&lt;&gt;"",AD12&lt;&gt;"",AE12=TRUE,AND(AA12&lt;&gt;"",AA12&lt;&gt;"Nenhuma")),"Preencha NOME",""),TEXTJOIN(" · ",TRUE,IF(OR(NOT(ISTEXT(Z12)),TRIM(Z12)&lt;&gt;Z12),"NOME precisa ser texto sem espaços nas pontas",""),IF(COUNTIF('DADOS_ENTIDADES'!$Z$2:$Z$21,SUBSTITUTE(SUBSTITUTE(SUBSTITUTE(Z12,"~","~~"),"*","~*"),"?","~?"))+COUNTIF('DADOS_ENTIDADES'!$AI$2:$AI$15,SUBSTITUTE(SUBSTITUTE(SUBSTITUTE(Z12,"~","~~"),"*","~*"),"?","~?"))&gt;1,"Nome repetido no livro ou custom",""),IF(AF12&lt;0,"Escolha uma BASE DO LIVRO válida",""),IF(AND(AB12="",AF12&lt;=0),"Escolha CATEGORIA DE EFEITO",""),IF(AND(AB12&lt;&gt;"",NOT(IFERROR(AND(ISNUMBER(AB12),NOT(ISLOGICAL(AB12)),AB12=INT(AB12),AB12&gt;=1,AB12&lt;=3),FALSE))),"CATEGORIA DE EFEITO deve ser 1, 2 ou 3",""),IF(ISLOGICAL(AE12),"","MESTRE VIU deve ser caixa de seleção")))</f>
        <v/>
      </c>
      <c r="AI12">
        <f>IF(ISBLANK(DADOS_INVOC!$BI$12),"",DADOS_INVOC!$BI$12)</f>
        <v/>
      </c>
      <c r="AJ12">
        <f>IF(ISBLANK(DADOS_INVOC!$BJ$12),"",DADOS_INVOC!$BJ$12)</f>
        <v/>
      </c>
      <c r="AK12">
        <f>IF(ISBLANK(DADOS_INVOC!$BK$12),"",DADOS_INVOC!$BK$12)</f>
        <v/>
      </c>
      <c r="AL12">
        <f>IF(ISBLANK(DADOS_INVOC!$BL$12),"",DADOS_INVOC!$BL$12)</f>
        <v/>
      </c>
      <c r="AM12">
        <f>IF('INVOCAÇÕES'!$AB$835="",0,IFERROR(MATCH(SUBSTITUTE(SUBSTITUTE(SUBSTITUTE('INVOCAÇÕES'!$AB$835,"~","~~"),"*","~*"),"?","~?"),'DADOS_ENTIDADES'!$M$2:$M$16,0),0))</f>
        <v/>
      </c>
      <c r="AN12">
        <f>IF(AM12=0,"",IFERROR(INDEX('DADOS_ENTIDADES'!$AQ$2:$AQ$16,AM12)&amp;"",""))</f>
        <v/>
      </c>
      <c r="AO12">
        <f>IF(AM12=0,"",IFERROR(INDEX('DADOS_ENTIDADES'!$AR$2:$AR$16,AM12)&amp;"",""))</f>
        <v/>
      </c>
      <c r="AP12">
        <f>TEXTJOIN(CHAR(10)&amp;CHAR(10),TRUE,IF(AN12="","","DEFINIÇÃO"&amp;CHAR(10)&amp;AN12),IF(AO12="","","EFEITO E REQUISITOS"&amp;CHAR(10)&amp;AO12))</f>
        <v/>
      </c>
      <c r="AQ12">
        <f>IF(M12="","",IF(H7="",IF(J7&gt;0,INDEX('DADOS_ENTIDADES'!$AQ$2:$AQ$6,J7),""),H7))</f>
        <v/>
      </c>
      <c r="AR12">
        <f>IF(M12="","",IF(I7="",IF(J7&gt;0,INDEX('DADOS_ENTIDADES'!$AR$2:$AR$6,J7),""),I7))</f>
        <v/>
      </c>
    </row>
    <row r="13">
      <c r="M13">
        <f>IF(AND(B8&lt;&gt;"",K8=""),B8,"")</f>
        <v/>
      </c>
      <c r="N13">
        <f>IF(M13="",0,IF(D8="",IF(J8&gt;0,INDEX('DADOS_ENTIDADES'!$N$2:$N$6,J8),0),IF(D8="Corpo de criação",1,0)))</f>
        <v/>
      </c>
      <c r="O13">
        <f>IF(M13="",0,IF(E8="",IF(J8&gt;0,INDEX('DADOS_ENTIDADES'!$O$2:$O$6,J8),0),IF(E8="Usa",1,0)))</f>
        <v/>
      </c>
      <c r="P13">
        <f>IF(M13="",0,IF(F8="",IF(J8&gt;0,INDEX('DADOS_ENTIDADES'!$P$2:$P$6,J8),0),IF(F8="Maldição domada",1,0)))</f>
        <v/>
      </c>
      <c r="W13">
        <f>AI12</f>
        <v/>
      </c>
      <c r="Y13" t="n">
        <v>12</v>
      </c>
      <c r="Z13">
        <f>IF(ISBLANK('CONFIGURAÇÃO'!$J$2672),"",'CONFIGURAÇÃO'!$J$2672)</f>
        <v/>
      </c>
      <c r="AA13">
        <f>IF(ISBLANK('CONFIGURAÇÃO'!$M$2674),"",'CONFIGURAÇÃO'!$M$2674)</f>
        <v/>
      </c>
      <c r="AB13">
        <f>IF(ISBLANK('CONFIGURAÇÃO'!$M$2675),"",'CONFIGURAÇÃO'!$M$2675)</f>
        <v/>
      </c>
      <c r="AC13">
        <f>IF(ISBLANK('CONFIGURAÇÃO'!$J$2682),"",'CONFIGURAÇÃO'!$J$2682)</f>
        <v/>
      </c>
      <c r="AD13">
        <f>IF(ISBLANK('CONFIGURAÇÃO'!$J$2687),"",'CONFIGURAÇÃO'!$J$2687)</f>
        <v/>
      </c>
      <c r="AE13">
        <f>IF(ISBLANK('CONFIGURAÇÃO'!$N$2672),"",'CONFIGURAÇÃO'!$N$2672)</f>
        <v/>
      </c>
      <c r="AF13">
        <f>IF(OR(AA13="",AA13="Nenhuma"),0,IFERROR(MATCH(SUBSTITUTE(SUBSTITUTE(SUBSTITUTE(AA13,"~","~~"),"*","~*"),"?","~?"),'DADOS_ENTIDADES'!$AI$2:$AI$15,0),-1))</f>
        <v/>
      </c>
      <c r="AG13">
        <f>IF(Z13="",IF(OR(AB13&lt;&gt;"",AC13&lt;&gt;"",AD13&lt;&gt;"",AE13=TRUE,AND(AA13&lt;&gt;"",AA13&lt;&gt;"Nenhuma")),"Preencha NOME",""),TEXTJOIN(" · ",TRUE,IF(OR(NOT(ISTEXT(Z13)),TRIM(Z13)&lt;&gt;Z13),"NOME precisa ser texto sem espaços nas pontas",""),IF(COUNTIF('DADOS_ENTIDADES'!$Z$2:$Z$21,SUBSTITUTE(SUBSTITUTE(SUBSTITUTE(Z13,"~","~~"),"*","~*"),"?","~?"))+COUNTIF('DADOS_ENTIDADES'!$AI$2:$AI$15,SUBSTITUTE(SUBSTITUTE(SUBSTITUTE(Z13,"~","~~"),"*","~*"),"?","~?"))&gt;1,"Nome repetido no livro ou custom",""),IF(AF13&lt;0,"Escolha uma BASE DO LIVRO válida",""),IF(AND(AB13="",AF13&lt;=0),"Escolha CATEGORIA DE EFEITO",""),IF(AND(AB13&lt;&gt;"",NOT(IFERROR(AND(ISNUMBER(AB13),NOT(ISLOGICAL(AB13)),AB13=INT(AB13),AB13&gt;=1,AB13&lt;=3),FALSE))),"CATEGORIA DE EFEITO deve ser 1, 2 ou 3",""),IF(ISLOGICAL(AE13),"","MESTRE VIU deve ser caixa de seleção")))</f>
        <v/>
      </c>
      <c r="AI13">
        <f>IF(ISBLANK(DADOS_INVOC!$BI$13),"",DADOS_INVOC!$BI$13)</f>
        <v/>
      </c>
      <c r="AJ13">
        <f>IF(ISBLANK(DADOS_INVOC!$BJ$13),"",DADOS_INVOC!$BJ$13)</f>
        <v/>
      </c>
      <c r="AK13">
        <f>IF(ISBLANK(DADOS_INVOC!$BK$13),"",DADOS_INVOC!$BK$13)</f>
        <v/>
      </c>
      <c r="AL13">
        <f>IF(ISBLANK(DADOS_INVOC!$BL$13),"",DADOS_INVOC!$BL$13)</f>
        <v/>
      </c>
      <c r="AM13">
        <f>IF('INVOCAÇÕES'!$AB$1033="",0,IFERROR(MATCH(SUBSTITUTE(SUBSTITUTE(SUBSTITUTE('INVOCAÇÕES'!$AB$1033,"~","~~"),"*","~*"),"?","~?"),'DADOS_ENTIDADES'!$M$2:$M$16,0),0))</f>
        <v/>
      </c>
      <c r="AN13">
        <f>IF(AM13=0,"",IFERROR(INDEX('DADOS_ENTIDADES'!$AQ$2:$AQ$16,AM13)&amp;"",""))</f>
        <v/>
      </c>
      <c r="AO13">
        <f>IF(AM13=0,"",IFERROR(INDEX('DADOS_ENTIDADES'!$AR$2:$AR$16,AM13)&amp;"",""))</f>
        <v/>
      </c>
      <c r="AP13">
        <f>TEXTJOIN(CHAR(10)&amp;CHAR(10),TRUE,IF(AN13="","","DEFINIÇÃO"&amp;CHAR(10)&amp;AN13),IF(AO13="","","EFEITO E REQUISITOS"&amp;CHAR(10)&amp;AO13))</f>
        <v/>
      </c>
      <c r="AQ13">
        <f>IF(M13="","",IF(H8="",IF(J8&gt;0,INDEX('DADOS_ENTIDADES'!$AQ$2:$AQ$6,J8),""),H8))</f>
        <v/>
      </c>
      <c r="AR13">
        <f>IF(M13="","",IF(I8="",IF(J8&gt;0,INDEX('DADOS_ENTIDADES'!$AR$2:$AR$6,J8),""),I8))</f>
        <v/>
      </c>
    </row>
    <row r="14">
      <c r="M14">
        <f>IF(AND(B9&lt;&gt;"",K9=""),B9,"")</f>
        <v/>
      </c>
      <c r="N14">
        <f>IF(M14="",0,IF(D9="",IF(J9&gt;0,INDEX('DADOS_ENTIDADES'!$N$2:$N$6,J9),0),IF(D9="Corpo de criação",1,0)))</f>
        <v/>
      </c>
      <c r="O14">
        <f>IF(M14="",0,IF(E9="",IF(J9&gt;0,INDEX('DADOS_ENTIDADES'!$O$2:$O$6,J9),0),IF(E9="Usa",1,0)))</f>
        <v/>
      </c>
      <c r="P14">
        <f>IF(M14="",0,IF(F9="",IF(J9&gt;0,INDEX('DADOS_ENTIDADES'!$P$2:$P$6,J9),0),IF(F9="Maldição domada",1,0)))</f>
        <v/>
      </c>
      <c r="W14">
        <f>AI13</f>
        <v/>
      </c>
      <c r="Y14" t="n">
        <v>13</v>
      </c>
      <c r="Z14">
        <f>IF(ISBLANK('CONFIGURAÇÃO'!$B$2700),"",'CONFIGURAÇÃO'!$B$2700)</f>
        <v/>
      </c>
      <c r="AA14">
        <f>IF(ISBLANK('CONFIGURAÇÃO'!$E$2702),"",'CONFIGURAÇÃO'!$E$2702)</f>
        <v/>
      </c>
      <c r="AB14">
        <f>IF(ISBLANK('CONFIGURAÇÃO'!$E$2703),"",'CONFIGURAÇÃO'!$E$2703)</f>
        <v/>
      </c>
      <c r="AC14">
        <f>IF(ISBLANK('CONFIGURAÇÃO'!$B$2710),"",'CONFIGURAÇÃO'!$B$2710)</f>
        <v/>
      </c>
      <c r="AD14">
        <f>IF(ISBLANK('CONFIGURAÇÃO'!$B$2715),"",'CONFIGURAÇÃO'!$B$2715)</f>
        <v/>
      </c>
      <c r="AE14">
        <f>IF(ISBLANK('CONFIGURAÇÃO'!$F$2700),"",'CONFIGURAÇÃO'!$F$2700)</f>
        <v/>
      </c>
      <c r="AF14">
        <f>IF(OR(AA14="",AA14="Nenhuma"),0,IFERROR(MATCH(SUBSTITUTE(SUBSTITUTE(SUBSTITUTE(AA14,"~","~~"),"*","~*"),"?","~?"),'DADOS_ENTIDADES'!$AI$2:$AI$15,0),-1))</f>
        <v/>
      </c>
      <c r="AG14">
        <f>IF(Z14="",IF(OR(AB14&lt;&gt;"",AC14&lt;&gt;"",AD14&lt;&gt;"",AE14=TRUE,AND(AA14&lt;&gt;"",AA14&lt;&gt;"Nenhuma")),"Preencha NOME",""),TEXTJOIN(" · ",TRUE,IF(OR(NOT(ISTEXT(Z14)),TRIM(Z14)&lt;&gt;Z14),"NOME precisa ser texto sem espaços nas pontas",""),IF(COUNTIF('DADOS_ENTIDADES'!$Z$2:$Z$21,SUBSTITUTE(SUBSTITUTE(SUBSTITUTE(Z14,"~","~~"),"*","~*"),"?","~?"))+COUNTIF('DADOS_ENTIDADES'!$AI$2:$AI$15,SUBSTITUTE(SUBSTITUTE(SUBSTITUTE(Z14,"~","~~"),"*","~*"),"?","~?"))&gt;1,"Nome repetido no livro ou custom",""),IF(AF14&lt;0,"Escolha uma BASE DO LIVRO válida",""),IF(AND(AB14="",AF14&lt;=0),"Escolha CATEGORIA DE EFEITO",""),IF(AND(AB14&lt;&gt;"",NOT(IFERROR(AND(ISNUMBER(AB14),NOT(ISLOGICAL(AB14)),AB14=INT(AB14),AB14&gt;=1,AB14&lt;=3),FALSE))),"CATEGORIA DE EFEITO deve ser 1, 2 ou 3",""),IF(ISLOGICAL(AE14),"","MESTRE VIU deve ser caixa de seleção")))</f>
        <v/>
      </c>
      <c r="AI14">
        <f>IF(ISBLANK(DADOS_INVOC!$BI$14),"",DADOS_INVOC!$BI$14)</f>
        <v/>
      </c>
      <c r="AJ14">
        <f>IF(ISBLANK(DADOS_INVOC!$BJ$14),"",DADOS_INVOC!$BJ$14)</f>
        <v/>
      </c>
      <c r="AK14">
        <f>IF(ISBLANK(DADOS_INVOC!$BK$14),"",DADOS_INVOC!$BK$14)</f>
        <v/>
      </c>
      <c r="AL14">
        <f>IF(ISBLANK(DADOS_INVOC!$BL$14),"",DADOS_INVOC!$BL$14)</f>
        <v/>
      </c>
      <c r="AQ14">
        <f>IF(M14="","",IF(H9="",IF(J9&gt;0,INDEX('DADOS_ENTIDADES'!$AQ$2:$AQ$6,J9),""),H9))</f>
        <v/>
      </c>
      <c r="AR14">
        <f>IF(M14="","",IF(I9="",IF(J9&gt;0,INDEX('DADOS_ENTIDADES'!$AR$2:$AR$6,J9),""),I9))</f>
        <v/>
      </c>
    </row>
    <row r="15">
      <c r="M15">
        <f>IF(AND(B10&lt;&gt;"",K10=""),B10,"")</f>
        <v/>
      </c>
      <c r="N15">
        <f>IF(M15="",0,IF(D10="",IF(J10&gt;0,INDEX('DADOS_ENTIDADES'!$N$2:$N$6,J10),0),IF(D10="Corpo de criação",1,0)))</f>
        <v/>
      </c>
      <c r="O15">
        <f>IF(M15="",0,IF(E10="",IF(J10&gt;0,INDEX('DADOS_ENTIDADES'!$O$2:$O$6,J10),0),IF(E10="Usa",1,0)))</f>
        <v/>
      </c>
      <c r="P15">
        <f>IF(M15="",0,IF(F10="",IF(J10&gt;0,INDEX('DADOS_ENTIDADES'!$P$2:$P$6,J10),0),IF(F10="Maldição domada",1,0)))</f>
        <v/>
      </c>
      <c r="W15">
        <f>AI14</f>
        <v/>
      </c>
      <c r="Y15" t="n">
        <v>14</v>
      </c>
      <c r="Z15">
        <f>IF(ISBLANK('CONFIGURAÇÃO'!$J$2700),"",'CONFIGURAÇÃO'!$J$2700)</f>
        <v/>
      </c>
      <c r="AA15">
        <f>IF(ISBLANK('CONFIGURAÇÃO'!$M$2702),"",'CONFIGURAÇÃO'!$M$2702)</f>
        <v/>
      </c>
      <c r="AB15">
        <f>IF(ISBLANK('CONFIGURAÇÃO'!$M$2703),"",'CONFIGURAÇÃO'!$M$2703)</f>
        <v/>
      </c>
      <c r="AC15">
        <f>IF(ISBLANK('CONFIGURAÇÃO'!$J$2710),"",'CONFIGURAÇÃO'!$J$2710)</f>
        <v/>
      </c>
      <c r="AD15">
        <f>IF(ISBLANK('CONFIGURAÇÃO'!$J$2715),"",'CONFIGURAÇÃO'!$J$2715)</f>
        <v/>
      </c>
      <c r="AE15">
        <f>IF(ISBLANK('CONFIGURAÇÃO'!$N$2700),"",'CONFIGURAÇÃO'!$N$2700)</f>
        <v/>
      </c>
      <c r="AF15">
        <f>IF(OR(AA15="",AA15="Nenhuma"),0,IFERROR(MATCH(SUBSTITUTE(SUBSTITUTE(SUBSTITUTE(AA15,"~","~~"),"*","~*"),"?","~?"),'DADOS_ENTIDADES'!$AI$2:$AI$15,0),-1))</f>
        <v/>
      </c>
      <c r="AG15">
        <f>IF(Z15="",IF(OR(AB15&lt;&gt;"",AC15&lt;&gt;"",AD15&lt;&gt;"",AE15=TRUE,AND(AA15&lt;&gt;"",AA15&lt;&gt;"Nenhuma")),"Preencha NOME",""),TEXTJOIN(" · ",TRUE,IF(OR(NOT(ISTEXT(Z15)),TRIM(Z15)&lt;&gt;Z15),"NOME precisa ser texto sem espaços nas pontas",""),IF(COUNTIF('DADOS_ENTIDADES'!$Z$2:$Z$21,SUBSTITUTE(SUBSTITUTE(SUBSTITUTE(Z15,"~","~~"),"*","~*"),"?","~?"))+COUNTIF('DADOS_ENTIDADES'!$AI$2:$AI$15,SUBSTITUTE(SUBSTITUTE(SUBSTITUTE(Z15,"~","~~"),"*","~*"),"?","~?"))&gt;1,"Nome repetido no livro ou custom",""),IF(AF15&lt;0,"Escolha uma BASE DO LIVRO válida",""),IF(AND(AB15="",AF15&lt;=0),"Escolha CATEGORIA DE EFEITO",""),IF(AND(AB15&lt;&gt;"",NOT(IFERROR(AND(ISNUMBER(AB15),NOT(ISLOGICAL(AB15)),AB15=INT(AB15),AB15&gt;=1,AB15&lt;=3),FALSE))),"CATEGORIA DE EFEITO deve ser 1, 2 ou 3",""),IF(ISLOGICAL(AE15),"","MESTRE VIU deve ser caixa de seleção")))</f>
        <v/>
      </c>
      <c r="AI15">
        <f>IF(ISBLANK(DADOS_INVOC!$BI$15),"",DADOS_INVOC!$BI$15)</f>
        <v/>
      </c>
      <c r="AJ15">
        <f>IF(ISBLANK(DADOS_INVOC!$BJ$15),"",DADOS_INVOC!$BJ$15)</f>
        <v/>
      </c>
      <c r="AK15">
        <f>IF(ISBLANK(DADOS_INVOC!$BK$15),"",DADOS_INVOC!$BK$15)</f>
        <v/>
      </c>
      <c r="AL15">
        <f>IF(ISBLANK(DADOS_INVOC!$BL$15),"",DADOS_INVOC!$BL$15)</f>
        <v/>
      </c>
      <c r="AQ15">
        <f>IF(M15="","",IF(H10="",IF(J10&gt;0,INDEX('DADOS_ENTIDADES'!$AQ$2:$AQ$6,J10),""),H10))</f>
        <v/>
      </c>
      <c r="AR15">
        <f>IF(M15="","",IF(I10="",IF(J10&gt;0,INDEX('DADOS_ENTIDADES'!$AR$2:$AR$6,J10),""),I10))</f>
        <v/>
      </c>
    </row>
    <row r="16">
      <c r="M16">
        <f>IF(AND(B11&lt;&gt;"",K11=""),B11,"")</f>
        <v/>
      </c>
      <c r="N16">
        <f>IF(M16="",0,IF(D11="",IF(J11&gt;0,INDEX('DADOS_ENTIDADES'!$N$2:$N$6,J11),0),IF(D11="Corpo de criação",1,0)))</f>
        <v/>
      </c>
      <c r="O16">
        <f>IF(M16="",0,IF(E11="",IF(J11&gt;0,INDEX('DADOS_ENTIDADES'!$O$2:$O$6,J11),0),IF(E11="Usa",1,0)))</f>
        <v/>
      </c>
      <c r="P16">
        <f>IF(M16="",0,IF(F11="",IF(J11&gt;0,INDEX('DADOS_ENTIDADES'!$P$2:$P$6,J11),0),IF(F11="Maldição domada",1,0)))</f>
        <v/>
      </c>
      <c r="W16">
        <f>AI15</f>
        <v/>
      </c>
      <c r="Y16" t="n">
        <v>15</v>
      </c>
      <c r="Z16">
        <f>IF(ISBLANK('CONFIGURAÇÃO'!$B$2728),"",'CONFIGURAÇÃO'!$B$2728)</f>
        <v/>
      </c>
      <c r="AA16">
        <f>IF(ISBLANK('CONFIGURAÇÃO'!$E$2730),"",'CONFIGURAÇÃO'!$E$2730)</f>
        <v/>
      </c>
      <c r="AB16">
        <f>IF(ISBLANK('CONFIGURAÇÃO'!$E$2731),"",'CONFIGURAÇÃO'!$E$2731)</f>
        <v/>
      </c>
      <c r="AC16">
        <f>IF(ISBLANK('CONFIGURAÇÃO'!$B$2738),"",'CONFIGURAÇÃO'!$B$2738)</f>
        <v/>
      </c>
      <c r="AD16">
        <f>IF(ISBLANK('CONFIGURAÇÃO'!$B$2743),"",'CONFIGURAÇÃO'!$B$2743)</f>
        <v/>
      </c>
      <c r="AE16">
        <f>IF(ISBLANK('CONFIGURAÇÃO'!$F$2728),"",'CONFIGURAÇÃO'!$F$2728)</f>
        <v/>
      </c>
      <c r="AF16">
        <f>IF(OR(AA16="",AA16="Nenhuma"),0,IFERROR(MATCH(SUBSTITUTE(SUBSTITUTE(SUBSTITUTE(AA16,"~","~~"),"*","~*"),"?","~?"),'DADOS_ENTIDADES'!$AI$2:$AI$15,0),-1))</f>
        <v/>
      </c>
      <c r="AG16">
        <f>IF(Z16="",IF(OR(AB16&lt;&gt;"",AC16&lt;&gt;"",AD16&lt;&gt;"",AE16=TRUE,AND(AA16&lt;&gt;"",AA16&lt;&gt;"Nenhuma")),"Preencha NOME",""),TEXTJOIN(" · ",TRUE,IF(OR(NOT(ISTEXT(Z16)),TRIM(Z16)&lt;&gt;Z16),"NOME precisa ser texto sem espaços nas pontas",""),IF(COUNTIF('DADOS_ENTIDADES'!$Z$2:$Z$21,SUBSTITUTE(SUBSTITUTE(SUBSTITUTE(Z16,"~","~~"),"*","~*"),"?","~?"))+COUNTIF('DADOS_ENTIDADES'!$AI$2:$AI$15,SUBSTITUTE(SUBSTITUTE(SUBSTITUTE(Z16,"~","~~"),"*","~*"),"?","~?"))&gt;1,"Nome repetido no livro ou custom",""),IF(AF16&lt;0,"Escolha uma BASE DO LIVRO válida",""),IF(AND(AB16="",AF16&lt;=0),"Escolha CATEGORIA DE EFEITO",""),IF(AND(AB16&lt;&gt;"",NOT(IFERROR(AND(ISNUMBER(AB16),NOT(ISLOGICAL(AB16)),AB16=INT(AB16),AB16&gt;=1,AB16&lt;=3),FALSE))),"CATEGORIA DE EFEITO deve ser 1, 2 ou 3",""),IF(ISLOGICAL(AE16),"","MESTRE VIU deve ser caixa de seleção")))</f>
        <v/>
      </c>
      <c r="AI16">
        <f>IF(AND(Z2&lt;&gt;"",AG2=""),Z2,"")</f>
        <v/>
      </c>
      <c r="AJ16">
        <f>IF(AI16="",0,IF(AB2="",IF(AF2&gt;0,INDEX('DADOS_ENTIDADES'!$AJ$2:$AJ$15,AF2),0),VALUE(AB2&amp;"")))</f>
        <v/>
      </c>
      <c r="AK16">
        <f>IF(AI16="","",IF(AD2="",IF(AF2&gt;0,INDEX('DADOS_ENTIDADES'!$AK$2:$AK$15,AF2),""),AD2)&amp;IF(AC2="","",CHAR(10)&amp;"Requisitos: "&amp;AC2))</f>
        <v/>
      </c>
      <c r="AL16">
        <f>IF(AND(AI16&lt;&gt;"",AJ16=1),AI16,"")</f>
        <v/>
      </c>
      <c r="AQ16">
        <f>IF(M16="","",IF(H11="",IF(J11&gt;0,INDEX('DADOS_ENTIDADES'!$AQ$2:$AQ$6,J11),""),H11))</f>
        <v/>
      </c>
      <c r="AR16">
        <f>IF(M16="","",IF(I11="",IF(J11&gt;0,INDEX('DADOS_ENTIDADES'!$AR$2:$AR$6,J11),""),I11))</f>
        <v/>
      </c>
    </row>
    <row r="17">
      <c r="Y17" t="n">
        <v>16</v>
      </c>
      <c r="Z17">
        <f>IF(ISBLANK('CONFIGURAÇÃO'!$J$2728),"",'CONFIGURAÇÃO'!$J$2728)</f>
        <v/>
      </c>
      <c r="AA17">
        <f>IF(ISBLANK('CONFIGURAÇÃO'!$M$2730),"",'CONFIGURAÇÃO'!$M$2730)</f>
        <v/>
      </c>
      <c r="AB17">
        <f>IF(ISBLANK('CONFIGURAÇÃO'!$M$2731),"",'CONFIGURAÇÃO'!$M$2731)</f>
        <v/>
      </c>
      <c r="AC17">
        <f>IF(ISBLANK('CONFIGURAÇÃO'!$J$2738),"",'CONFIGURAÇÃO'!$J$2738)</f>
        <v/>
      </c>
      <c r="AD17">
        <f>IF(ISBLANK('CONFIGURAÇÃO'!$J$2743),"",'CONFIGURAÇÃO'!$J$2743)</f>
        <v/>
      </c>
      <c r="AE17">
        <f>IF(ISBLANK('CONFIGURAÇÃO'!$N$2728),"",'CONFIGURAÇÃO'!$N$2728)</f>
        <v/>
      </c>
      <c r="AF17">
        <f>IF(OR(AA17="",AA17="Nenhuma"),0,IFERROR(MATCH(SUBSTITUTE(SUBSTITUTE(SUBSTITUTE(AA17,"~","~~"),"*","~*"),"?","~?"),'DADOS_ENTIDADES'!$AI$2:$AI$15,0),-1))</f>
        <v/>
      </c>
      <c r="AG17">
        <f>IF(Z17="",IF(OR(AB17&lt;&gt;"",AC17&lt;&gt;"",AD17&lt;&gt;"",AE17=TRUE,AND(AA17&lt;&gt;"",AA17&lt;&gt;"Nenhuma")),"Preencha NOME",""),TEXTJOIN(" · ",TRUE,IF(OR(NOT(ISTEXT(Z17)),TRIM(Z17)&lt;&gt;Z17),"NOME precisa ser texto sem espaços nas pontas",""),IF(COUNTIF('DADOS_ENTIDADES'!$Z$2:$Z$21,SUBSTITUTE(SUBSTITUTE(SUBSTITUTE(Z17,"~","~~"),"*","~*"),"?","~?"))+COUNTIF('DADOS_ENTIDADES'!$AI$2:$AI$15,SUBSTITUTE(SUBSTITUTE(SUBSTITUTE(Z17,"~","~~"),"*","~*"),"?","~?"))&gt;1,"Nome repetido no livro ou custom",""),IF(AF17&lt;0,"Escolha uma BASE DO LIVRO válida",""),IF(AND(AB17="",AF17&lt;=0),"Escolha CATEGORIA DE EFEITO",""),IF(AND(AB17&lt;&gt;"",NOT(IFERROR(AND(ISNUMBER(AB17),NOT(ISLOGICAL(AB17)),AB17=INT(AB17),AB17&gt;=1,AB17&lt;=3),FALSE))),"CATEGORIA DE EFEITO deve ser 1, 2 ou 3",""),IF(ISLOGICAL(AE17),"","MESTRE VIU deve ser caixa de seleção")))</f>
        <v/>
      </c>
      <c r="AI17">
        <f>IF(AND(Z3&lt;&gt;"",AG3=""),Z3,"")</f>
        <v/>
      </c>
      <c r="AJ17">
        <f>IF(AI17="",0,IF(AB3="",IF(AF3&gt;0,INDEX('DADOS_ENTIDADES'!$AJ$2:$AJ$15,AF3),0),VALUE(AB3&amp;"")))</f>
        <v/>
      </c>
      <c r="AK17">
        <f>IF(AI17="","",IF(AD3="",IF(AF3&gt;0,INDEX('DADOS_ENTIDADES'!$AK$2:$AK$15,AF3),""),AD3)&amp;IF(AC3="","",CHAR(10)&amp;"Requisitos: "&amp;AC3))</f>
        <v/>
      </c>
      <c r="AL17">
        <f>IF(AND(AI17&lt;&gt;"",AJ17=1),AI17,"")</f>
        <v/>
      </c>
    </row>
    <row r="18">
      <c r="Y18" t="n">
        <v>17</v>
      </c>
      <c r="Z18">
        <f>IF(ISBLANK('CONFIGURAÇÃO'!$B$2756),"",'CONFIGURAÇÃO'!$B$2756)</f>
        <v/>
      </c>
      <c r="AA18">
        <f>IF(ISBLANK('CONFIGURAÇÃO'!$E$2758),"",'CONFIGURAÇÃO'!$E$2758)</f>
        <v/>
      </c>
      <c r="AB18">
        <f>IF(ISBLANK('CONFIGURAÇÃO'!$E$2759),"",'CONFIGURAÇÃO'!$E$2759)</f>
        <v/>
      </c>
      <c r="AC18">
        <f>IF(ISBLANK('CONFIGURAÇÃO'!$B$2766),"",'CONFIGURAÇÃO'!$B$2766)</f>
        <v/>
      </c>
      <c r="AD18">
        <f>IF(ISBLANK('CONFIGURAÇÃO'!$B$2771),"",'CONFIGURAÇÃO'!$B$2771)</f>
        <v/>
      </c>
      <c r="AE18">
        <f>IF(ISBLANK('CONFIGURAÇÃO'!$F$2756),"",'CONFIGURAÇÃO'!$F$2756)</f>
        <v/>
      </c>
      <c r="AF18">
        <f>IF(OR(AA18="",AA18="Nenhuma"),0,IFERROR(MATCH(SUBSTITUTE(SUBSTITUTE(SUBSTITUTE(AA18,"~","~~"),"*","~*"),"?","~?"),'DADOS_ENTIDADES'!$AI$2:$AI$15,0),-1))</f>
        <v/>
      </c>
      <c r="AG18">
        <f>IF(Z18="",IF(OR(AB18&lt;&gt;"",AC18&lt;&gt;"",AD18&lt;&gt;"",AE18=TRUE,AND(AA18&lt;&gt;"",AA18&lt;&gt;"Nenhuma")),"Preencha NOME",""),TEXTJOIN(" · ",TRUE,IF(OR(NOT(ISTEXT(Z18)),TRIM(Z18)&lt;&gt;Z18),"NOME precisa ser texto sem espaços nas pontas",""),IF(COUNTIF('DADOS_ENTIDADES'!$Z$2:$Z$21,SUBSTITUTE(SUBSTITUTE(SUBSTITUTE(Z18,"~","~~"),"*","~*"),"?","~?"))+COUNTIF('DADOS_ENTIDADES'!$AI$2:$AI$15,SUBSTITUTE(SUBSTITUTE(SUBSTITUTE(Z18,"~","~~"),"*","~*"),"?","~?"))&gt;1,"Nome repetido no livro ou custom",""),IF(AF18&lt;0,"Escolha uma BASE DO LIVRO válida",""),IF(AND(AB18="",AF18&lt;=0),"Escolha CATEGORIA DE EFEITO",""),IF(AND(AB18&lt;&gt;"",NOT(IFERROR(AND(ISNUMBER(AB18),NOT(ISLOGICAL(AB18)),AB18=INT(AB18),AB18&gt;=1,AB18&lt;=3),FALSE))),"CATEGORIA DE EFEITO deve ser 1, 2 ou 3",""),IF(ISLOGICAL(AE18),"","MESTRE VIU deve ser caixa de seleção")))</f>
        <v/>
      </c>
      <c r="AI18">
        <f>IF(AND(Z4&lt;&gt;"",AG4=""),Z4,"")</f>
        <v/>
      </c>
      <c r="AJ18">
        <f>IF(AI18="",0,IF(AB4="",IF(AF4&gt;0,INDEX('DADOS_ENTIDADES'!$AJ$2:$AJ$15,AF4),0),VALUE(AB4&amp;"")))</f>
        <v/>
      </c>
      <c r="AK18">
        <f>IF(AI18="","",IF(AD4="",IF(AF4&gt;0,INDEX('DADOS_ENTIDADES'!$AK$2:$AK$15,AF4),""),AD4)&amp;IF(AC4="","",CHAR(10)&amp;"Requisitos: "&amp;AC4))</f>
        <v/>
      </c>
      <c r="AL18">
        <f>IF(AND(AI18&lt;&gt;"",AJ18=1),AI18,"")</f>
        <v/>
      </c>
    </row>
    <row r="19">
      <c r="Y19" t="n">
        <v>18</v>
      </c>
      <c r="Z19">
        <f>IF(ISBLANK('CONFIGURAÇÃO'!$J$2756),"",'CONFIGURAÇÃO'!$J$2756)</f>
        <v/>
      </c>
      <c r="AA19">
        <f>IF(ISBLANK('CONFIGURAÇÃO'!$M$2758),"",'CONFIGURAÇÃO'!$M$2758)</f>
        <v/>
      </c>
      <c r="AB19">
        <f>IF(ISBLANK('CONFIGURAÇÃO'!$M$2759),"",'CONFIGURAÇÃO'!$M$2759)</f>
        <v/>
      </c>
      <c r="AC19">
        <f>IF(ISBLANK('CONFIGURAÇÃO'!$J$2766),"",'CONFIGURAÇÃO'!$J$2766)</f>
        <v/>
      </c>
      <c r="AD19">
        <f>IF(ISBLANK('CONFIGURAÇÃO'!$J$2771),"",'CONFIGURAÇÃO'!$J$2771)</f>
        <v/>
      </c>
      <c r="AE19">
        <f>IF(ISBLANK('CONFIGURAÇÃO'!$N$2756),"",'CONFIGURAÇÃO'!$N$2756)</f>
        <v/>
      </c>
      <c r="AF19">
        <f>IF(OR(AA19="",AA19="Nenhuma"),0,IFERROR(MATCH(SUBSTITUTE(SUBSTITUTE(SUBSTITUTE(AA19,"~","~~"),"*","~*"),"?","~?"),'DADOS_ENTIDADES'!$AI$2:$AI$15,0),-1))</f>
        <v/>
      </c>
      <c r="AG19">
        <f>IF(Z19="",IF(OR(AB19&lt;&gt;"",AC19&lt;&gt;"",AD19&lt;&gt;"",AE19=TRUE,AND(AA19&lt;&gt;"",AA19&lt;&gt;"Nenhuma")),"Preencha NOME",""),TEXTJOIN(" · ",TRUE,IF(OR(NOT(ISTEXT(Z19)),TRIM(Z19)&lt;&gt;Z19),"NOME precisa ser texto sem espaços nas pontas",""),IF(COUNTIF('DADOS_ENTIDADES'!$Z$2:$Z$21,SUBSTITUTE(SUBSTITUTE(SUBSTITUTE(Z19,"~","~~"),"*","~*"),"?","~?"))+COUNTIF('DADOS_ENTIDADES'!$AI$2:$AI$15,SUBSTITUTE(SUBSTITUTE(SUBSTITUTE(Z19,"~","~~"),"*","~*"),"?","~?"))&gt;1,"Nome repetido no livro ou custom",""),IF(AF19&lt;0,"Escolha uma BASE DO LIVRO válida",""),IF(AND(AB19="",AF19&lt;=0),"Escolha CATEGORIA DE EFEITO",""),IF(AND(AB19&lt;&gt;"",NOT(IFERROR(AND(ISNUMBER(AB19),NOT(ISLOGICAL(AB19)),AB19=INT(AB19),AB19&gt;=1,AB19&lt;=3),FALSE))),"CATEGORIA DE EFEITO deve ser 1, 2 ou 3",""),IF(ISLOGICAL(AE19),"","MESTRE VIU deve ser caixa de seleção")))</f>
        <v/>
      </c>
      <c r="AI19">
        <f>IF(AND(Z5&lt;&gt;"",AG5=""),Z5,"")</f>
        <v/>
      </c>
      <c r="AJ19">
        <f>IF(AI19="",0,IF(AB5="",IF(AF5&gt;0,INDEX('DADOS_ENTIDADES'!$AJ$2:$AJ$15,AF5),0),VALUE(AB5&amp;"")))</f>
        <v/>
      </c>
      <c r="AK19">
        <f>IF(AI19="","",IF(AD5="",IF(AF5&gt;0,INDEX('DADOS_ENTIDADES'!$AK$2:$AK$15,AF5),""),AD5)&amp;IF(AC5="","",CHAR(10)&amp;"Requisitos: "&amp;AC5))</f>
        <v/>
      </c>
      <c r="AL19">
        <f>IF(AND(AI19&lt;&gt;"",AJ19=1),AI19,"")</f>
        <v/>
      </c>
    </row>
    <row r="20">
      <c r="Y20" t="n">
        <v>19</v>
      </c>
      <c r="Z20">
        <f>IF(ISBLANK('CONFIGURAÇÃO'!$B$2784),"",'CONFIGURAÇÃO'!$B$2784)</f>
        <v/>
      </c>
      <c r="AA20">
        <f>IF(ISBLANK('CONFIGURAÇÃO'!$E$2786),"",'CONFIGURAÇÃO'!$E$2786)</f>
        <v/>
      </c>
      <c r="AB20">
        <f>IF(ISBLANK('CONFIGURAÇÃO'!$E$2787),"",'CONFIGURAÇÃO'!$E$2787)</f>
        <v/>
      </c>
      <c r="AC20">
        <f>IF(ISBLANK('CONFIGURAÇÃO'!$B$2794),"",'CONFIGURAÇÃO'!$B$2794)</f>
        <v/>
      </c>
      <c r="AD20">
        <f>IF(ISBLANK('CONFIGURAÇÃO'!$B$2799),"",'CONFIGURAÇÃO'!$B$2799)</f>
        <v/>
      </c>
      <c r="AE20">
        <f>IF(ISBLANK('CONFIGURAÇÃO'!$F$2784),"",'CONFIGURAÇÃO'!$F$2784)</f>
        <v/>
      </c>
      <c r="AF20">
        <f>IF(OR(AA20="",AA20="Nenhuma"),0,IFERROR(MATCH(SUBSTITUTE(SUBSTITUTE(SUBSTITUTE(AA20,"~","~~"),"*","~*"),"?","~?"),'DADOS_ENTIDADES'!$AI$2:$AI$15,0),-1))</f>
        <v/>
      </c>
      <c r="AG20">
        <f>IF(Z20="",IF(OR(AB20&lt;&gt;"",AC20&lt;&gt;"",AD20&lt;&gt;"",AE20=TRUE,AND(AA20&lt;&gt;"",AA20&lt;&gt;"Nenhuma")),"Preencha NOME",""),TEXTJOIN(" · ",TRUE,IF(OR(NOT(ISTEXT(Z20)),TRIM(Z20)&lt;&gt;Z20),"NOME precisa ser texto sem espaços nas pontas",""),IF(COUNTIF('DADOS_ENTIDADES'!$Z$2:$Z$21,SUBSTITUTE(SUBSTITUTE(SUBSTITUTE(Z20,"~","~~"),"*","~*"),"?","~?"))+COUNTIF('DADOS_ENTIDADES'!$AI$2:$AI$15,SUBSTITUTE(SUBSTITUTE(SUBSTITUTE(Z20,"~","~~"),"*","~*"),"?","~?"))&gt;1,"Nome repetido no livro ou custom",""),IF(AF20&lt;0,"Escolha uma BASE DO LIVRO válida",""),IF(AND(AB20="",AF20&lt;=0),"Escolha CATEGORIA DE EFEITO",""),IF(AND(AB20&lt;&gt;"",NOT(IFERROR(AND(ISNUMBER(AB20),NOT(ISLOGICAL(AB20)),AB20=INT(AB20),AB20&gt;=1,AB20&lt;=3),FALSE))),"CATEGORIA DE EFEITO deve ser 1, 2 ou 3",""),IF(ISLOGICAL(AE20),"","MESTRE VIU deve ser caixa de seleção")))</f>
        <v/>
      </c>
      <c r="AI20">
        <f>IF(AND(Z6&lt;&gt;"",AG6=""),Z6,"")</f>
        <v/>
      </c>
      <c r="AJ20">
        <f>IF(AI20="",0,IF(AB6="",IF(AF6&gt;0,INDEX('DADOS_ENTIDADES'!$AJ$2:$AJ$15,AF6),0),VALUE(AB6&amp;"")))</f>
        <v/>
      </c>
      <c r="AK20">
        <f>IF(AI20="","",IF(AD6="",IF(AF6&gt;0,INDEX('DADOS_ENTIDADES'!$AK$2:$AK$15,AF6),""),AD6)&amp;IF(AC6="","",CHAR(10)&amp;"Requisitos: "&amp;AC6))</f>
        <v/>
      </c>
      <c r="AL20">
        <f>IF(AND(AI20&lt;&gt;"",AJ20=1),AI20,"")</f>
        <v/>
      </c>
    </row>
    <row r="21">
      <c r="Y21" t="n">
        <v>20</v>
      </c>
      <c r="Z21">
        <f>IF(ISBLANK('CONFIGURAÇÃO'!$J$2784),"",'CONFIGURAÇÃO'!$J$2784)</f>
        <v/>
      </c>
      <c r="AA21">
        <f>IF(ISBLANK('CONFIGURAÇÃO'!$M$2786),"",'CONFIGURAÇÃO'!$M$2786)</f>
        <v/>
      </c>
      <c r="AB21">
        <f>IF(ISBLANK('CONFIGURAÇÃO'!$M$2787),"",'CONFIGURAÇÃO'!$M$2787)</f>
        <v/>
      </c>
      <c r="AC21">
        <f>IF(ISBLANK('CONFIGURAÇÃO'!$J$2794),"",'CONFIGURAÇÃO'!$J$2794)</f>
        <v/>
      </c>
      <c r="AD21">
        <f>IF(ISBLANK('CONFIGURAÇÃO'!$J$2799),"",'CONFIGURAÇÃO'!$J$2799)</f>
        <v/>
      </c>
      <c r="AE21">
        <f>IF(ISBLANK('CONFIGURAÇÃO'!$N$2784),"",'CONFIGURAÇÃO'!$N$2784)</f>
        <v/>
      </c>
      <c r="AF21">
        <f>IF(OR(AA21="",AA21="Nenhuma"),0,IFERROR(MATCH(SUBSTITUTE(SUBSTITUTE(SUBSTITUTE(AA21,"~","~~"),"*","~*"),"?","~?"),'DADOS_ENTIDADES'!$AI$2:$AI$15,0),-1))</f>
        <v/>
      </c>
      <c r="AG21">
        <f>IF(Z21="",IF(OR(AB21&lt;&gt;"",AC21&lt;&gt;"",AD21&lt;&gt;"",AE21=TRUE,AND(AA21&lt;&gt;"",AA21&lt;&gt;"Nenhuma")),"Preencha NOME",""),TEXTJOIN(" · ",TRUE,IF(OR(NOT(ISTEXT(Z21)),TRIM(Z21)&lt;&gt;Z21),"NOME precisa ser texto sem espaços nas pontas",""),IF(COUNTIF('DADOS_ENTIDADES'!$Z$2:$Z$21,SUBSTITUTE(SUBSTITUTE(SUBSTITUTE(Z21,"~","~~"),"*","~*"),"?","~?"))+COUNTIF('DADOS_ENTIDADES'!$AI$2:$AI$15,SUBSTITUTE(SUBSTITUTE(SUBSTITUTE(Z21,"~","~~"),"*","~*"),"?","~?"))&gt;1,"Nome repetido no livro ou custom",""),IF(AF21&lt;0,"Escolha uma BASE DO LIVRO válida",""),IF(AND(AB21="",AF21&lt;=0),"Escolha CATEGORIA DE EFEITO",""),IF(AND(AB21&lt;&gt;"",NOT(IFERROR(AND(ISNUMBER(AB21),NOT(ISLOGICAL(AB21)),AB21=INT(AB21),AB21&gt;=1,AB21&lt;=3),FALSE))),"CATEGORIA DE EFEITO deve ser 1, 2 ou 3",""),IF(ISLOGICAL(AE21),"","MESTRE VIU deve ser caixa de seleção")))</f>
        <v/>
      </c>
      <c r="AI21">
        <f>IF(AND(Z7&lt;&gt;"",AG7=""),Z7,"")</f>
        <v/>
      </c>
      <c r="AJ21">
        <f>IF(AI21="",0,IF(AB7="",IF(AF7&gt;0,INDEX('DADOS_ENTIDADES'!$AJ$2:$AJ$15,AF7),0),VALUE(AB7&amp;"")))</f>
        <v/>
      </c>
      <c r="AK21">
        <f>IF(AI21="","",IF(AD7="",IF(AF7&gt;0,INDEX('DADOS_ENTIDADES'!$AK$2:$AK$15,AF7),""),AD7)&amp;IF(AC7="","",CHAR(10)&amp;"Requisitos: "&amp;AC7))</f>
        <v/>
      </c>
      <c r="AL21">
        <f>IF(AND(AI21&lt;&gt;"",AJ21=1),AI21,"")</f>
        <v/>
      </c>
    </row>
    <row r="22">
      <c r="AI22">
        <f>IF(AND(Z8&lt;&gt;"",AG8=""),Z8,"")</f>
        <v/>
      </c>
      <c r="AJ22">
        <f>IF(AI22="",0,IF(AB8="",IF(AF8&gt;0,INDEX('DADOS_ENTIDADES'!$AJ$2:$AJ$15,AF8),0),VALUE(AB8&amp;"")))</f>
        <v/>
      </c>
      <c r="AK22">
        <f>IF(AI22="","",IF(AD8="",IF(AF8&gt;0,INDEX('DADOS_ENTIDADES'!$AK$2:$AK$15,AF8),""),AD8)&amp;IF(AC8="","",CHAR(10)&amp;"Requisitos: "&amp;AC8))</f>
        <v/>
      </c>
      <c r="AL22">
        <f>IF(AND(AI22&lt;&gt;"",AJ22=1),AI22,"")</f>
        <v/>
      </c>
    </row>
    <row r="23">
      <c r="AI23">
        <f>IF(AND(Z9&lt;&gt;"",AG9=""),Z9,"")</f>
        <v/>
      </c>
      <c r="AJ23">
        <f>IF(AI23="",0,IF(AB9="",IF(AF9&gt;0,INDEX('DADOS_ENTIDADES'!$AJ$2:$AJ$15,AF9),0),VALUE(AB9&amp;"")))</f>
        <v/>
      </c>
      <c r="AK23">
        <f>IF(AI23="","",IF(AD9="",IF(AF9&gt;0,INDEX('DADOS_ENTIDADES'!$AK$2:$AK$15,AF9),""),AD9)&amp;IF(AC9="","",CHAR(10)&amp;"Requisitos: "&amp;AC9))</f>
        <v/>
      </c>
      <c r="AL23">
        <f>IF(AND(AI23&lt;&gt;"",AJ23=1),AI23,"")</f>
        <v/>
      </c>
    </row>
    <row r="24">
      <c r="AI24">
        <f>IF(AND(Z10&lt;&gt;"",AG10=""),Z10,"")</f>
        <v/>
      </c>
      <c r="AJ24">
        <f>IF(AI24="",0,IF(AB10="",IF(AF10&gt;0,INDEX('DADOS_ENTIDADES'!$AJ$2:$AJ$15,AF10),0),VALUE(AB10&amp;"")))</f>
        <v/>
      </c>
      <c r="AK24">
        <f>IF(AI24="","",IF(AD10="",IF(AF10&gt;0,INDEX('DADOS_ENTIDADES'!$AK$2:$AK$15,AF10),""),AD10)&amp;IF(AC10="","",CHAR(10)&amp;"Requisitos: "&amp;AC10))</f>
        <v/>
      </c>
      <c r="AL24">
        <f>IF(AND(AI24&lt;&gt;"",AJ24=1),AI24,"")</f>
        <v/>
      </c>
    </row>
    <row r="25">
      <c r="AI25">
        <f>IF(AND(Z11&lt;&gt;"",AG11=""),Z11,"")</f>
        <v/>
      </c>
      <c r="AJ25">
        <f>IF(AI25="",0,IF(AB11="",IF(AF11&gt;0,INDEX('DADOS_ENTIDADES'!$AJ$2:$AJ$15,AF11),0),VALUE(AB11&amp;"")))</f>
        <v/>
      </c>
      <c r="AK25">
        <f>IF(AI25="","",IF(AD11="",IF(AF11&gt;0,INDEX('DADOS_ENTIDADES'!$AK$2:$AK$15,AF11),""),AD11)&amp;IF(AC11="","",CHAR(10)&amp;"Requisitos: "&amp;AC11))</f>
        <v/>
      </c>
      <c r="AL25">
        <f>IF(AND(AI25&lt;&gt;"",AJ25=1),AI25,"")</f>
        <v/>
      </c>
    </row>
    <row r="26">
      <c r="AI26">
        <f>IF(AND(Z12&lt;&gt;"",AG12=""),Z12,"")</f>
        <v/>
      </c>
      <c r="AJ26">
        <f>IF(AI26="",0,IF(AB12="",IF(AF12&gt;0,INDEX('DADOS_ENTIDADES'!$AJ$2:$AJ$15,AF12),0),VALUE(AB12&amp;"")))</f>
        <v/>
      </c>
      <c r="AK26">
        <f>IF(AI26="","",IF(AD12="",IF(AF12&gt;0,INDEX('DADOS_ENTIDADES'!$AK$2:$AK$15,AF12),""),AD12)&amp;IF(AC12="","",CHAR(10)&amp;"Requisitos: "&amp;AC12))</f>
        <v/>
      </c>
      <c r="AL26">
        <f>IF(AND(AI26&lt;&gt;"",AJ26=1),AI26,"")</f>
        <v/>
      </c>
    </row>
    <row r="27">
      <c r="AI27">
        <f>IF(AND(Z13&lt;&gt;"",AG13=""),Z13,"")</f>
        <v/>
      </c>
      <c r="AJ27">
        <f>IF(AI27="",0,IF(AB13="",IF(AF13&gt;0,INDEX('DADOS_ENTIDADES'!$AJ$2:$AJ$15,AF13),0),VALUE(AB13&amp;"")))</f>
        <v/>
      </c>
      <c r="AK27">
        <f>IF(AI27="","",IF(AD13="",IF(AF13&gt;0,INDEX('DADOS_ENTIDADES'!$AK$2:$AK$15,AF13),""),AD13)&amp;IF(AC13="","",CHAR(10)&amp;"Requisitos: "&amp;AC13))</f>
        <v/>
      </c>
      <c r="AL27">
        <f>IF(AND(AI27&lt;&gt;"",AJ27=1),AI27,"")</f>
        <v/>
      </c>
    </row>
    <row r="28">
      <c r="AI28">
        <f>IF(AND(Z14&lt;&gt;"",AG14=""),Z14,"")</f>
        <v/>
      </c>
      <c r="AJ28">
        <f>IF(AI28="",0,IF(AB14="",IF(AF14&gt;0,INDEX('DADOS_ENTIDADES'!$AJ$2:$AJ$15,AF14),0),VALUE(AB14&amp;"")))</f>
        <v/>
      </c>
      <c r="AK28">
        <f>IF(AI28="","",IF(AD14="",IF(AF14&gt;0,INDEX('DADOS_ENTIDADES'!$AK$2:$AK$15,AF14),""),AD14)&amp;IF(AC14="","",CHAR(10)&amp;"Requisitos: "&amp;AC14))</f>
        <v/>
      </c>
      <c r="AL28">
        <f>IF(AND(AI28&lt;&gt;"",AJ28=1),AI28,"")</f>
        <v/>
      </c>
    </row>
    <row r="29">
      <c r="AI29">
        <f>IF(AND(Z15&lt;&gt;"",AG15=""),Z15,"")</f>
        <v/>
      </c>
      <c r="AJ29">
        <f>IF(AI29="",0,IF(AB15="",IF(AF15&gt;0,INDEX('DADOS_ENTIDADES'!$AJ$2:$AJ$15,AF15),0),VALUE(AB15&amp;"")))</f>
        <v/>
      </c>
      <c r="AK29">
        <f>IF(AI29="","",IF(AD15="",IF(AF15&gt;0,INDEX('DADOS_ENTIDADES'!$AK$2:$AK$15,AF15),""),AD15)&amp;IF(AC15="","",CHAR(10)&amp;"Requisitos: "&amp;AC15))</f>
        <v/>
      </c>
      <c r="AL29">
        <f>IF(AND(AI29&lt;&gt;"",AJ29=1),AI29,"")</f>
        <v/>
      </c>
    </row>
    <row r="30">
      <c r="AI30">
        <f>IF(AND(Z16&lt;&gt;"",AG16=""),Z16,"")</f>
        <v/>
      </c>
      <c r="AJ30">
        <f>IF(AI30="",0,IF(AB16="",IF(AF16&gt;0,INDEX('DADOS_ENTIDADES'!$AJ$2:$AJ$15,AF16),0),VALUE(AB16&amp;"")))</f>
        <v/>
      </c>
      <c r="AK30">
        <f>IF(AI30="","",IF(AD16="",IF(AF16&gt;0,INDEX('DADOS_ENTIDADES'!$AK$2:$AK$15,AF16),""),AD16)&amp;IF(AC16="","",CHAR(10)&amp;"Requisitos: "&amp;AC16))</f>
        <v/>
      </c>
      <c r="AL30">
        <f>IF(AND(AI30&lt;&gt;"",AJ30=1),AI30,"")</f>
        <v/>
      </c>
    </row>
    <row r="31">
      <c r="AI31">
        <f>IF(AND(Z17&lt;&gt;"",AG17=""),Z17,"")</f>
        <v/>
      </c>
      <c r="AJ31">
        <f>IF(AI31="",0,IF(AB17="",IF(AF17&gt;0,INDEX('DADOS_ENTIDADES'!$AJ$2:$AJ$15,AF17),0),VALUE(AB17&amp;"")))</f>
        <v/>
      </c>
      <c r="AK31">
        <f>IF(AI31="","",IF(AD17="",IF(AF17&gt;0,INDEX('DADOS_ENTIDADES'!$AK$2:$AK$15,AF17),""),AD17)&amp;IF(AC17="","",CHAR(10)&amp;"Requisitos: "&amp;AC17))</f>
        <v/>
      </c>
      <c r="AL31">
        <f>IF(AND(AI31&lt;&gt;"",AJ31=1),AI31,"")</f>
        <v/>
      </c>
    </row>
    <row r="32">
      <c r="AI32">
        <f>IF(AND(Z18&lt;&gt;"",AG18=""),Z18,"")</f>
        <v/>
      </c>
      <c r="AJ32">
        <f>IF(AI32="",0,IF(AB18="",IF(AF18&gt;0,INDEX('DADOS_ENTIDADES'!$AJ$2:$AJ$15,AF18),0),VALUE(AB18&amp;"")))</f>
        <v/>
      </c>
      <c r="AK32">
        <f>IF(AI32="","",IF(AD18="",IF(AF18&gt;0,INDEX('DADOS_ENTIDADES'!$AK$2:$AK$15,AF18),""),AD18)&amp;IF(AC18="","",CHAR(10)&amp;"Requisitos: "&amp;AC18))</f>
        <v/>
      </c>
      <c r="AL32">
        <f>IF(AND(AI32&lt;&gt;"",AJ32=1),AI32,"")</f>
        <v/>
      </c>
    </row>
    <row r="33">
      <c r="AI33">
        <f>IF(AND(Z19&lt;&gt;"",AG19=""),Z19,"")</f>
        <v/>
      </c>
      <c r="AJ33">
        <f>IF(AI33="",0,IF(AB19="",IF(AF19&gt;0,INDEX('DADOS_ENTIDADES'!$AJ$2:$AJ$15,AF19),0),VALUE(AB19&amp;"")))</f>
        <v/>
      </c>
      <c r="AK33">
        <f>IF(AI33="","",IF(AD19="",IF(AF19&gt;0,INDEX('DADOS_ENTIDADES'!$AK$2:$AK$15,AF19),""),AD19)&amp;IF(AC19="","",CHAR(10)&amp;"Requisitos: "&amp;AC19))</f>
        <v/>
      </c>
      <c r="AL33">
        <f>IF(AND(AI33&lt;&gt;"",AJ33=1),AI33,"")</f>
        <v/>
      </c>
    </row>
    <row r="34">
      <c r="AI34">
        <f>IF(AND(Z20&lt;&gt;"",AG20=""),Z20,"")</f>
        <v/>
      </c>
      <c r="AJ34">
        <f>IF(AI34="",0,IF(AB20="",IF(AF20&gt;0,INDEX('DADOS_ENTIDADES'!$AJ$2:$AJ$15,AF20),0),VALUE(AB20&amp;"")))</f>
        <v/>
      </c>
      <c r="AK34">
        <f>IF(AI34="","",IF(AD20="",IF(AF20&gt;0,INDEX('DADOS_ENTIDADES'!$AK$2:$AK$15,AF20),""),AD20)&amp;IF(AC20="","",CHAR(10)&amp;"Requisitos: "&amp;AC20))</f>
        <v/>
      </c>
      <c r="AL34">
        <f>IF(AND(AI34&lt;&gt;"",AJ34=1),AI34,"")</f>
        <v/>
      </c>
    </row>
    <row r="35">
      <c r="AI35">
        <f>IF(AND(Z21&lt;&gt;"",AG21=""),Z21,"")</f>
        <v/>
      </c>
      <c r="AJ35">
        <f>IF(AI35="",0,IF(AB21="",IF(AF21&gt;0,INDEX('DADOS_ENTIDADES'!$AJ$2:$AJ$15,AF21),0),VALUE(AB21&amp;"")))</f>
        <v/>
      </c>
      <c r="AK35">
        <f>IF(AI35="","",IF(AD21="",IF(AF21&gt;0,INDEX('DADOS_ENTIDADES'!$AK$2:$AK$15,AF21),""),AD21)&amp;IF(AC21="","",CHAR(10)&amp;"Requisitos: "&amp;AC21))</f>
        <v/>
      </c>
      <c r="AL35">
        <f>IF(AND(AI35&lt;&gt;"",AJ35=1),AI35,"")</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8191"/>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11</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custom.pericia.1.tipo</t>
        </is>
      </c>
      <c r="B6327" s="194">
        <f>IF(ISBLANK('CONFIGURAÇÃO'!$B$799),"",'CONFIGURAÇÃO'!$B$799&amp;"")</f>
        <v/>
      </c>
      <c r="C6327" s="194">
        <f>"'CONFIGURAÇÃO'!B799"</f>
        <v/>
      </c>
      <c r="D6327" s="194" t="inlineStr">
        <is>
          <t>configuração</t>
        </is>
      </c>
    </row>
    <row r="6328">
      <c r="A6328" s="194" t="inlineStr">
        <is>
          <t>custom.pericia.1.nome</t>
        </is>
      </c>
      <c r="B6328" s="194">
        <f>IF(ISBLANK('CONFIGURAÇÃO'!$B$801),"",'CONFIGURAÇÃO'!$B$801&amp;"")</f>
        <v/>
      </c>
      <c r="C6328" s="194">
        <f>"'CONFIGURAÇÃO'!B801"</f>
        <v/>
      </c>
      <c r="D6328" s="194" t="inlineStr">
        <is>
          <t>configuração</t>
        </is>
      </c>
    </row>
    <row r="6329">
      <c r="A6329" s="194" t="inlineStr">
        <is>
          <t>custom.pericia.1.mestre_viu</t>
        </is>
      </c>
      <c r="B6329" s="194">
        <f>N('CONFIGURAÇÃO'!$F$799)&amp;""</f>
        <v/>
      </c>
      <c r="C6329" s="194">
        <f>"'CONFIGURAÇÃO'!F799"</f>
        <v/>
      </c>
      <c r="D6329" s="194" t="inlineStr">
        <is>
          <t>configuração</t>
        </is>
      </c>
    </row>
    <row r="6330">
      <c r="A6330" s="194" t="inlineStr">
        <is>
          <t>custom.pericia.1.atributo</t>
        </is>
      </c>
      <c r="B6330" s="194">
        <f>IF(ISBLANK('CONFIGURAÇÃO'!$E$802),"",'CONFIGURAÇÃO'!$E$802&amp;"")</f>
        <v/>
      </c>
      <c r="C6330" s="194">
        <f>"'CONFIGURAÇÃO'!E802"</f>
        <v/>
      </c>
      <c r="D6330" s="194" t="inlineStr">
        <is>
          <t>configuração</t>
        </is>
      </c>
    </row>
    <row r="6331">
      <c r="A6331" s="194" t="inlineStr">
        <is>
          <t>custom.pericia.1.efeito</t>
        </is>
      </c>
      <c r="B6331" s="194">
        <f>IF(ISBLANK('CONFIGURAÇÃO'!$B$804),"",'CONFIGURAÇÃO'!$B$804&amp;"")</f>
        <v/>
      </c>
      <c r="C6331" s="194">
        <f>"'CONFIGURAÇÃO'!B804"</f>
        <v/>
      </c>
      <c r="D6331" s="194" t="inlineStr">
        <is>
          <t>configuração</t>
        </is>
      </c>
    </row>
    <row r="6332">
      <c r="A6332" s="194" t="inlineStr">
        <is>
          <t>custom.pericia.2.tipo</t>
        </is>
      </c>
      <c r="B6332" s="194">
        <f>IF(ISBLANK('CONFIGURAÇÃO'!$J$799),"",'CONFIGURAÇÃO'!$J$799&amp;"")</f>
        <v/>
      </c>
      <c r="C6332" s="194">
        <f>"'CONFIGURAÇÃO'!J799"</f>
        <v/>
      </c>
      <c r="D6332" s="194" t="inlineStr">
        <is>
          <t>configuração</t>
        </is>
      </c>
    </row>
    <row r="6333">
      <c r="A6333" s="194" t="inlineStr">
        <is>
          <t>custom.pericia.2.nome</t>
        </is>
      </c>
      <c r="B6333" s="194">
        <f>IF(ISBLANK('CONFIGURAÇÃO'!$J$801),"",'CONFIGURAÇÃO'!$J$801&amp;"")</f>
        <v/>
      </c>
      <c r="C6333" s="194">
        <f>"'CONFIGURAÇÃO'!J801"</f>
        <v/>
      </c>
      <c r="D6333" s="194" t="inlineStr">
        <is>
          <t>configuração</t>
        </is>
      </c>
    </row>
    <row r="6334">
      <c r="A6334" s="194" t="inlineStr">
        <is>
          <t>custom.pericia.2.mestre_viu</t>
        </is>
      </c>
      <c r="B6334" s="194">
        <f>N('CONFIGURAÇÃO'!$N$799)&amp;""</f>
        <v/>
      </c>
      <c r="C6334" s="194">
        <f>"'CONFIGURAÇÃO'!N799"</f>
        <v/>
      </c>
      <c r="D6334" s="194" t="inlineStr">
        <is>
          <t>configuração</t>
        </is>
      </c>
    </row>
    <row r="6335">
      <c r="A6335" s="194" t="inlineStr">
        <is>
          <t>custom.pericia.2.atributo</t>
        </is>
      </c>
      <c r="B6335" s="194">
        <f>IF(ISBLANK('CONFIGURAÇÃO'!$M$802),"",'CONFIGURAÇÃO'!$M$802&amp;"")</f>
        <v/>
      </c>
      <c r="C6335" s="194">
        <f>"'CONFIGURAÇÃO'!M802"</f>
        <v/>
      </c>
      <c r="D6335" s="194" t="inlineStr">
        <is>
          <t>configuração</t>
        </is>
      </c>
    </row>
    <row r="6336">
      <c r="A6336" s="194" t="inlineStr">
        <is>
          <t>custom.pericia.2.efeito</t>
        </is>
      </c>
      <c r="B6336" s="194">
        <f>IF(ISBLANK('CONFIGURAÇÃO'!$J$804),"",'CONFIGURAÇÃO'!$J$804&amp;"")</f>
        <v/>
      </c>
      <c r="C6336" s="194">
        <f>"'CONFIGURAÇÃO'!J804"</f>
        <v/>
      </c>
      <c r="D6336" s="194" t="inlineStr">
        <is>
          <t>configuração</t>
        </is>
      </c>
    </row>
    <row r="6337">
      <c r="A6337" s="194" t="inlineStr">
        <is>
          <t>custom.pericia.3.tipo</t>
        </is>
      </c>
      <c r="B6337" s="194">
        <f>IF(ISBLANK('CONFIGURAÇÃO'!$B$813),"",'CONFIGURAÇÃO'!$B$813&amp;"")</f>
        <v/>
      </c>
      <c r="C6337" s="194">
        <f>"'CONFIGURAÇÃO'!B813"</f>
        <v/>
      </c>
      <c r="D6337" s="194" t="inlineStr">
        <is>
          <t>configuração</t>
        </is>
      </c>
    </row>
    <row r="6338">
      <c r="A6338" s="194" t="inlineStr">
        <is>
          <t>custom.pericia.3.nome</t>
        </is>
      </c>
      <c r="B6338" s="194">
        <f>IF(ISBLANK('CONFIGURAÇÃO'!$B$815),"",'CONFIGURAÇÃO'!$B$815&amp;"")</f>
        <v/>
      </c>
      <c r="C6338" s="194">
        <f>"'CONFIGURAÇÃO'!B815"</f>
        <v/>
      </c>
      <c r="D6338" s="194" t="inlineStr">
        <is>
          <t>configuração</t>
        </is>
      </c>
    </row>
    <row r="6339">
      <c r="A6339" s="194" t="inlineStr">
        <is>
          <t>custom.pericia.3.mestre_viu</t>
        </is>
      </c>
      <c r="B6339" s="194">
        <f>N('CONFIGURAÇÃO'!$F$813)&amp;""</f>
        <v/>
      </c>
      <c r="C6339" s="194">
        <f>"'CONFIGURAÇÃO'!F813"</f>
        <v/>
      </c>
      <c r="D6339" s="194" t="inlineStr">
        <is>
          <t>configuração</t>
        </is>
      </c>
    </row>
    <row r="6340">
      <c r="A6340" s="194" t="inlineStr">
        <is>
          <t>custom.pericia.3.atributo</t>
        </is>
      </c>
      <c r="B6340" s="194">
        <f>IF(ISBLANK('CONFIGURAÇÃO'!$E$816),"",'CONFIGURAÇÃO'!$E$816&amp;"")</f>
        <v/>
      </c>
      <c r="C6340" s="194">
        <f>"'CONFIGURAÇÃO'!E816"</f>
        <v/>
      </c>
      <c r="D6340" s="194" t="inlineStr">
        <is>
          <t>configuração</t>
        </is>
      </c>
    </row>
    <row r="6341">
      <c r="A6341" s="194" t="inlineStr">
        <is>
          <t>custom.pericia.3.efeito</t>
        </is>
      </c>
      <c r="B6341" s="194">
        <f>IF(ISBLANK('CONFIGURAÇÃO'!$B$818),"",'CONFIGURAÇÃO'!$B$818&amp;"")</f>
        <v/>
      </c>
      <c r="C6341" s="194">
        <f>"'CONFIGURAÇÃO'!B818"</f>
        <v/>
      </c>
      <c r="D6341" s="194" t="inlineStr">
        <is>
          <t>configuração</t>
        </is>
      </c>
    </row>
    <row r="6342">
      <c r="A6342" s="194" t="inlineStr">
        <is>
          <t>custom.pericia.4.tipo</t>
        </is>
      </c>
      <c r="B6342" s="194">
        <f>IF(ISBLANK('CONFIGURAÇÃO'!$J$813),"",'CONFIGURAÇÃO'!$J$813&amp;"")</f>
        <v/>
      </c>
      <c r="C6342" s="194">
        <f>"'CONFIGURAÇÃO'!J813"</f>
        <v/>
      </c>
      <c r="D6342" s="194" t="inlineStr">
        <is>
          <t>configuração</t>
        </is>
      </c>
    </row>
    <row r="6343">
      <c r="A6343" s="194" t="inlineStr">
        <is>
          <t>custom.pericia.4.nome</t>
        </is>
      </c>
      <c r="B6343" s="194">
        <f>IF(ISBLANK('CONFIGURAÇÃO'!$J$815),"",'CONFIGURAÇÃO'!$J$815&amp;"")</f>
        <v/>
      </c>
      <c r="C6343" s="194">
        <f>"'CONFIGURAÇÃO'!J815"</f>
        <v/>
      </c>
      <c r="D6343" s="194" t="inlineStr">
        <is>
          <t>configuração</t>
        </is>
      </c>
    </row>
    <row r="6344">
      <c r="A6344" s="194" t="inlineStr">
        <is>
          <t>custom.pericia.4.mestre_viu</t>
        </is>
      </c>
      <c r="B6344" s="194">
        <f>N('CONFIGURAÇÃO'!$N$813)&amp;""</f>
        <v/>
      </c>
      <c r="C6344" s="194">
        <f>"'CONFIGURAÇÃO'!N813"</f>
        <v/>
      </c>
      <c r="D6344" s="194" t="inlineStr">
        <is>
          <t>configuração</t>
        </is>
      </c>
    </row>
    <row r="6345">
      <c r="A6345" s="194" t="inlineStr">
        <is>
          <t>custom.pericia.4.atributo</t>
        </is>
      </c>
      <c r="B6345" s="194">
        <f>IF(ISBLANK('CONFIGURAÇÃO'!$M$816),"",'CONFIGURAÇÃO'!$M$816&amp;"")</f>
        <v/>
      </c>
      <c r="C6345" s="194">
        <f>"'CONFIGURAÇÃO'!M816"</f>
        <v/>
      </c>
      <c r="D6345" s="194" t="inlineStr">
        <is>
          <t>configuração</t>
        </is>
      </c>
    </row>
    <row r="6346">
      <c r="A6346" s="194" t="inlineStr">
        <is>
          <t>custom.pericia.4.efeito</t>
        </is>
      </c>
      <c r="B6346" s="194">
        <f>IF(ISBLANK('CONFIGURAÇÃO'!$J$818),"",'CONFIGURAÇÃO'!$J$818&amp;"")</f>
        <v/>
      </c>
      <c r="C6346" s="194">
        <f>"'CONFIGURAÇÃO'!J818"</f>
        <v/>
      </c>
      <c r="D6346" s="194" t="inlineStr">
        <is>
          <t>configuração</t>
        </is>
      </c>
    </row>
    <row r="6347">
      <c r="A6347" s="194" t="inlineStr">
        <is>
          <t>custom.pericia.5.tipo</t>
        </is>
      </c>
      <c r="B6347" s="194">
        <f>IF(ISBLANK('CONFIGURAÇÃO'!$B$827),"",'CONFIGURAÇÃO'!$B$827&amp;"")</f>
        <v/>
      </c>
      <c r="C6347" s="194">
        <f>"'CONFIGURAÇÃO'!B827"</f>
        <v/>
      </c>
      <c r="D6347" s="194" t="inlineStr">
        <is>
          <t>configuração</t>
        </is>
      </c>
    </row>
    <row r="6348">
      <c r="A6348" s="194" t="inlineStr">
        <is>
          <t>custom.pericia.5.nome</t>
        </is>
      </c>
      <c r="B6348" s="194">
        <f>IF(ISBLANK('CONFIGURAÇÃO'!$B$829),"",'CONFIGURAÇÃO'!$B$829&amp;"")</f>
        <v/>
      </c>
      <c r="C6348" s="194">
        <f>"'CONFIGURAÇÃO'!B829"</f>
        <v/>
      </c>
      <c r="D6348" s="194" t="inlineStr">
        <is>
          <t>configuração</t>
        </is>
      </c>
    </row>
    <row r="6349">
      <c r="A6349" s="194" t="inlineStr">
        <is>
          <t>custom.pericia.5.mestre_viu</t>
        </is>
      </c>
      <c r="B6349" s="194">
        <f>N('CONFIGURAÇÃO'!$F$827)&amp;""</f>
        <v/>
      </c>
      <c r="C6349" s="194">
        <f>"'CONFIGURAÇÃO'!F827"</f>
        <v/>
      </c>
      <c r="D6349" s="194" t="inlineStr">
        <is>
          <t>configuração</t>
        </is>
      </c>
    </row>
    <row r="6350">
      <c r="A6350" s="194" t="inlineStr">
        <is>
          <t>custom.pericia.5.atributo</t>
        </is>
      </c>
      <c r="B6350" s="194">
        <f>IF(ISBLANK('CONFIGURAÇÃO'!$E$830),"",'CONFIGURAÇÃO'!$E$830&amp;"")</f>
        <v/>
      </c>
      <c r="C6350" s="194">
        <f>"'CONFIGURAÇÃO'!E830"</f>
        <v/>
      </c>
      <c r="D6350" s="194" t="inlineStr">
        <is>
          <t>configuração</t>
        </is>
      </c>
    </row>
    <row r="6351">
      <c r="A6351" s="194" t="inlineStr">
        <is>
          <t>custom.pericia.5.efeito</t>
        </is>
      </c>
      <c r="B6351" s="194">
        <f>IF(ISBLANK('CONFIGURAÇÃO'!$B$832),"",'CONFIGURAÇÃO'!$B$832&amp;"")</f>
        <v/>
      </c>
      <c r="C6351" s="194">
        <f>"'CONFIGURAÇÃO'!B832"</f>
        <v/>
      </c>
      <c r="D6351" s="194" t="inlineStr">
        <is>
          <t>configuração</t>
        </is>
      </c>
    </row>
    <row r="6352">
      <c r="A6352" s="194" t="inlineStr">
        <is>
          <t>custom.pericia.6.tipo</t>
        </is>
      </c>
      <c r="B6352" s="194">
        <f>IF(ISBLANK('CONFIGURAÇÃO'!$J$827),"",'CONFIGURAÇÃO'!$J$827&amp;"")</f>
        <v/>
      </c>
      <c r="C6352" s="194">
        <f>"'CONFIGURAÇÃO'!J827"</f>
        <v/>
      </c>
      <c r="D6352" s="194" t="inlineStr">
        <is>
          <t>configuração</t>
        </is>
      </c>
    </row>
    <row r="6353">
      <c r="A6353" s="194" t="inlineStr">
        <is>
          <t>custom.pericia.6.nome</t>
        </is>
      </c>
      <c r="B6353" s="194">
        <f>IF(ISBLANK('CONFIGURAÇÃO'!$J$829),"",'CONFIGURAÇÃO'!$J$829&amp;"")</f>
        <v/>
      </c>
      <c r="C6353" s="194">
        <f>"'CONFIGURAÇÃO'!J829"</f>
        <v/>
      </c>
      <c r="D6353" s="194" t="inlineStr">
        <is>
          <t>configuração</t>
        </is>
      </c>
    </row>
    <row r="6354">
      <c r="A6354" s="194" t="inlineStr">
        <is>
          <t>custom.pericia.6.mestre_viu</t>
        </is>
      </c>
      <c r="B6354" s="194">
        <f>N('CONFIGURAÇÃO'!$N$827)&amp;""</f>
        <v/>
      </c>
      <c r="C6354" s="194">
        <f>"'CONFIGURAÇÃO'!N827"</f>
        <v/>
      </c>
      <c r="D6354" s="194" t="inlineStr">
        <is>
          <t>configuração</t>
        </is>
      </c>
    </row>
    <row r="6355">
      <c r="A6355" s="194" t="inlineStr">
        <is>
          <t>custom.pericia.6.atributo</t>
        </is>
      </c>
      <c r="B6355" s="194">
        <f>IF(ISBLANK('CONFIGURAÇÃO'!$M$830),"",'CONFIGURAÇÃO'!$M$830&amp;"")</f>
        <v/>
      </c>
      <c r="C6355" s="194">
        <f>"'CONFIGURAÇÃO'!M830"</f>
        <v/>
      </c>
      <c r="D6355" s="194" t="inlineStr">
        <is>
          <t>configuração</t>
        </is>
      </c>
    </row>
    <row r="6356">
      <c r="A6356" s="194" t="inlineStr">
        <is>
          <t>custom.pericia.6.efeito</t>
        </is>
      </c>
      <c r="B6356" s="194">
        <f>IF(ISBLANK('CONFIGURAÇÃO'!$J$832),"",'CONFIGURAÇÃO'!$J$832&amp;"")</f>
        <v/>
      </c>
      <c r="C6356" s="194">
        <f>"'CONFIGURAÇÃO'!J832"</f>
        <v/>
      </c>
      <c r="D6356" s="194" t="inlineStr">
        <is>
          <t>configuração</t>
        </is>
      </c>
    </row>
    <row r="6357">
      <c r="A6357" s="194" t="inlineStr">
        <is>
          <t>custom.pericia.7.tipo</t>
        </is>
      </c>
      <c r="B6357" s="194">
        <f>IF(ISBLANK('CONFIGURAÇÃO'!$B$841),"",'CONFIGURAÇÃO'!$B$841&amp;"")</f>
        <v/>
      </c>
      <c r="C6357" s="194">
        <f>"'CONFIGURAÇÃO'!B841"</f>
        <v/>
      </c>
      <c r="D6357" s="194" t="inlineStr">
        <is>
          <t>configuração</t>
        </is>
      </c>
    </row>
    <row r="6358">
      <c r="A6358" s="194" t="inlineStr">
        <is>
          <t>custom.pericia.7.nome</t>
        </is>
      </c>
      <c r="B6358" s="194">
        <f>IF(ISBLANK('CONFIGURAÇÃO'!$B$843),"",'CONFIGURAÇÃO'!$B$843&amp;"")</f>
        <v/>
      </c>
      <c r="C6358" s="194">
        <f>"'CONFIGURAÇÃO'!B843"</f>
        <v/>
      </c>
      <c r="D6358" s="194" t="inlineStr">
        <is>
          <t>configuração</t>
        </is>
      </c>
    </row>
    <row r="6359">
      <c r="A6359" s="194" t="inlineStr">
        <is>
          <t>custom.pericia.7.mestre_viu</t>
        </is>
      </c>
      <c r="B6359" s="194">
        <f>N('CONFIGURAÇÃO'!$F$841)&amp;""</f>
        <v/>
      </c>
      <c r="C6359" s="194">
        <f>"'CONFIGURAÇÃO'!F841"</f>
        <v/>
      </c>
      <c r="D6359" s="194" t="inlineStr">
        <is>
          <t>configuração</t>
        </is>
      </c>
    </row>
    <row r="6360">
      <c r="A6360" s="194" t="inlineStr">
        <is>
          <t>custom.pericia.7.atributo</t>
        </is>
      </c>
      <c r="B6360" s="194">
        <f>IF(ISBLANK('CONFIGURAÇÃO'!$E$844),"",'CONFIGURAÇÃO'!$E$844&amp;"")</f>
        <v/>
      </c>
      <c r="C6360" s="194">
        <f>"'CONFIGURAÇÃO'!E844"</f>
        <v/>
      </c>
      <c r="D6360" s="194" t="inlineStr">
        <is>
          <t>configuração</t>
        </is>
      </c>
    </row>
    <row r="6361">
      <c r="A6361" s="194" t="inlineStr">
        <is>
          <t>custom.pericia.7.efeito</t>
        </is>
      </c>
      <c r="B6361" s="194">
        <f>IF(ISBLANK('CONFIGURAÇÃO'!$B$846),"",'CONFIGURAÇÃO'!$B$846&amp;"")</f>
        <v/>
      </c>
      <c r="C6361" s="194">
        <f>"'CONFIGURAÇÃO'!B846"</f>
        <v/>
      </c>
      <c r="D6361" s="194" t="inlineStr">
        <is>
          <t>configuração</t>
        </is>
      </c>
    </row>
    <row r="6362">
      <c r="A6362" s="194" t="inlineStr">
        <is>
          <t>custom.pericia.8.tipo</t>
        </is>
      </c>
      <c r="B6362" s="194">
        <f>IF(ISBLANK('CONFIGURAÇÃO'!$J$841),"",'CONFIGURAÇÃO'!$J$841&amp;"")</f>
        <v/>
      </c>
      <c r="C6362" s="194">
        <f>"'CONFIGURAÇÃO'!J841"</f>
        <v/>
      </c>
      <c r="D6362" s="194" t="inlineStr">
        <is>
          <t>configuração</t>
        </is>
      </c>
    </row>
    <row r="6363">
      <c r="A6363" s="194" t="inlineStr">
        <is>
          <t>custom.pericia.8.nome</t>
        </is>
      </c>
      <c r="B6363" s="194">
        <f>IF(ISBLANK('CONFIGURAÇÃO'!$J$843),"",'CONFIGURAÇÃO'!$J$843&amp;"")</f>
        <v/>
      </c>
      <c r="C6363" s="194">
        <f>"'CONFIGURAÇÃO'!J843"</f>
        <v/>
      </c>
      <c r="D6363" s="194" t="inlineStr">
        <is>
          <t>configuração</t>
        </is>
      </c>
    </row>
    <row r="6364">
      <c r="A6364" s="194" t="inlineStr">
        <is>
          <t>custom.pericia.8.mestre_viu</t>
        </is>
      </c>
      <c r="B6364" s="194">
        <f>N('CONFIGURAÇÃO'!$N$841)&amp;""</f>
        <v/>
      </c>
      <c r="C6364" s="194">
        <f>"'CONFIGURAÇÃO'!N841"</f>
        <v/>
      </c>
      <c r="D6364" s="194" t="inlineStr">
        <is>
          <t>configuração</t>
        </is>
      </c>
    </row>
    <row r="6365">
      <c r="A6365" s="194" t="inlineStr">
        <is>
          <t>custom.pericia.8.atributo</t>
        </is>
      </c>
      <c r="B6365" s="194">
        <f>IF(ISBLANK('CONFIGURAÇÃO'!$M$844),"",'CONFIGURAÇÃO'!$M$844&amp;"")</f>
        <v/>
      </c>
      <c r="C6365" s="194">
        <f>"'CONFIGURAÇÃO'!M844"</f>
        <v/>
      </c>
      <c r="D6365" s="194" t="inlineStr">
        <is>
          <t>configuração</t>
        </is>
      </c>
    </row>
    <row r="6366">
      <c r="A6366" s="194" t="inlineStr">
        <is>
          <t>custom.pericia.8.efeito</t>
        </is>
      </c>
      <c r="B6366" s="194">
        <f>IF(ISBLANK('CONFIGURAÇÃO'!$J$846),"",'CONFIGURAÇÃO'!$J$846&amp;"")</f>
        <v/>
      </c>
      <c r="C6366" s="194">
        <f>"'CONFIGURAÇÃO'!J846"</f>
        <v/>
      </c>
      <c r="D6366" s="194" t="inlineStr">
        <is>
          <t>configuração</t>
        </is>
      </c>
    </row>
    <row r="6367">
      <c r="A6367" s="194" t="inlineStr">
        <is>
          <t>custom.pericia.9.tipo</t>
        </is>
      </c>
      <c r="B6367" s="194">
        <f>IF(ISBLANK('CONFIGURAÇÃO'!$B$855),"",'CONFIGURAÇÃO'!$B$855&amp;"")</f>
        <v/>
      </c>
      <c r="C6367" s="194">
        <f>"'CONFIGURAÇÃO'!B855"</f>
        <v/>
      </c>
      <c r="D6367" s="194" t="inlineStr">
        <is>
          <t>configuração</t>
        </is>
      </c>
    </row>
    <row r="6368">
      <c r="A6368" s="194" t="inlineStr">
        <is>
          <t>custom.pericia.9.nome</t>
        </is>
      </c>
      <c r="B6368" s="194">
        <f>IF(ISBLANK('CONFIGURAÇÃO'!$B$857),"",'CONFIGURAÇÃO'!$B$857&amp;"")</f>
        <v/>
      </c>
      <c r="C6368" s="194">
        <f>"'CONFIGURAÇÃO'!B857"</f>
        <v/>
      </c>
      <c r="D6368" s="194" t="inlineStr">
        <is>
          <t>configuração</t>
        </is>
      </c>
    </row>
    <row r="6369">
      <c r="A6369" s="194" t="inlineStr">
        <is>
          <t>custom.pericia.9.mestre_viu</t>
        </is>
      </c>
      <c r="B6369" s="194">
        <f>N('CONFIGURAÇÃO'!$F$855)&amp;""</f>
        <v/>
      </c>
      <c r="C6369" s="194">
        <f>"'CONFIGURAÇÃO'!F855"</f>
        <v/>
      </c>
      <c r="D6369" s="194" t="inlineStr">
        <is>
          <t>configuração</t>
        </is>
      </c>
    </row>
    <row r="6370">
      <c r="A6370" s="194" t="inlineStr">
        <is>
          <t>custom.pericia.9.atributo</t>
        </is>
      </c>
      <c r="B6370" s="194">
        <f>IF(ISBLANK('CONFIGURAÇÃO'!$E$858),"",'CONFIGURAÇÃO'!$E$858&amp;"")</f>
        <v/>
      </c>
      <c r="C6370" s="194">
        <f>"'CONFIGURAÇÃO'!E858"</f>
        <v/>
      </c>
      <c r="D6370" s="194" t="inlineStr">
        <is>
          <t>configuração</t>
        </is>
      </c>
    </row>
    <row r="6371">
      <c r="A6371" s="194" t="inlineStr">
        <is>
          <t>custom.pericia.9.efeito</t>
        </is>
      </c>
      <c r="B6371" s="194">
        <f>IF(ISBLANK('CONFIGURAÇÃO'!$B$860),"",'CONFIGURAÇÃO'!$B$860&amp;"")</f>
        <v/>
      </c>
      <c r="C6371" s="194">
        <f>"'CONFIGURAÇÃO'!B860"</f>
        <v/>
      </c>
      <c r="D6371" s="194" t="inlineStr">
        <is>
          <t>configuração</t>
        </is>
      </c>
    </row>
    <row r="6372">
      <c r="A6372" s="194" t="inlineStr">
        <is>
          <t>custom.pericia.10.tipo</t>
        </is>
      </c>
      <c r="B6372" s="194">
        <f>IF(ISBLANK('CONFIGURAÇÃO'!$J$855),"",'CONFIGURAÇÃO'!$J$855&amp;"")</f>
        <v/>
      </c>
      <c r="C6372" s="194">
        <f>"'CONFIGURAÇÃO'!J855"</f>
        <v/>
      </c>
      <c r="D6372" s="194" t="inlineStr">
        <is>
          <t>configuração</t>
        </is>
      </c>
    </row>
    <row r="6373">
      <c r="A6373" s="194" t="inlineStr">
        <is>
          <t>custom.pericia.10.nome</t>
        </is>
      </c>
      <c r="B6373" s="194">
        <f>IF(ISBLANK('CONFIGURAÇÃO'!$J$857),"",'CONFIGURAÇÃO'!$J$857&amp;"")</f>
        <v/>
      </c>
      <c r="C6373" s="194">
        <f>"'CONFIGURAÇÃO'!J857"</f>
        <v/>
      </c>
      <c r="D6373" s="194" t="inlineStr">
        <is>
          <t>configuração</t>
        </is>
      </c>
    </row>
    <row r="6374">
      <c r="A6374" s="194" t="inlineStr">
        <is>
          <t>custom.pericia.10.mestre_viu</t>
        </is>
      </c>
      <c r="B6374" s="194">
        <f>N('CONFIGURAÇÃO'!$N$855)&amp;""</f>
        <v/>
      </c>
      <c r="C6374" s="194">
        <f>"'CONFIGURAÇÃO'!N855"</f>
        <v/>
      </c>
      <c r="D6374" s="194" t="inlineStr">
        <is>
          <t>configuração</t>
        </is>
      </c>
    </row>
    <row r="6375">
      <c r="A6375" s="194" t="inlineStr">
        <is>
          <t>custom.pericia.10.atributo</t>
        </is>
      </c>
      <c r="B6375" s="194">
        <f>IF(ISBLANK('CONFIGURAÇÃO'!$M$858),"",'CONFIGURAÇÃO'!$M$858&amp;"")</f>
        <v/>
      </c>
      <c r="C6375" s="194">
        <f>"'CONFIGURAÇÃO'!M858"</f>
        <v/>
      </c>
      <c r="D6375" s="194" t="inlineStr">
        <is>
          <t>configuração</t>
        </is>
      </c>
    </row>
    <row r="6376">
      <c r="A6376" s="194" t="inlineStr">
        <is>
          <t>custom.pericia.10.efeito</t>
        </is>
      </c>
      <c r="B6376" s="194">
        <f>IF(ISBLANK('CONFIGURAÇÃO'!$J$860),"",'CONFIGURAÇÃO'!$J$860&amp;"")</f>
        <v/>
      </c>
      <c r="C6376" s="194">
        <f>"'CONFIGURAÇÃO'!J860"</f>
        <v/>
      </c>
      <c r="D6376" s="194" t="inlineStr">
        <is>
          <t>configuração</t>
        </is>
      </c>
    </row>
    <row r="6377">
      <c r="A6377" s="194" t="inlineStr">
        <is>
          <t>custom.oficio.1.tipo</t>
        </is>
      </c>
      <c r="B6377" s="194">
        <f>IF(ISBLANK('CONFIGURAÇÃO'!$B$869),"",'CONFIGURAÇÃO'!$B$869&amp;"")</f>
        <v/>
      </c>
      <c r="C6377" s="194">
        <f>"'CONFIGURAÇÃO'!B869"</f>
        <v/>
      </c>
      <c r="D6377" s="194" t="inlineStr">
        <is>
          <t>configuração</t>
        </is>
      </c>
    </row>
    <row r="6378">
      <c r="A6378" s="194" t="inlineStr">
        <is>
          <t>custom.oficio.1.nome</t>
        </is>
      </c>
      <c r="B6378" s="194">
        <f>IF(ISBLANK('CONFIGURAÇÃO'!$B$871),"",'CONFIGURAÇÃO'!$B$871&amp;"")</f>
        <v/>
      </c>
      <c r="C6378" s="194">
        <f>"'CONFIGURAÇÃO'!B871"</f>
        <v/>
      </c>
      <c r="D6378" s="194" t="inlineStr">
        <is>
          <t>configuração</t>
        </is>
      </c>
    </row>
    <row r="6379">
      <c r="A6379" s="194" t="inlineStr">
        <is>
          <t>custom.oficio.1.mestre_viu</t>
        </is>
      </c>
      <c r="B6379" s="194">
        <f>N('CONFIGURAÇÃO'!$F$869)&amp;""</f>
        <v/>
      </c>
      <c r="C6379" s="194">
        <f>"'CONFIGURAÇÃO'!F869"</f>
        <v/>
      </c>
      <c r="D6379" s="194" t="inlineStr">
        <is>
          <t>configuração</t>
        </is>
      </c>
    </row>
    <row r="6380">
      <c r="A6380" s="194" t="inlineStr">
        <is>
          <t>custom.oficio.1.atributo</t>
        </is>
      </c>
      <c r="B6380" s="194">
        <f>IF(ISBLANK('CONFIGURAÇÃO'!$E$872),"",'CONFIGURAÇÃO'!$E$872&amp;"")</f>
        <v/>
      </c>
      <c r="C6380" s="194">
        <f>"'CONFIGURAÇÃO'!E872"</f>
        <v/>
      </c>
      <c r="D6380" s="194" t="inlineStr">
        <is>
          <t>configuração</t>
        </is>
      </c>
    </row>
    <row r="6381">
      <c r="A6381" s="194" t="inlineStr">
        <is>
          <t>custom.oficio.1.efeito</t>
        </is>
      </c>
      <c r="B6381" s="194">
        <f>IF(ISBLANK('CONFIGURAÇÃO'!$B$874),"",'CONFIGURAÇÃO'!$B$874&amp;"")</f>
        <v/>
      </c>
      <c r="C6381" s="194">
        <f>"'CONFIGURAÇÃO'!B874"</f>
        <v/>
      </c>
      <c r="D6381" s="194" t="inlineStr">
        <is>
          <t>configuração</t>
        </is>
      </c>
    </row>
    <row r="6382">
      <c r="A6382" s="194" t="inlineStr">
        <is>
          <t>custom.oficio.2.tipo</t>
        </is>
      </c>
      <c r="B6382" s="194">
        <f>IF(ISBLANK('CONFIGURAÇÃO'!$J$869),"",'CONFIGURAÇÃO'!$J$869&amp;"")</f>
        <v/>
      </c>
      <c r="C6382" s="194">
        <f>"'CONFIGURAÇÃO'!J869"</f>
        <v/>
      </c>
      <c r="D6382" s="194" t="inlineStr">
        <is>
          <t>configuração</t>
        </is>
      </c>
    </row>
    <row r="6383">
      <c r="A6383" s="194" t="inlineStr">
        <is>
          <t>custom.oficio.2.nome</t>
        </is>
      </c>
      <c r="B6383" s="194">
        <f>IF(ISBLANK('CONFIGURAÇÃO'!$J$871),"",'CONFIGURAÇÃO'!$J$871&amp;"")</f>
        <v/>
      </c>
      <c r="C6383" s="194">
        <f>"'CONFIGURAÇÃO'!J871"</f>
        <v/>
      </c>
      <c r="D6383" s="194" t="inlineStr">
        <is>
          <t>configuração</t>
        </is>
      </c>
    </row>
    <row r="6384">
      <c r="A6384" s="194" t="inlineStr">
        <is>
          <t>custom.oficio.2.mestre_viu</t>
        </is>
      </c>
      <c r="B6384" s="194">
        <f>N('CONFIGURAÇÃO'!$N$869)&amp;""</f>
        <v/>
      </c>
      <c r="C6384" s="194">
        <f>"'CONFIGURAÇÃO'!N869"</f>
        <v/>
      </c>
      <c r="D6384" s="194" t="inlineStr">
        <is>
          <t>configuração</t>
        </is>
      </c>
    </row>
    <row r="6385">
      <c r="A6385" s="194" t="inlineStr">
        <is>
          <t>custom.oficio.2.atributo</t>
        </is>
      </c>
      <c r="B6385" s="194">
        <f>IF(ISBLANK('CONFIGURAÇÃO'!$M$872),"",'CONFIGURAÇÃO'!$M$872&amp;"")</f>
        <v/>
      </c>
      <c r="C6385" s="194">
        <f>"'CONFIGURAÇÃO'!M872"</f>
        <v/>
      </c>
      <c r="D6385" s="194" t="inlineStr">
        <is>
          <t>configuração</t>
        </is>
      </c>
    </row>
    <row r="6386">
      <c r="A6386" s="194" t="inlineStr">
        <is>
          <t>custom.oficio.2.efeito</t>
        </is>
      </c>
      <c r="B6386" s="194">
        <f>IF(ISBLANK('CONFIGURAÇÃO'!$J$874),"",'CONFIGURAÇÃO'!$J$874&amp;"")</f>
        <v/>
      </c>
      <c r="C6386" s="194">
        <f>"'CONFIGURAÇÃO'!J874"</f>
        <v/>
      </c>
      <c r="D6386" s="194" t="inlineStr">
        <is>
          <t>configuração</t>
        </is>
      </c>
    </row>
    <row r="6387">
      <c r="A6387" s="194" t="inlineStr">
        <is>
          <t>custom.oficio.3.tipo</t>
        </is>
      </c>
      <c r="B6387" s="194">
        <f>IF(ISBLANK('CONFIGURAÇÃO'!$B$883),"",'CONFIGURAÇÃO'!$B$883&amp;"")</f>
        <v/>
      </c>
      <c r="C6387" s="194">
        <f>"'CONFIGURAÇÃO'!B883"</f>
        <v/>
      </c>
      <c r="D6387" s="194" t="inlineStr">
        <is>
          <t>configuração</t>
        </is>
      </c>
    </row>
    <row r="6388">
      <c r="A6388" s="194" t="inlineStr">
        <is>
          <t>custom.oficio.3.nome</t>
        </is>
      </c>
      <c r="B6388" s="194">
        <f>IF(ISBLANK('CONFIGURAÇÃO'!$B$885),"",'CONFIGURAÇÃO'!$B$885&amp;"")</f>
        <v/>
      </c>
      <c r="C6388" s="194">
        <f>"'CONFIGURAÇÃO'!B885"</f>
        <v/>
      </c>
      <c r="D6388" s="194" t="inlineStr">
        <is>
          <t>configuração</t>
        </is>
      </c>
    </row>
    <row r="6389">
      <c r="A6389" s="194" t="inlineStr">
        <is>
          <t>custom.oficio.3.mestre_viu</t>
        </is>
      </c>
      <c r="B6389" s="194">
        <f>N('CONFIGURAÇÃO'!$F$883)&amp;""</f>
        <v/>
      </c>
      <c r="C6389" s="194">
        <f>"'CONFIGURAÇÃO'!F883"</f>
        <v/>
      </c>
      <c r="D6389" s="194" t="inlineStr">
        <is>
          <t>configuração</t>
        </is>
      </c>
    </row>
    <row r="6390">
      <c r="A6390" s="194" t="inlineStr">
        <is>
          <t>custom.oficio.3.atributo</t>
        </is>
      </c>
      <c r="B6390" s="194">
        <f>IF(ISBLANK('CONFIGURAÇÃO'!$E$886),"",'CONFIGURAÇÃO'!$E$886&amp;"")</f>
        <v/>
      </c>
      <c r="C6390" s="194">
        <f>"'CONFIGURAÇÃO'!E886"</f>
        <v/>
      </c>
      <c r="D6390" s="194" t="inlineStr">
        <is>
          <t>configuração</t>
        </is>
      </c>
    </row>
    <row r="6391">
      <c r="A6391" s="194" t="inlineStr">
        <is>
          <t>custom.oficio.3.efeito</t>
        </is>
      </c>
      <c r="B6391" s="194">
        <f>IF(ISBLANK('CONFIGURAÇÃO'!$B$888),"",'CONFIGURAÇÃO'!$B$888&amp;"")</f>
        <v/>
      </c>
      <c r="C6391" s="194">
        <f>"'CONFIGURAÇÃO'!B888"</f>
        <v/>
      </c>
      <c r="D6391" s="194" t="inlineStr">
        <is>
          <t>configuração</t>
        </is>
      </c>
    </row>
    <row r="6392">
      <c r="A6392" s="194" t="inlineStr">
        <is>
          <t>custom.oficio.4.tipo</t>
        </is>
      </c>
      <c r="B6392" s="194">
        <f>IF(ISBLANK('CONFIGURAÇÃO'!$J$883),"",'CONFIGURAÇÃO'!$J$883&amp;"")</f>
        <v/>
      </c>
      <c r="C6392" s="194">
        <f>"'CONFIGURAÇÃO'!J883"</f>
        <v/>
      </c>
      <c r="D6392" s="194" t="inlineStr">
        <is>
          <t>configuração</t>
        </is>
      </c>
    </row>
    <row r="6393">
      <c r="A6393" s="194" t="inlineStr">
        <is>
          <t>custom.oficio.4.nome</t>
        </is>
      </c>
      <c r="B6393" s="194">
        <f>IF(ISBLANK('CONFIGURAÇÃO'!$J$885),"",'CONFIGURAÇÃO'!$J$885&amp;"")</f>
        <v/>
      </c>
      <c r="C6393" s="194">
        <f>"'CONFIGURAÇÃO'!J885"</f>
        <v/>
      </c>
      <c r="D6393" s="194" t="inlineStr">
        <is>
          <t>configuração</t>
        </is>
      </c>
    </row>
    <row r="6394">
      <c r="A6394" s="194" t="inlineStr">
        <is>
          <t>custom.oficio.4.mestre_viu</t>
        </is>
      </c>
      <c r="B6394" s="194">
        <f>N('CONFIGURAÇÃO'!$N$883)&amp;""</f>
        <v/>
      </c>
      <c r="C6394" s="194">
        <f>"'CONFIGURAÇÃO'!N883"</f>
        <v/>
      </c>
      <c r="D6394" s="194" t="inlineStr">
        <is>
          <t>configuração</t>
        </is>
      </c>
    </row>
    <row r="6395">
      <c r="A6395" s="194" t="inlineStr">
        <is>
          <t>custom.oficio.4.atributo</t>
        </is>
      </c>
      <c r="B6395" s="194">
        <f>IF(ISBLANK('CONFIGURAÇÃO'!$M$886),"",'CONFIGURAÇÃO'!$M$886&amp;"")</f>
        <v/>
      </c>
      <c r="C6395" s="194">
        <f>"'CONFIGURAÇÃO'!M886"</f>
        <v/>
      </c>
      <c r="D6395" s="194" t="inlineStr">
        <is>
          <t>configuração</t>
        </is>
      </c>
    </row>
    <row r="6396">
      <c r="A6396" s="194" t="inlineStr">
        <is>
          <t>custom.oficio.4.efeito</t>
        </is>
      </c>
      <c r="B6396" s="194">
        <f>IF(ISBLANK('CONFIGURAÇÃO'!$J$888),"",'CONFIGURAÇÃO'!$J$888&amp;"")</f>
        <v/>
      </c>
      <c r="C6396" s="194">
        <f>"'CONFIGURAÇÃO'!J888"</f>
        <v/>
      </c>
      <c r="D6396" s="194" t="inlineStr">
        <is>
          <t>configuração</t>
        </is>
      </c>
    </row>
    <row r="6397">
      <c r="A6397" s="194" t="inlineStr">
        <is>
          <t>custom.oficio.5.tipo</t>
        </is>
      </c>
      <c r="B6397" s="194">
        <f>IF(ISBLANK('CONFIGURAÇÃO'!$B$897),"",'CONFIGURAÇÃO'!$B$897&amp;"")</f>
        <v/>
      </c>
      <c r="C6397" s="194">
        <f>"'CONFIGURAÇÃO'!B897"</f>
        <v/>
      </c>
      <c r="D6397" s="194" t="inlineStr">
        <is>
          <t>configuração</t>
        </is>
      </c>
    </row>
    <row r="6398">
      <c r="A6398" s="194" t="inlineStr">
        <is>
          <t>custom.oficio.5.nome</t>
        </is>
      </c>
      <c r="B6398" s="194">
        <f>IF(ISBLANK('CONFIGURAÇÃO'!$B$899),"",'CONFIGURAÇÃO'!$B$899&amp;"")</f>
        <v/>
      </c>
      <c r="C6398" s="194">
        <f>"'CONFIGURAÇÃO'!B899"</f>
        <v/>
      </c>
      <c r="D6398" s="194" t="inlineStr">
        <is>
          <t>configuração</t>
        </is>
      </c>
    </row>
    <row r="6399">
      <c r="A6399" s="194" t="inlineStr">
        <is>
          <t>custom.oficio.5.mestre_viu</t>
        </is>
      </c>
      <c r="B6399" s="194">
        <f>N('CONFIGURAÇÃO'!$F$897)&amp;""</f>
        <v/>
      </c>
      <c r="C6399" s="194">
        <f>"'CONFIGURAÇÃO'!F897"</f>
        <v/>
      </c>
      <c r="D6399" s="194" t="inlineStr">
        <is>
          <t>configuração</t>
        </is>
      </c>
    </row>
    <row r="6400">
      <c r="A6400" s="194" t="inlineStr">
        <is>
          <t>custom.oficio.5.atributo</t>
        </is>
      </c>
      <c r="B6400" s="194">
        <f>IF(ISBLANK('CONFIGURAÇÃO'!$E$900),"",'CONFIGURAÇÃO'!$E$900&amp;"")</f>
        <v/>
      </c>
      <c r="C6400" s="194">
        <f>"'CONFIGURAÇÃO'!E900"</f>
        <v/>
      </c>
      <c r="D6400" s="194" t="inlineStr">
        <is>
          <t>configuração</t>
        </is>
      </c>
    </row>
    <row r="6401">
      <c r="A6401" s="194" t="inlineStr">
        <is>
          <t>custom.oficio.5.efeito</t>
        </is>
      </c>
      <c r="B6401" s="194">
        <f>IF(ISBLANK('CONFIGURAÇÃO'!$B$902),"",'CONFIGURAÇÃO'!$B$902&amp;"")</f>
        <v/>
      </c>
      <c r="C6401" s="194">
        <f>"'CONFIGURAÇÃO'!B902"</f>
        <v/>
      </c>
      <c r="D6401" s="194" t="inlineStr">
        <is>
          <t>configuração</t>
        </is>
      </c>
    </row>
    <row r="6402">
      <c r="A6402" s="194" t="inlineStr">
        <is>
          <t>custom.oficio.6.tipo</t>
        </is>
      </c>
      <c r="B6402" s="194">
        <f>IF(ISBLANK('CONFIGURAÇÃO'!$J$897),"",'CONFIGURAÇÃO'!$J$897&amp;"")</f>
        <v/>
      </c>
      <c r="C6402" s="194">
        <f>"'CONFIGURAÇÃO'!J897"</f>
        <v/>
      </c>
      <c r="D6402" s="194" t="inlineStr">
        <is>
          <t>configuração</t>
        </is>
      </c>
    </row>
    <row r="6403">
      <c r="A6403" s="194" t="inlineStr">
        <is>
          <t>custom.oficio.6.nome</t>
        </is>
      </c>
      <c r="B6403" s="194">
        <f>IF(ISBLANK('CONFIGURAÇÃO'!$J$899),"",'CONFIGURAÇÃO'!$J$899&amp;"")</f>
        <v/>
      </c>
      <c r="C6403" s="194">
        <f>"'CONFIGURAÇÃO'!J899"</f>
        <v/>
      </c>
      <c r="D6403" s="194" t="inlineStr">
        <is>
          <t>configuração</t>
        </is>
      </c>
    </row>
    <row r="6404">
      <c r="A6404" s="194" t="inlineStr">
        <is>
          <t>custom.oficio.6.mestre_viu</t>
        </is>
      </c>
      <c r="B6404" s="194">
        <f>N('CONFIGURAÇÃO'!$N$897)&amp;""</f>
        <v/>
      </c>
      <c r="C6404" s="194">
        <f>"'CONFIGURAÇÃO'!N897"</f>
        <v/>
      </c>
      <c r="D6404" s="194" t="inlineStr">
        <is>
          <t>configuração</t>
        </is>
      </c>
    </row>
    <row r="6405">
      <c r="A6405" s="194" t="inlineStr">
        <is>
          <t>custom.oficio.6.atributo</t>
        </is>
      </c>
      <c r="B6405" s="194">
        <f>IF(ISBLANK('CONFIGURAÇÃO'!$M$900),"",'CONFIGURAÇÃO'!$M$900&amp;"")</f>
        <v/>
      </c>
      <c r="C6405" s="194">
        <f>"'CONFIGURAÇÃO'!M900"</f>
        <v/>
      </c>
      <c r="D6405" s="194" t="inlineStr">
        <is>
          <t>configuração</t>
        </is>
      </c>
    </row>
    <row r="6406">
      <c r="A6406" s="194" t="inlineStr">
        <is>
          <t>custom.oficio.6.efeito</t>
        </is>
      </c>
      <c r="B6406" s="194">
        <f>IF(ISBLANK('CONFIGURAÇÃO'!$J$902),"",'CONFIGURAÇÃO'!$J$902&amp;"")</f>
        <v/>
      </c>
      <c r="C6406" s="194">
        <f>"'CONFIGURAÇÃO'!J902"</f>
        <v/>
      </c>
      <c r="D6406" s="194" t="inlineStr">
        <is>
          <t>configuração</t>
        </is>
      </c>
    </row>
    <row r="6407">
      <c r="A6407" s="194" t="inlineStr">
        <is>
          <t>custom.oficio.7.tipo</t>
        </is>
      </c>
      <c r="B6407" s="194">
        <f>IF(ISBLANK('CONFIGURAÇÃO'!$B$911),"",'CONFIGURAÇÃO'!$B$911&amp;"")</f>
        <v/>
      </c>
      <c r="C6407" s="194">
        <f>"'CONFIGURAÇÃO'!B911"</f>
        <v/>
      </c>
      <c r="D6407" s="194" t="inlineStr">
        <is>
          <t>configuração</t>
        </is>
      </c>
    </row>
    <row r="6408">
      <c r="A6408" s="194" t="inlineStr">
        <is>
          <t>custom.oficio.7.nome</t>
        </is>
      </c>
      <c r="B6408" s="194">
        <f>IF(ISBLANK('CONFIGURAÇÃO'!$B$913),"",'CONFIGURAÇÃO'!$B$913&amp;"")</f>
        <v/>
      </c>
      <c r="C6408" s="194">
        <f>"'CONFIGURAÇÃO'!B913"</f>
        <v/>
      </c>
      <c r="D6408" s="194" t="inlineStr">
        <is>
          <t>configuração</t>
        </is>
      </c>
    </row>
    <row r="6409">
      <c r="A6409" s="194" t="inlineStr">
        <is>
          <t>custom.oficio.7.mestre_viu</t>
        </is>
      </c>
      <c r="B6409" s="194">
        <f>N('CONFIGURAÇÃO'!$F$911)&amp;""</f>
        <v/>
      </c>
      <c r="C6409" s="194">
        <f>"'CONFIGURAÇÃO'!F911"</f>
        <v/>
      </c>
      <c r="D6409" s="194" t="inlineStr">
        <is>
          <t>configuração</t>
        </is>
      </c>
    </row>
    <row r="6410">
      <c r="A6410" s="194" t="inlineStr">
        <is>
          <t>custom.oficio.7.atributo</t>
        </is>
      </c>
      <c r="B6410" s="194">
        <f>IF(ISBLANK('CONFIGURAÇÃO'!$E$914),"",'CONFIGURAÇÃO'!$E$914&amp;"")</f>
        <v/>
      </c>
      <c r="C6410" s="194">
        <f>"'CONFIGURAÇÃO'!E914"</f>
        <v/>
      </c>
      <c r="D6410" s="194" t="inlineStr">
        <is>
          <t>configuração</t>
        </is>
      </c>
    </row>
    <row r="6411">
      <c r="A6411" s="194" t="inlineStr">
        <is>
          <t>custom.oficio.7.efeito</t>
        </is>
      </c>
      <c r="B6411" s="194">
        <f>IF(ISBLANK('CONFIGURAÇÃO'!$B$916),"",'CONFIGURAÇÃO'!$B$916&amp;"")</f>
        <v/>
      </c>
      <c r="C6411" s="194">
        <f>"'CONFIGURAÇÃO'!B916"</f>
        <v/>
      </c>
      <c r="D6411" s="194" t="inlineStr">
        <is>
          <t>configuração</t>
        </is>
      </c>
    </row>
    <row r="6412">
      <c r="A6412" s="194" t="inlineStr">
        <is>
          <t>custom.oficio.8.tipo</t>
        </is>
      </c>
      <c r="B6412" s="194">
        <f>IF(ISBLANK('CONFIGURAÇÃO'!$J$911),"",'CONFIGURAÇÃO'!$J$911&amp;"")</f>
        <v/>
      </c>
      <c r="C6412" s="194">
        <f>"'CONFIGURAÇÃO'!J911"</f>
        <v/>
      </c>
      <c r="D6412" s="194" t="inlineStr">
        <is>
          <t>configuração</t>
        </is>
      </c>
    </row>
    <row r="6413">
      <c r="A6413" s="194" t="inlineStr">
        <is>
          <t>custom.oficio.8.nome</t>
        </is>
      </c>
      <c r="B6413" s="194">
        <f>IF(ISBLANK('CONFIGURAÇÃO'!$J$913),"",'CONFIGURAÇÃO'!$J$913&amp;"")</f>
        <v/>
      </c>
      <c r="C6413" s="194">
        <f>"'CONFIGURAÇÃO'!J913"</f>
        <v/>
      </c>
      <c r="D6413" s="194" t="inlineStr">
        <is>
          <t>configuração</t>
        </is>
      </c>
    </row>
    <row r="6414">
      <c r="A6414" s="194" t="inlineStr">
        <is>
          <t>custom.oficio.8.mestre_viu</t>
        </is>
      </c>
      <c r="B6414" s="194">
        <f>N('CONFIGURAÇÃO'!$N$911)&amp;""</f>
        <v/>
      </c>
      <c r="C6414" s="194">
        <f>"'CONFIGURAÇÃO'!N911"</f>
        <v/>
      </c>
      <c r="D6414" s="194" t="inlineStr">
        <is>
          <t>configuração</t>
        </is>
      </c>
    </row>
    <row r="6415">
      <c r="A6415" s="194" t="inlineStr">
        <is>
          <t>custom.oficio.8.atributo</t>
        </is>
      </c>
      <c r="B6415" s="194">
        <f>IF(ISBLANK('CONFIGURAÇÃO'!$M$914),"",'CONFIGURAÇÃO'!$M$914&amp;"")</f>
        <v/>
      </c>
      <c r="C6415" s="194">
        <f>"'CONFIGURAÇÃO'!M914"</f>
        <v/>
      </c>
      <c r="D6415" s="194" t="inlineStr">
        <is>
          <t>configuração</t>
        </is>
      </c>
    </row>
    <row r="6416">
      <c r="A6416" s="194" t="inlineStr">
        <is>
          <t>custom.oficio.8.efeito</t>
        </is>
      </c>
      <c r="B6416" s="194">
        <f>IF(ISBLANK('CONFIGURAÇÃO'!$J$916),"",'CONFIGURAÇÃO'!$J$916&amp;"")</f>
        <v/>
      </c>
      <c r="C6416" s="194">
        <f>"'CONFIGURAÇÃO'!J916"</f>
        <v/>
      </c>
      <c r="D6416" s="194" t="inlineStr">
        <is>
          <t>configuração</t>
        </is>
      </c>
    </row>
    <row r="6417">
      <c r="A6417" s="194" t="inlineStr">
        <is>
          <t>custom.oficio.9.tipo</t>
        </is>
      </c>
      <c r="B6417" s="194">
        <f>IF(ISBLANK('CONFIGURAÇÃO'!$B$925),"",'CONFIGURAÇÃO'!$B$925&amp;"")</f>
        <v/>
      </c>
      <c r="C6417" s="194">
        <f>"'CONFIGURAÇÃO'!B925"</f>
        <v/>
      </c>
      <c r="D6417" s="194" t="inlineStr">
        <is>
          <t>configuração</t>
        </is>
      </c>
    </row>
    <row r="6418">
      <c r="A6418" s="194" t="inlineStr">
        <is>
          <t>custom.oficio.9.nome</t>
        </is>
      </c>
      <c r="B6418" s="194">
        <f>IF(ISBLANK('CONFIGURAÇÃO'!$B$927),"",'CONFIGURAÇÃO'!$B$927&amp;"")</f>
        <v/>
      </c>
      <c r="C6418" s="194">
        <f>"'CONFIGURAÇÃO'!B927"</f>
        <v/>
      </c>
      <c r="D6418" s="194" t="inlineStr">
        <is>
          <t>configuração</t>
        </is>
      </c>
    </row>
    <row r="6419">
      <c r="A6419" s="194" t="inlineStr">
        <is>
          <t>custom.oficio.9.mestre_viu</t>
        </is>
      </c>
      <c r="B6419" s="194">
        <f>N('CONFIGURAÇÃO'!$F$925)&amp;""</f>
        <v/>
      </c>
      <c r="C6419" s="194">
        <f>"'CONFIGURAÇÃO'!F925"</f>
        <v/>
      </c>
      <c r="D6419" s="194" t="inlineStr">
        <is>
          <t>configuração</t>
        </is>
      </c>
    </row>
    <row r="6420">
      <c r="A6420" s="194" t="inlineStr">
        <is>
          <t>custom.oficio.9.atributo</t>
        </is>
      </c>
      <c r="B6420" s="194">
        <f>IF(ISBLANK('CONFIGURAÇÃO'!$E$928),"",'CONFIGURAÇÃO'!$E$928&amp;"")</f>
        <v/>
      </c>
      <c r="C6420" s="194">
        <f>"'CONFIGURAÇÃO'!E928"</f>
        <v/>
      </c>
      <c r="D6420" s="194" t="inlineStr">
        <is>
          <t>configuração</t>
        </is>
      </c>
    </row>
    <row r="6421">
      <c r="A6421" s="194" t="inlineStr">
        <is>
          <t>custom.oficio.9.efeito</t>
        </is>
      </c>
      <c r="B6421" s="194">
        <f>IF(ISBLANK('CONFIGURAÇÃO'!$B$930),"",'CONFIGURAÇÃO'!$B$930&amp;"")</f>
        <v/>
      </c>
      <c r="C6421" s="194">
        <f>"'CONFIGURAÇÃO'!B930"</f>
        <v/>
      </c>
      <c r="D6421" s="194" t="inlineStr">
        <is>
          <t>configuração</t>
        </is>
      </c>
    </row>
    <row r="6422">
      <c r="A6422" s="194" t="inlineStr">
        <is>
          <t>custom.oficio.10.tipo</t>
        </is>
      </c>
      <c r="B6422" s="194">
        <f>IF(ISBLANK('CONFIGURAÇÃO'!$J$925),"",'CONFIGURAÇÃO'!$J$925&amp;"")</f>
        <v/>
      </c>
      <c r="C6422" s="194">
        <f>"'CONFIGURAÇÃO'!J925"</f>
        <v/>
      </c>
      <c r="D6422" s="194" t="inlineStr">
        <is>
          <t>configuração</t>
        </is>
      </c>
    </row>
    <row r="6423">
      <c r="A6423" s="194" t="inlineStr">
        <is>
          <t>custom.oficio.10.nome</t>
        </is>
      </c>
      <c r="B6423" s="194">
        <f>IF(ISBLANK('CONFIGURAÇÃO'!$J$927),"",'CONFIGURAÇÃO'!$J$927&amp;"")</f>
        <v/>
      </c>
      <c r="C6423" s="194">
        <f>"'CONFIGURAÇÃO'!J927"</f>
        <v/>
      </c>
      <c r="D6423" s="194" t="inlineStr">
        <is>
          <t>configuração</t>
        </is>
      </c>
    </row>
    <row r="6424">
      <c r="A6424" s="194" t="inlineStr">
        <is>
          <t>custom.oficio.10.mestre_viu</t>
        </is>
      </c>
      <c r="B6424" s="194">
        <f>N('CONFIGURAÇÃO'!$N$925)&amp;""</f>
        <v/>
      </c>
      <c r="C6424" s="194">
        <f>"'CONFIGURAÇÃO'!N925"</f>
        <v/>
      </c>
      <c r="D6424" s="194" t="inlineStr">
        <is>
          <t>configuração</t>
        </is>
      </c>
    </row>
    <row r="6425">
      <c r="A6425" s="194" t="inlineStr">
        <is>
          <t>custom.oficio.10.atributo</t>
        </is>
      </c>
      <c r="B6425" s="194">
        <f>IF(ISBLANK('CONFIGURAÇÃO'!$M$928),"",'CONFIGURAÇÃO'!$M$928&amp;"")</f>
        <v/>
      </c>
      <c r="C6425" s="194">
        <f>"'CONFIGURAÇÃO'!M928"</f>
        <v/>
      </c>
      <c r="D6425" s="194" t="inlineStr">
        <is>
          <t>configuração</t>
        </is>
      </c>
    </row>
    <row r="6426">
      <c r="A6426" s="194" t="inlineStr">
        <is>
          <t>custom.oficio.10.efeito</t>
        </is>
      </c>
      <c r="B6426" s="194">
        <f>IF(ISBLANK('CONFIGURAÇÃO'!$J$930),"",'CONFIGURAÇÃO'!$J$930&amp;"")</f>
        <v/>
      </c>
      <c r="C6426" s="194">
        <f>"'CONFIGURAÇÃO'!J930"</f>
        <v/>
      </c>
      <c r="D6426" s="194" t="inlineStr">
        <is>
          <t>configuração</t>
        </is>
      </c>
    </row>
    <row r="6427">
      <c r="A6427" s="194" t="inlineStr">
        <is>
          <t>aviso.custom.pericia.1</t>
        </is>
      </c>
      <c r="B6427" s="194">
        <f>IF('DADOS_PROGRESSAO'!$G$2="","","⚠ "&amp;'DADOS_PROGRESSAO'!$G$2)</f>
        <v/>
      </c>
      <c r="C6427" s="194" t="inlineStr">
        <is>
          <t>DADOS_PROGRESSAO!G2</t>
        </is>
      </c>
      <c r="D6427" s="194" t="inlineStr">
        <is>
          <t>aviso</t>
        </is>
      </c>
    </row>
    <row r="6428">
      <c r="A6428" s="194" t="inlineStr">
        <is>
          <t>aviso.custom.pericia.2</t>
        </is>
      </c>
      <c r="B6428" s="194">
        <f>IF('DADOS_PROGRESSAO'!$G$3="","","⚠ "&amp;'DADOS_PROGRESSAO'!$G$3)</f>
        <v/>
      </c>
      <c r="C6428" s="194" t="inlineStr">
        <is>
          <t>DADOS_PROGRESSAO!G3</t>
        </is>
      </c>
      <c r="D6428" s="194" t="inlineStr">
        <is>
          <t>aviso</t>
        </is>
      </c>
    </row>
    <row r="6429">
      <c r="A6429" s="194" t="inlineStr">
        <is>
          <t>aviso.custom.pericia.3</t>
        </is>
      </c>
      <c r="B6429" s="194">
        <f>IF('DADOS_PROGRESSAO'!$G$4="","","⚠ "&amp;'DADOS_PROGRESSAO'!$G$4)</f>
        <v/>
      </c>
      <c r="C6429" s="194" t="inlineStr">
        <is>
          <t>DADOS_PROGRESSAO!G4</t>
        </is>
      </c>
      <c r="D6429" s="194" t="inlineStr">
        <is>
          <t>aviso</t>
        </is>
      </c>
    </row>
    <row r="6430">
      <c r="A6430" s="194" t="inlineStr">
        <is>
          <t>aviso.custom.pericia.4</t>
        </is>
      </c>
      <c r="B6430" s="194">
        <f>IF('DADOS_PROGRESSAO'!$G$5="","","⚠ "&amp;'DADOS_PROGRESSAO'!$G$5)</f>
        <v/>
      </c>
      <c r="C6430" s="194" t="inlineStr">
        <is>
          <t>DADOS_PROGRESSAO!G5</t>
        </is>
      </c>
      <c r="D6430" s="194" t="inlineStr">
        <is>
          <t>aviso</t>
        </is>
      </c>
    </row>
    <row r="6431">
      <c r="A6431" s="194" t="inlineStr">
        <is>
          <t>aviso.custom.pericia.5</t>
        </is>
      </c>
      <c r="B6431" s="194">
        <f>IF('DADOS_PROGRESSAO'!$G$6="","","⚠ "&amp;'DADOS_PROGRESSAO'!$G$6)</f>
        <v/>
      </c>
      <c r="C6431" s="194" t="inlineStr">
        <is>
          <t>DADOS_PROGRESSAO!G6</t>
        </is>
      </c>
      <c r="D6431" s="194" t="inlineStr">
        <is>
          <t>aviso</t>
        </is>
      </c>
    </row>
    <row r="6432">
      <c r="A6432" s="194" t="inlineStr">
        <is>
          <t>aviso.custom.pericia.6</t>
        </is>
      </c>
      <c r="B6432" s="194">
        <f>IF('DADOS_PROGRESSAO'!$G$7="","","⚠ "&amp;'DADOS_PROGRESSAO'!$G$7)</f>
        <v/>
      </c>
      <c r="C6432" s="194" t="inlineStr">
        <is>
          <t>DADOS_PROGRESSAO!G7</t>
        </is>
      </c>
      <c r="D6432" s="194" t="inlineStr">
        <is>
          <t>aviso</t>
        </is>
      </c>
    </row>
    <row r="6433">
      <c r="A6433" s="194" t="inlineStr">
        <is>
          <t>aviso.custom.pericia.7</t>
        </is>
      </c>
      <c r="B6433" s="194">
        <f>IF('DADOS_PROGRESSAO'!$G$8="","","⚠ "&amp;'DADOS_PROGRESSAO'!$G$8)</f>
        <v/>
      </c>
      <c r="C6433" s="194" t="inlineStr">
        <is>
          <t>DADOS_PROGRESSAO!G8</t>
        </is>
      </c>
      <c r="D6433" s="194" t="inlineStr">
        <is>
          <t>aviso</t>
        </is>
      </c>
    </row>
    <row r="6434">
      <c r="A6434" s="194" t="inlineStr">
        <is>
          <t>aviso.custom.pericia.8</t>
        </is>
      </c>
      <c r="B6434" s="194">
        <f>IF('DADOS_PROGRESSAO'!$G$9="","","⚠ "&amp;'DADOS_PROGRESSAO'!$G$9)</f>
        <v/>
      </c>
      <c r="C6434" s="194" t="inlineStr">
        <is>
          <t>DADOS_PROGRESSAO!G9</t>
        </is>
      </c>
      <c r="D6434" s="194" t="inlineStr">
        <is>
          <t>aviso</t>
        </is>
      </c>
    </row>
    <row r="6435">
      <c r="A6435" s="194" t="inlineStr">
        <is>
          <t>aviso.custom.pericia.9</t>
        </is>
      </c>
      <c r="B6435" s="194">
        <f>IF('DADOS_PROGRESSAO'!$G$10="","","⚠ "&amp;'DADOS_PROGRESSAO'!$G$10)</f>
        <v/>
      </c>
      <c r="C6435" s="194" t="inlineStr">
        <is>
          <t>DADOS_PROGRESSAO!G10</t>
        </is>
      </c>
      <c r="D6435" s="194" t="inlineStr">
        <is>
          <t>aviso</t>
        </is>
      </c>
    </row>
    <row r="6436">
      <c r="A6436" s="194" t="inlineStr">
        <is>
          <t>aviso.custom.pericia.10</t>
        </is>
      </c>
      <c r="B6436" s="194">
        <f>IF('DADOS_PROGRESSAO'!$G$11="","","⚠ "&amp;'DADOS_PROGRESSAO'!$G$11)</f>
        <v/>
      </c>
      <c r="C6436" s="194" t="inlineStr">
        <is>
          <t>DADOS_PROGRESSAO!G11</t>
        </is>
      </c>
      <c r="D6436" s="194" t="inlineStr">
        <is>
          <t>aviso</t>
        </is>
      </c>
    </row>
    <row r="6437">
      <c r="A6437" s="194" t="inlineStr">
        <is>
          <t>aviso.custom.oficio.1</t>
        </is>
      </c>
      <c r="B6437" s="194">
        <f>IF('DADOS_PROGRESSAO'!$G$12="","","⚠ "&amp;'DADOS_PROGRESSAO'!$G$12)</f>
        <v/>
      </c>
      <c r="C6437" s="194" t="inlineStr">
        <is>
          <t>DADOS_PROGRESSAO!G12</t>
        </is>
      </c>
      <c r="D6437" s="194" t="inlineStr">
        <is>
          <t>aviso</t>
        </is>
      </c>
    </row>
    <row r="6438">
      <c r="A6438" s="194" t="inlineStr">
        <is>
          <t>aviso.custom.oficio.2</t>
        </is>
      </c>
      <c r="B6438" s="194">
        <f>IF('DADOS_PROGRESSAO'!$G$13="","","⚠ "&amp;'DADOS_PROGRESSAO'!$G$13)</f>
        <v/>
      </c>
      <c r="C6438" s="194" t="inlineStr">
        <is>
          <t>DADOS_PROGRESSAO!G13</t>
        </is>
      </c>
      <c r="D6438" s="194" t="inlineStr">
        <is>
          <t>aviso</t>
        </is>
      </c>
    </row>
    <row r="6439">
      <c r="A6439" s="194" t="inlineStr">
        <is>
          <t>aviso.custom.oficio.3</t>
        </is>
      </c>
      <c r="B6439" s="194">
        <f>IF('DADOS_PROGRESSAO'!$G$14="","","⚠ "&amp;'DADOS_PROGRESSAO'!$G$14)</f>
        <v/>
      </c>
      <c r="C6439" s="194" t="inlineStr">
        <is>
          <t>DADOS_PROGRESSAO!G14</t>
        </is>
      </c>
      <c r="D6439" s="194" t="inlineStr">
        <is>
          <t>aviso</t>
        </is>
      </c>
    </row>
    <row r="6440">
      <c r="A6440" s="194" t="inlineStr">
        <is>
          <t>aviso.custom.oficio.4</t>
        </is>
      </c>
      <c r="B6440" s="194">
        <f>IF('DADOS_PROGRESSAO'!$G$15="","","⚠ "&amp;'DADOS_PROGRESSAO'!$G$15)</f>
        <v/>
      </c>
      <c r="C6440" s="194" t="inlineStr">
        <is>
          <t>DADOS_PROGRESSAO!G15</t>
        </is>
      </c>
      <c r="D6440" s="194" t="inlineStr">
        <is>
          <t>aviso</t>
        </is>
      </c>
    </row>
    <row r="6441">
      <c r="A6441" s="194" t="inlineStr">
        <is>
          <t>aviso.custom.oficio.5</t>
        </is>
      </c>
      <c r="B6441" s="194">
        <f>IF('DADOS_PROGRESSAO'!$G$16="","","⚠ "&amp;'DADOS_PROGRESSAO'!$G$16)</f>
        <v/>
      </c>
      <c r="C6441" s="194" t="inlineStr">
        <is>
          <t>DADOS_PROGRESSAO!G16</t>
        </is>
      </c>
      <c r="D6441" s="194" t="inlineStr">
        <is>
          <t>aviso</t>
        </is>
      </c>
    </row>
    <row r="6442">
      <c r="A6442" s="194" t="inlineStr">
        <is>
          <t>aviso.custom.oficio.6</t>
        </is>
      </c>
      <c r="B6442" s="194">
        <f>IF('DADOS_PROGRESSAO'!$G$17="","","⚠ "&amp;'DADOS_PROGRESSAO'!$G$17)</f>
        <v/>
      </c>
      <c r="C6442" s="194" t="inlineStr">
        <is>
          <t>DADOS_PROGRESSAO!G17</t>
        </is>
      </c>
      <c r="D6442" s="194" t="inlineStr">
        <is>
          <t>aviso</t>
        </is>
      </c>
    </row>
    <row r="6443">
      <c r="A6443" s="194" t="inlineStr">
        <is>
          <t>aviso.custom.oficio.7</t>
        </is>
      </c>
      <c r="B6443" s="194">
        <f>IF('DADOS_PROGRESSAO'!$G$18="","","⚠ "&amp;'DADOS_PROGRESSAO'!$G$18)</f>
        <v/>
      </c>
      <c r="C6443" s="194" t="inlineStr">
        <is>
          <t>DADOS_PROGRESSAO!G18</t>
        </is>
      </c>
      <c r="D6443" s="194" t="inlineStr">
        <is>
          <t>aviso</t>
        </is>
      </c>
    </row>
    <row r="6444">
      <c r="A6444" s="194" t="inlineStr">
        <is>
          <t>aviso.custom.oficio.8</t>
        </is>
      </c>
      <c r="B6444" s="194">
        <f>IF('DADOS_PROGRESSAO'!$G$19="","","⚠ "&amp;'DADOS_PROGRESSAO'!$G$19)</f>
        <v/>
      </c>
      <c r="C6444" s="194" t="inlineStr">
        <is>
          <t>DADOS_PROGRESSAO!G19</t>
        </is>
      </c>
      <c r="D6444" s="194" t="inlineStr">
        <is>
          <t>aviso</t>
        </is>
      </c>
    </row>
    <row r="6445">
      <c r="A6445" s="194" t="inlineStr">
        <is>
          <t>aviso.custom.oficio.9</t>
        </is>
      </c>
      <c r="B6445" s="194">
        <f>IF('DADOS_PROGRESSAO'!$G$20="","","⚠ "&amp;'DADOS_PROGRESSAO'!$G$20)</f>
        <v/>
      </c>
      <c r="C6445" s="194" t="inlineStr">
        <is>
          <t>DADOS_PROGRESSAO!G20</t>
        </is>
      </c>
      <c r="D6445" s="194" t="inlineStr">
        <is>
          <t>aviso</t>
        </is>
      </c>
    </row>
    <row r="6446">
      <c r="A6446" s="194" t="inlineStr">
        <is>
          <t>aviso.custom.oficio.10</t>
        </is>
      </c>
      <c r="B6446" s="194">
        <f>IF('DADOS_PROGRESSAO'!$G$21="","","⚠ "&amp;'DADOS_PROGRESSAO'!$G$21)</f>
        <v/>
      </c>
      <c r="C6446" s="194" t="inlineStr">
        <is>
          <t>DADOS_PROGRESSAO!G21</t>
        </is>
      </c>
      <c r="D6446" s="194" t="inlineStr">
        <is>
          <t>aviso</t>
        </is>
      </c>
    </row>
    <row r="6447">
      <c r="A6447" s="194" t="inlineStr">
        <is>
          <t>aviso.custom.caminho</t>
        </is>
      </c>
      <c r="B6447" s="194">
        <f>IF('DADOS_PROGRESSAO'!$K$2="","","⚠ "&amp;'DADOS_PROGRESSAO'!$K$2)</f>
        <v/>
      </c>
      <c r="C6447" s="194" t="inlineStr">
        <is>
          <t>DADOS_PROGRESSAO!K2</t>
        </is>
      </c>
      <c r="D6447" s="194" t="inlineStr">
        <is>
          <t>aviso</t>
        </is>
      </c>
    </row>
    <row r="6448">
      <c r="A6448" s="194" t="inlineStr">
        <is>
          <t>aviso.custom.trilha</t>
        </is>
      </c>
      <c r="B6448" s="194">
        <f>IF('DADOS_PROGRESSAO'!$K$3="","","⚠ "&amp;'DADOS_PROGRESSAO'!$K$3)</f>
        <v/>
      </c>
      <c r="C6448" s="194" t="inlineStr">
        <is>
          <t>DADOS_PROGRESSAO!K3</t>
        </is>
      </c>
      <c r="D6448" s="194" t="inlineStr">
        <is>
          <t>aviso</t>
        </is>
      </c>
    </row>
    <row r="6449">
      <c r="A6449" s="194" t="inlineStr">
        <is>
          <t>personagem.pericia_custom.1.nome</t>
        </is>
      </c>
      <c r="B6449" s="194">
        <f>IF(ISBLANK('FICHA'!$F$413),"",'FICHA'!$F$413&amp;"")</f>
        <v/>
      </c>
      <c r="C6449" s="194">
        <f>"'FICHA'!F413"</f>
        <v/>
      </c>
      <c r="D6449" s="194" t="inlineStr">
        <is>
          <t>entrada</t>
        </is>
      </c>
    </row>
    <row r="6450">
      <c r="A6450" s="194" t="inlineStr">
        <is>
          <t>personagem.pericia_custom.1.treino</t>
        </is>
      </c>
      <c r="B6450" s="194">
        <f>N('FICHA'!$D$413)&amp;""</f>
        <v/>
      </c>
      <c r="C6450" s="194">
        <f>"'FICHA'!D413"</f>
        <v/>
      </c>
      <c r="D6450" s="194" t="inlineStr">
        <is>
          <t>entrada</t>
        </is>
      </c>
    </row>
    <row r="6451">
      <c r="A6451" s="194" t="inlineStr">
        <is>
          <t>personagem.pericia_custom.1.especializacao</t>
        </is>
      </c>
      <c r="B6451" s="194">
        <f>N('FICHA'!$E$413)&amp;""</f>
        <v/>
      </c>
      <c r="C6451" s="194">
        <f>"'FICHA'!E413"</f>
        <v/>
      </c>
      <c r="D6451" s="194" t="inlineStr">
        <is>
          <t>entrada</t>
        </is>
      </c>
    </row>
    <row r="6452">
      <c r="A6452" s="194" t="inlineStr">
        <is>
          <t>personagem.pericia_custom.1.atributo</t>
        </is>
      </c>
      <c r="B6452" s="194">
        <f>IF(ISBLANK('FICHA'!$N$413),"",'FICHA'!$N$413&amp;"")</f>
        <v/>
      </c>
      <c r="C6452" s="194">
        <f>"'FICHA'!N413"</f>
        <v/>
      </c>
      <c r="D6452" s="194" t="inlineStr">
        <is>
          <t>entrada</t>
        </is>
      </c>
    </row>
    <row r="6453">
      <c r="A6453" s="194" t="inlineStr">
        <is>
          <t>personagem.pericia_custom.1.resultado</t>
        </is>
      </c>
      <c r="B6453" s="194">
        <f>IF(ISBLANK('FICHA'!$R$413),"",'FICHA'!$R$413&amp;"")</f>
        <v/>
      </c>
      <c r="C6453" s="194">
        <f>"'FICHA'!R413"</f>
        <v/>
      </c>
      <c r="D6453" s="194" t="inlineStr">
        <is>
          <t>resultado</t>
        </is>
      </c>
    </row>
    <row r="6454">
      <c r="A6454" s="194" t="inlineStr">
        <is>
          <t>personagem.pericia_custom.1.bonus</t>
        </is>
      </c>
      <c r="B6454" s="194">
        <f>IF(ISBLANK('FICHA'!$T$413),"",'FICHA'!$T$413&amp;"")</f>
        <v/>
      </c>
      <c r="C6454" s="194">
        <f>"'FICHA'!T413"</f>
        <v/>
      </c>
      <c r="D6454" s="194" t="inlineStr">
        <is>
          <t>entrada</t>
        </is>
      </c>
    </row>
    <row r="6455">
      <c r="A6455" s="194" t="inlineStr">
        <is>
          <t>aviso.efeito_caixa.pericia_custom.1</t>
        </is>
      </c>
      <c r="B6455" s="194">
        <f>DADOS_CONFIG!$E$54&amp;""</f>
        <v/>
      </c>
      <c r="C6455" s="194" t="inlineStr">
        <is>
          <t>DADOS_CONFIG!E54</t>
        </is>
      </c>
      <c r="D6455" s="194" t="inlineStr">
        <is>
          <t>aviso</t>
        </is>
      </c>
    </row>
    <row r="6456">
      <c r="A6456" s="194" t="inlineStr">
        <is>
          <t>aviso.personagem.pericia_custom.1</t>
        </is>
      </c>
      <c r="B6456" s="194">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4">
        <f>"'FICHA'!F413"</f>
        <v/>
      </c>
      <c r="D6456" s="194" t="inlineStr">
        <is>
          <t>aviso</t>
        </is>
      </c>
    </row>
    <row r="6457">
      <c r="A6457" s="194" t="inlineStr">
        <is>
          <t>personagem.pericia_custom.2.nome</t>
        </is>
      </c>
      <c r="B6457" s="194">
        <f>IF(ISBLANK('FICHA'!$F$414),"",'FICHA'!$F$414&amp;"")</f>
        <v/>
      </c>
      <c r="C6457" s="194">
        <f>"'FICHA'!F414"</f>
        <v/>
      </c>
      <c r="D6457" s="194" t="inlineStr">
        <is>
          <t>entrada</t>
        </is>
      </c>
    </row>
    <row r="6458">
      <c r="A6458" s="194" t="inlineStr">
        <is>
          <t>personagem.pericia_custom.2.treino</t>
        </is>
      </c>
      <c r="B6458" s="194">
        <f>N('FICHA'!$D$414)&amp;""</f>
        <v/>
      </c>
      <c r="C6458" s="194">
        <f>"'FICHA'!D414"</f>
        <v/>
      </c>
      <c r="D6458" s="194" t="inlineStr">
        <is>
          <t>entrada</t>
        </is>
      </c>
    </row>
    <row r="6459">
      <c r="A6459" s="194" t="inlineStr">
        <is>
          <t>personagem.pericia_custom.2.especializacao</t>
        </is>
      </c>
      <c r="B6459" s="194">
        <f>N('FICHA'!$E$414)&amp;""</f>
        <v/>
      </c>
      <c r="C6459" s="194">
        <f>"'FICHA'!E414"</f>
        <v/>
      </c>
      <c r="D6459" s="194" t="inlineStr">
        <is>
          <t>entrada</t>
        </is>
      </c>
    </row>
    <row r="6460">
      <c r="A6460" s="194" t="inlineStr">
        <is>
          <t>personagem.pericia_custom.2.atributo</t>
        </is>
      </c>
      <c r="B6460" s="194">
        <f>IF(ISBLANK('FICHA'!$N$414),"",'FICHA'!$N$414&amp;"")</f>
        <v/>
      </c>
      <c r="C6460" s="194">
        <f>"'FICHA'!N414"</f>
        <v/>
      </c>
      <c r="D6460" s="194" t="inlineStr">
        <is>
          <t>entrada</t>
        </is>
      </c>
    </row>
    <row r="6461">
      <c r="A6461" s="194" t="inlineStr">
        <is>
          <t>personagem.pericia_custom.2.resultado</t>
        </is>
      </c>
      <c r="B6461" s="194">
        <f>IF(ISBLANK('FICHA'!$R$414),"",'FICHA'!$R$414&amp;"")</f>
        <v/>
      </c>
      <c r="C6461" s="194">
        <f>"'FICHA'!R414"</f>
        <v/>
      </c>
      <c r="D6461" s="194" t="inlineStr">
        <is>
          <t>resultado</t>
        </is>
      </c>
    </row>
    <row r="6462">
      <c r="A6462" s="194" t="inlineStr">
        <is>
          <t>personagem.pericia_custom.2.bonus</t>
        </is>
      </c>
      <c r="B6462" s="194">
        <f>IF(ISBLANK('FICHA'!$T$414),"",'FICHA'!$T$414&amp;"")</f>
        <v/>
      </c>
      <c r="C6462" s="194">
        <f>"'FICHA'!T414"</f>
        <v/>
      </c>
      <c r="D6462" s="194" t="inlineStr">
        <is>
          <t>entrada</t>
        </is>
      </c>
    </row>
    <row r="6463">
      <c r="A6463" s="194" t="inlineStr">
        <is>
          <t>aviso.efeito_caixa.pericia_custom.2</t>
        </is>
      </c>
      <c r="B6463" s="194">
        <f>DADOS_CONFIG!$E$55&amp;""</f>
        <v/>
      </c>
      <c r="C6463" s="194" t="inlineStr">
        <is>
          <t>DADOS_CONFIG!E55</t>
        </is>
      </c>
      <c r="D6463" s="194" t="inlineStr">
        <is>
          <t>aviso</t>
        </is>
      </c>
    </row>
    <row r="6464">
      <c r="A6464" s="194" t="inlineStr">
        <is>
          <t>aviso.personagem.pericia_custom.2</t>
        </is>
      </c>
      <c r="B6464" s="194">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4">
        <f>"'FICHA'!F414"</f>
        <v/>
      </c>
      <c r="D6464" s="194" t="inlineStr">
        <is>
          <t>aviso</t>
        </is>
      </c>
    </row>
    <row r="6465">
      <c r="A6465" s="194" t="inlineStr">
        <is>
          <t>personagem.pericia_custom.3.nome</t>
        </is>
      </c>
      <c r="B6465" s="194">
        <f>IF(ISBLANK('FICHA'!$F$415),"",'FICHA'!$F$415&amp;"")</f>
        <v/>
      </c>
      <c r="C6465" s="194">
        <f>"'FICHA'!F415"</f>
        <v/>
      </c>
      <c r="D6465" s="194" t="inlineStr">
        <is>
          <t>entrada</t>
        </is>
      </c>
    </row>
    <row r="6466">
      <c r="A6466" s="194" t="inlineStr">
        <is>
          <t>personagem.pericia_custom.3.treino</t>
        </is>
      </c>
      <c r="B6466" s="194">
        <f>N('FICHA'!$D$415)&amp;""</f>
        <v/>
      </c>
      <c r="C6466" s="194">
        <f>"'FICHA'!D415"</f>
        <v/>
      </c>
      <c r="D6466" s="194" t="inlineStr">
        <is>
          <t>entrada</t>
        </is>
      </c>
    </row>
    <row r="6467">
      <c r="A6467" s="194" t="inlineStr">
        <is>
          <t>personagem.pericia_custom.3.especializacao</t>
        </is>
      </c>
      <c r="B6467" s="194">
        <f>N('FICHA'!$E$415)&amp;""</f>
        <v/>
      </c>
      <c r="C6467" s="194">
        <f>"'FICHA'!E415"</f>
        <v/>
      </c>
      <c r="D6467" s="194" t="inlineStr">
        <is>
          <t>entrada</t>
        </is>
      </c>
    </row>
    <row r="6468">
      <c r="A6468" s="194" t="inlineStr">
        <is>
          <t>personagem.pericia_custom.3.atributo</t>
        </is>
      </c>
      <c r="B6468" s="194">
        <f>IF(ISBLANK('FICHA'!$N$415),"",'FICHA'!$N$415&amp;"")</f>
        <v/>
      </c>
      <c r="C6468" s="194">
        <f>"'FICHA'!N415"</f>
        <v/>
      </c>
      <c r="D6468" s="194" t="inlineStr">
        <is>
          <t>entrada</t>
        </is>
      </c>
    </row>
    <row r="6469">
      <c r="A6469" s="194" t="inlineStr">
        <is>
          <t>personagem.pericia_custom.3.resultado</t>
        </is>
      </c>
      <c r="B6469" s="194">
        <f>IF(ISBLANK('FICHA'!$R$415),"",'FICHA'!$R$415&amp;"")</f>
        <v/>
      </c>
      <c r="C6469" s="194">
        <f>"'FICHA'!R415"</f>
        <v/>
      </c>
      <c r="D6469" s="194" t="inlineStr">
        <is>
          <t>resultado</t>
        </is>
      </c>
    </row>
    <row r="6470">
      <c r="A6470" s="194" t="inlineStr">
        <is>
          <t>personagem.pericia_custom.3.bonus</t>
        </is>
      </c>
      <c r="B6470" s="194">
        <f>IF(ISBLANK('FICHA'!$T$415),"",'FICHA'!$T$415&amp;"")</f>
        <v/>
      </c>
      <c r="C6470" s="194">
        <f>"'FICHA'!T415"</f>
        <v/>
      </c>
      <c r="D6470" s="194" t="inlineStr">
        <is>
          <t>entrada</t>
        </is>
      </c>
    </row>
    <row r="6471">
      <c r="A6471" s="194" t="inlineStr">
        <is>
          <t>aviso.efeito_caixa.pericia_custom.3</t>
        </is>
      </c>
      <c r="B6471" s="194">
        <f>DADOS_CONFIG!$E$56&amp;""</f>
        <v/>
      </c>
      <c r="C6471" s="194" t="inlineStr">
        <is>
          <t>DADOS_CONFIG!E56</t>
        </is>
      </c>
      <c r="D6471" s="194" t="inlineStr">
        <is>
          <t>aviso</t>
        </is>
      </c>
    </row>
    <row r="6472">
      <c r="A6472" s="194" t="inlineStr">
        <is>
          <t>aviso.personagem.pericia_custom.3</t>
        </is>
      </c>
      <c r="B6472" s="194">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4">
        <f>"'FICHA'!F415"</f>
        <v/>
      </c>
      <c r="D6472" s="194" t="inlineStr">
        <is>
          <t>aviso</t>
        </is>
      </c>
    </row>
    <row r="6473">
      <c r="A6473" s="194" t="inlineStr">
        <is>
          <t>personagem.pericia_custom.4.nome</t>
        </is>
      </c>
      <c r="B6473" s="194">
        <f>IF(ISBLANK('FICHA'!$F$416),"",'FICHA'!$F$416&amp;"")</f>
        <v/>
      </c>
      <c r="C6473" s="194">
        <f>"'FICHA'!F416"</f>
        <v/>
      </c>
      <c r="D6473" s="194" t="inlineStr">
        <is>
          <t>entrada</t>
        </is>
      </c>
    </row>
    <row r="6474">
      <c r="A6474" s="194" t="inlineStr">
        <is>
          <t>personagem.pericia_custom.4.treino</t>
        </is>
      </c>
      <c r="B6474" s="194">
        <f>N('FICHA'!$D$416)&amp;""</f>
        <v/>
      </c>
      <c r="C6474" s="194">
        <f>"'FICHA'!D416"</f>
        <v/>
      </c>
      <c r="D6474" s="194" t="inlineStr">
        <is>
          <t>entrada</t>
        </is>
      </c>
    </row>
    <row r="6475">
      <c r="A6475" s="194" t="inlineStr">
        <is>
          <t>personagem.pericia_custom.4.especializacao</t>
        </is>
      </c>
      <c r="B6475" s="194">
        <f>N('FICHA'!$E$416)&amp;""</f>
        <v/>
      </c>
      <c r="C6475" s="194">
        <f>"'FICHA'!E416"</f>
        <v/>
      </c>
      <c r="D6475" s="194" t="inlineStr">
        <is>
          <t>entrada</t>
        </is>
      </c>
    </row>
    <row r="6476">
      <c r="A6476" s="194" t="inlineStr">
        <is>
          <t>personagem.pericia_custom.4.atributo</t>
        </is>
      </c>
      <c r="B6476" s="194">
        <f>IF(ISBLANK('FICHA'!$N$416),"",'FICHA'!$N$416&amp;"")</f>
        <v/>
      </c>
      <c r="C6476" s="194">
        <f>"'FICHA'!N416"</f>
        <v/>
      </c>
      <c r="D6476" s="194" t="inlineStr">
        <is>
          <t>entrada</t>
        </is>
      </c>
    </row>
    <row r="6477">
      <c r="A6477" s="194" t="inlineStr">
        <is>
          <t>personagem.pericia_custom.4.resultado</t>
        </is>
      </c>
      <c r="B6477" s="194">
        <f>IF(ISBLANK('FICHA'!$R$416),"",'FICHA'!$R$416&amp;"")</f>
        <v/>
      </c>
      <c r="C6477" s="194">
        <f>"'FICHA'!R416"</f>
        <v/>
      </c>
      <c r="D6477" s="194" t="inlineStr">
        <is>
          <t>resultado</t>
        </is>
      </c>
    </row>
    <row r="6478">
      <c r="A6478" s="194" t="inlineStr">
        <is>
          <t>personagem.pericia_custom.4.bonus</t>
        </is>
      </c>
      <c r="B6478" s="194">
        <f>IF(ISBLANK('FICHA'!$T$416),"",'FICHA'!$T$416&amp;"")</f>
        <v/>
      </c>
      <c r="C6478" s="194">
        <f>"'FICHA'!T416"</f>
        <v/>
      </c>
      <c r="D6478" s="194" t="inlineStr">
        <is>
          <t>entrada</t>
        </is>
      </c>
    </row>
    <row r="6479">
      <c r="A6479" s="194" t="inlineStr">
        <is>
          <t>aviso.efeito_caixa.pericia_custom.4</t>
        </is>
      </c>
      <c r="B6479" s="194">
        <f>DADOS_CONFIG!$E$57&amp;""</f>
        <v/>
      </c>
      <c r="C6479" s="194" t="inlineStr">
        <is>
          <t>DADOS_CONFIG!E57</t>
        </is>
      </c>
      <c r="D6479" s="194" t="inlineStr">
        <is>
          <t>aviso</t>
        </is>
      </c>
    </row>
    <row r="6480">
      <c r="A6480" s="194" t="inlineStr">
        <is>
          <t>aviso.personagem.pericia_custom.4</t>
        </is>
      </c>
      <c r="B6480" s="194">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4">
        <f>"'FICHA'!F416"</f>
        <v/>
      </c>
      <c r="D6480" s="194" t="inlineStr">
        <is>
          <t>aviso</t>
        </is>
      </c>
    </row>
    <row r="6481">
      <c r="A6481" s="194" t="inlineStr">
        <is>
          <t>personagem.pericia_custom.5.nome</t>
        </is>
      </c>
      <c r="B6481" s="194">
        <f>IF(ISBLANK('FICHA'!$F$417),"",'FICHA'!$F$417&amp;"")</f>
        <v/>
      </c>
      <c r="C6481" s="194">
        <f>"'FICHA'!F417"</f>
        <v/>
      </c>
      <c r="D6481" s="194" t="inlineStr">
        <is>
          <t>entrada</t>
        </is>
      </c>
    </row>
    <row r="6482">
      <c r="A6482" s="194" t="inlineStr">
        <is>
          <t>personagem.pericia_custom.5.treino</t>
        </is>
      </c>
      <c r="B6482" s="194">
        <f>N('FICHA'!$D$417)&amp;""</f>
        <v/>
      </c>
      <c r="C6482" s="194">
        <f>"'FICHA'!D417"</f>
        <v/>
      </c>
      <c r="D6482" s="194" t="inlineStr">
        <is>
          <t>entrada</t>
        </is>
      </c>
    </row>
    <row r="6483">
      <c r="A6483" s="194" t="inlineStr">
        <is>
          <t>personagem.pericia_custom.5.especializacao</t>
        </is>
      </c>
      <c r="B6483" s="194">
        <f>N('FICHA'!$E$417)&amp;""</f>
        <v/>
      </c>
      <c r="C6483" s="194">
        <f>"'FICHA'!E417"</f>
        <v/>
      </c>
      <c r="D6483" s="194" t="inlineStr">
        <is>
          <t>entrada</t>
        </is>
      </c>
    </row>
    <row r="6484">
      <c r="A6484" s="194" t="inlineStr">
        <is>
          <t>personagem.pericia_custom.5.atributo</t>
        </is>
      </c>
      <c r="B6484" s="194">
        <f>IF(ISBLANK('FICHA'!$N$417),"",'FICHA'!$N$417&amp;"")</f>
        <v/>
      </c>
      <c r="C6484" s="194">
        <f>"'FICHA'!N417"</f>
        <v/>
      </c>
      <c r="D6484" s="194" t="inlineStr">
        <is>
          <t>entrada</t>
        </is>
      </c>
    </row>
    <row r="6485">
      <c r="A6485" s="194" t="inlineStr">
        <is>
          <t>personagem.pericia_custom.5.resultado</t>
        </is>
      </c>
      <c r="B6485" s="194">
        <f>IF(ISBLANK('FICHA'!$R$417),"",'FICHA'!$R$417&amp;"")</f>
        <v/>
      </c>
      <c r="C6485" s="194">
        <f>"'FICHA'!R417"</f>
        <v/>
      </c>
      <c r="D6485" s="194" t="inlineStr">
        <is>
          <t>resultado</t>
        </is>
      </c>
    </row>
    <row r="6486">
      <c r="A6486" s="194" t="inlineStr">
        <is>
          <t>personagem.pericia_custom.5.bonus</t>
        </is>
      </c>
      <c r="B6486" s="194">
        <f>IF(ISBLANK('FICHA'!$T$417),"",'FICHA'!$T$417&amp;"")</f>
        <v/>
      </c>
      <c r="C6486" s="194">
        <f>"'FICHA'!T417"</f>
        <v/>
      </c>
      <c r="D6486" s="194" t="inlineStr">
        <is>
          <t>entrada</t>
        </is>
      </c>
    </row>
    <row r="6487">
      <c r="A6487" s="194" t="inlineStr">
        <is>
          <t>aviso.efeito_caixa.pericia_custom.5</t>
        </is>
      </c>
      <c r="B6487" s="194">
        <f>DADOS_CONFIG!$E$58&amp;""</f>
        <v/>
      </c>
      <c r="C6487" s="194" t="inlineStr">
        <is>
          <t>DADOS_CONFIG!E58</t>
        </is>
      </c>
      <c r="D6487" s="194" t="inlineStr">
        <is>
          <t>aviso</t>
        </is>
      </c>
    </row>
    <row r="6488">
      <c r="A6488" s="194" t="inlineStr">
        <is>
          <t>aviso.personagem.pericia_custom.5</t>
        </is>
      </c>
      <c r="B6488" s="194">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4">
        <f>"'FICHA'!F417"</f>
        <v/>
      </c>
      <c r="D6488" s="194" t="inlineStr">
        <is>
          <t>aviso</t>
        </is>
      </c>
    </row>
    <row r="6489">
      <c r="A6489" s="194" t="inlineStr">
        <is>
          <t>personagem.pericia_custom.6.nome</t>
        </is>
      </c>
      <c r="B6489" s="194">
        <f>IF(ISBLANK('FICHA'!$F$418),"",'FICHA'!$F$418&amp;"")</f>
        <v/>
      </c>
      <c r="C6489" s="194">
        <f>"'FICHA'!F418"</f>
        <v/>
      </c>
      <c r="D6489" s="194" t="inlineStr">
        <is>
          <t>entrada</t>
        </is>
      </c>
    </row>
    <row r="6490">
      <c r="A6490" s="194" t="inlineStr">
        <is>
          <t>personagem.pericia_custom.6.treino</t>
        </is>
      </c>
      <c r="B6490" s="194">
        <f>N('FICHA'!$D$418)&amp;""</f>
        <v/>
      </c>
      <c r="C6490" s="194">
        <f>"'FICHA'!D418"</f>
        <v/>
      </c>
      <c r="D6490" s="194" t="inlineStr">
        <is>
          <t>entrada</t>
        </is>
      </c>
    </row>
    <row r="6491">
      <c r="A6491" s="194" t="inlineStr">
        <is>
          <t>personagem.pericia_custom.6.especializacao</t>
        </is>
      </c>
      <c r="B6491" s="194">
        <f>N('FICHA'!$E$418)&amp;""</f>
        <v/>
      </c>
      <c r="C6491" s="194">
        <f>"'FICHA'!E418"</f>
        <v/>
      </c>
      <c r="D6491" s="194" t="inlineStr">
        <is>
          <t>entrada</t>
        </is>
      </c>
    </row>
    <row r="6492">
      <c r="A6492" s="194" t="inlineStr">
        <is>
          <t>personagem.pericia_custom.6.atributo</t>
        </is>
      </c>
      <c r="B6492" s="194">
        <f>IF(ISBLANK('FICHA'!$N$418),"",'FICHA'!$N$418&amp;"")</f>
        <v/>
      </c>
      <c r="C6492" s="194">
        <f>"'FICHA'!N418"</f>
        <v/>
      </c>
      <c r="D6492" s="194" t="inlineStr">
        <is>
          <t>entrada</t>
        </is>
      </c>
    </row>
    <row r="6493">
      <c r="A6493" s="194" t="inlineStr">
        <is>
          <t>personagem.pericia_custom.6.resultado</t>
        </is>
      </c>
      <c r="B6493" s="194">
        <f>IF(ISBLANK('FICHA'!$R$418),"",'FICHA'!$R$418&amp;"")</f>
        <v/>
      </c>
      <c r="C6493" s="194">
        <f>"'FICHA'!R418"</f>
        <v/>
      </c>
      <c r="D6493" s="194" t="inlineStr">
        <is>
          <t>resultado</t>
        </is>
      </c>
    </row>
    <row r="6494">
      <c r="A6494" s="194" t="inlineStr">
        <is>
          <t>personagem.pericia_custom.6.bonus</t>
        </is>
      </c>
      <c r="B6494" s="194">
        <f>IF(ISBLANK('FICHA'!$T$418),"",'FICHA'!$T$418&amp;"")</f>
        <v/>
      </c>
      <c r="C6494" s="194">
        <f>"'FICHA'!T418"</f>
        <v/>
      </c>
      <c r="D6494" s="194" t="inlineStr">
        <is>
          <t>entrada</t>
        </is>
      </c>
    </row>
    <row r="6495">
      <c r="A6495" s="194" t="inlineStr">
        <is>
          <t>aviso.efeito_caixa.pericia_custom.6</t>
        </is>
      </c>
      <c r="B6495" s="194">
        <f>DADOS_CONFIG!$E$59&amp;""</f>
        <v/>
      </c>
      <c r="C6495" s="194" t="inlineStr">
        <is>
          <t>DADOS_CONFIG!E59</t>
        </is>
      </c>
      <c r="D6495" s="194" t="inlineStr">
        <is>
          <t>aviso</t>
        </is>
      </c>
    </row>
    <row r="6496">
      <c r="A6496" s="194" t="inlineStr">
        <is>
          <t>aviso.personagem.pericia_custom.6</t>
        </is>
      </c>
      <c r="B6496" s="194">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4">
        <f>"'FICHA'!F418"</f>
        <v/>
      </c>
      <c r="D6496" s="194" t="inlineStr">
        <is>
          <t>aviso</t>
        </is>
      </c>
    </row>
    <row r="6497">
      <c r="A6497" s="194" t="inlineStr">
        <is>
          <t>personagem.pericia_custom.7.nome</t>
        </is>
      </c>
      <c r="B6497" s="194">
        <f>IF(ISBLANK('FICHA'!$F$419),"",'FICHA'!$F$419&amp;"")</f>
        <v/>
      </c>
      <c r="C6497" s="194">
        <f>"'FICHA'!F419"</f>
        <v/>
      </c>
      <c r="D6497" s="194" t="inlineStr">
        <is>
          <t>entrada</t>
        </is>
      </c>
    </row>
    <row r="6498">
      <c r="A6498" s="194" t="inlineStr">
        <is>
          <t>personagem.pericia_custom.7.treino</t>
        </is>
      </c>
      <c r="B6498" s="194">
        <f>N('FICHA'!$D$419)&amp;""</f>
        <v/>
      </c>
      <c r="C6498" s="194">
        <f>"'FICHA'!D419"</f>
        <v/>
      </c>
      <c r="D6498" s="194" t="inlineStr">
        <is>
          <t>entrada</t>
        </is>
      </c>
    </row>
    <row r="6499">
      <c r="A6499" s="194" t="inlineStr">
        <is>
          <t>personagem.pericia_custom.7.especializacao</t>
        </is>
      </c>
      <c r="B6499" s="194">
        <f>N('FICHA'!$E$419)&amp;""</f>
        <v/>
      </c>
      <c r="C6499" s="194">
        <f>"'FICHA'!E419"</f>
        <v/>
      </c>
      <c r="D6499" s="194" t="inlineStr">
        <is>
          <t>entrada</t>
        </is>
      </c>
    </row>
    <row r="6500">
      <c r="A6500" s="194" t="inlineStr">
        <is>
          <t>personagem.pericia_custom.7.atributo</t>
        </is>
      </c>
      <c r="B6500" s="194">
        <f>IF(ISBLANK('FICHA'!$N$419),"",'FICHA'!$N$419&amp;"")</f>
        <v/>
      </c>
      <c r="C6500" s="194">
        <f>"'FICHA'!N419"</f>
        <v/>
      </c>
      <c r="D6500" s="194" t="inlineStr">
        <is>
          <t>entrada</t>
        </is>
      </c>
    </row>
    <row r="6501">
      <c r="A6501" s="194" t="inlineStr">
        <is>
          <t>personagem.pericia_custom.7.resultado</t>
        </is>
      </c>
      <c r="B6501" s="194">
        <f>IF(ISBLANK('FICHA'!$R$419),"",'FICHA'!$R$419&amp;"")</f>
        <v/>
      </c>
      <c r="C6501" s="194">
        <f>"'FICHA'!R419"</f>
        <v/>
      </c>
      <c r="D6501" s="194" t="inlineStr">
        <is>
          <t>resultado</t>
        </is>
      </c>
    </row>
    <row r="6502">
      <c r="A6502" s="194" t="inlineStr">
        <is>
          <t>personagem.pericia_custom.7.bonus</t>
        </is>
      </c>
      <c r="B6502" s="194">
        <f>IF(ISBLANK('FICHA'!$T$419),"",'FICHA'!$T$419&amp;"")</f>
        <v/>
      </c>
      <c r="C6502" s="194">
        <f>"'FICHA'!T419"</f>
        <v/>
      </c>
      <c r="D6502" s="194" t="inlineStr">
        <is>
          <t>entrada</t>
        </is>
      </c>
    </row>
    <row r="6503">
      <c r="A6503" s="194" t="inlineStr">
        <is>
          <t>aviso.efeito_caixa.pericia_custom.7</t>
        </is>
      </c>
      <c r="B6503" s="194">
        <f>DADOS_CONFIG!$E$60&amp;""</f>
        <v/>
      </c>
      <c r="C6503" s="194" t="inlineStr">
        <is>
          <t>DADOS_CONFIG!E60</t>
        </is>
      </c>
      <c r="D6503" s="194" t="inlineStr">
        <is>
          <t>aviso</t>
        </is>
      </c>
    </row>
    <row r="6504">
      <c r="A6504" s="194" t="inlineStr">
        <is>
          <t>aviso.personagem.pericia_custom.7</t>
        </is>
      </c>
      <c r="B6504" s="194">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4">
        <f>"'FICHA'!F419"</f>
        <v/>
      </c>
      <c r="D6504" s="194" t="inlineStr">
        <is>
          <t>aviso</t>
        </is>
      </c>
    </row>
    <row r="6505">
      <c r="A6505" s="194" t="inlineStr">
        <is>
          <t>personagem.pericia_custom.8.nome</t>
        </is>
      </c>
      <c r="B6505" s="194">
        <f>IF(ISBLANK('FICHA'!$F$420),"",'FICHA'!$F$420&amp;"")</f>
        <v/>
      </c>
      <c r="C6505" s="194">
        <f>"'FICHA'!F420"</f>
        <v/>
      </c>
      <c r="D6505" s="194" t="inlineStr">
        <is>
          <t>entrada</t>
        </is>
      </c>
    </row>
    <row r="6506">
      <c r="A6506" s="194" t="inlineStr">
        <is>
          <t>personagem.pericia_custom.8.treino</t>
        </is>
      </c>
      <c r="B6506" s="194">
        <f>N('FICHA'!$D$420)&amp;""</f>
        <v/>
      </c>
      <c r="C6506" s="194">
        <f>"'FICHA'!D420"</f>
        <v/>
      </c>
      <c r="D6506" s="194" t="inlineStr">
        <is>
          <t>entrada</t>
        </is>
      </c>
    </row>
    <row r="6507">
      <c r="A6507" s="194" t="inlineStr">
        <is>
          <t>personagem.pericia_custom.8.especializacao</t>
        </is>
      </c>
      <c r="B6507" s="194">
        <f>N('FICHA'!$E$420)&amp;""</f>
        <v/>
      </c>
      <c r="C6507" s="194">
        <f>"'FICHA'!E420"</f>
        <v/>
      </c>
      <c r="D6507" s="194" t="inlineStr">
        <is>
          <t>entrada</t>
        </is>
      </c>
    </row>
    <row r="6508">
      <c r="A6508" s="194" t="inlineStr">
        <is>
          <t>personagem.pericia_custom.8.atributo</t>
        </is>
      </c>
      <c r="B6508" s="194">
        <f>IF(ISBLANK('FICHA'!$N$420),"",'FICHA'!$N$420&amp;"")</f>
        <v/>
      </c>
      <c r="C6508" s="194">
        <f>"'FICHA'!N420"</f>
        <v/>
      </c>
      <c r="D6508" s="194" t="inlineStr">
        <is>
          <t>entrada</t>
        </is>
      </c>
    </row>
    <row r="6509">
      <c r="A6509" s="194" t="inlineStr">
        <is>
          <t>personagem.pericia_custom.8.resultado</t>
        </is>
      </c>
      <c r="B6509" s="194">
        <f>IF(ISBLANK('FICHA'!$R$420),"",'FICHA'!$R$420&amp;"")</f>
        <v/>
      </c>
      <c r="C6509" s="194">
        <f>"'FICHA'!R420"</f>
        <v/>
      </c>
      <c r="D6509" s="194" t="inlineStr">
        <is>
          <t>resultado</t>
        </is>
      </c>
    </row>
    <row r="6510">
      <c r="A6510" s="194" t="inlineStr">
        <is>
          <t>personagem.pericia_custom.8.bonus</t>
        </is>
      </c>
      <c r="B6510" s="194">
        <f>IF(ISBLANK('FICHA'!$T$420),"",'FICHA'!$T$420&amp;"")</f>
        <v/>
      </c>
      <c r="C6510" s="194">
        <f>"'FICHA'!T420"</f>
        <v/>
      </c>
      <c r="D6510" s="194" t="inlineStr">
        <is>
          <t>entrada</t>
        </is>
      </c>
    </row>
    <row r="6511">
      <c r="A6511" s="194" t="inlineStr">
        <is>
          <t>aviso.efeito_caixa.pericia_custom.8</t>
        </is>
      </c>
      <c r="B6511" s="194">
        <f>DADOS_CONFIG!$E$61&amp;""</f>
        <v/>
      </c>
      <c r="C6511" s="194" t="inlineStr">
        <is>
          <t>DADOS_CONFIG!E61</t>
        </is>
      </c>
      <c r="D6511" s="194" t="inlineStr">
        <is>
          <t>aviso</t>
        </is>
      </c>
    </row>
    <row r="6512">
      <c r="A6512" s="194" t="inlineStr">
        <is>
          <t>aviso.personagem.pericia_custom.8</t>
        </is>
      </c>
      <c r="B6512" s="194">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4">
        <f>"'FICHA'!F420"</f>
        <v/>
      </c>
      <c r="D6512" s="194" t="inlineStr">
        <is>
          <t>aviso</t>
        </is>
      </c>
    </row>
    <row r="6513">
      <c r="A6513" s="194" t="inlineStr">
        <is>
          <t>personagem.pericia_custom.9.nome</t>
        </is>
      </c>
      <c r="B6513" s="194">
        <f>IF(ISBLANK('FICHA'!$F$421),"",'FICHA'!$F$421&amp;"")</f>
        <v/>
      </c>
      <c r="C6513" s="194">
        <f>"'FICHA'!F421"</f>
        <v/>
      </c>
      <c r="D6513" s="194" t="inlineStr">
        <is>
          <t>entrada</t>
        </is>
      </c>
    </row>
    <row r="6514">
      <c r="A6514" s="194" t="inlineStr">
        <is>
          <t>personagem.pericia_custom.9.treino</t>
        </is>
      </c>
      <c r="B6514" s="194">
        <f>N('FICHA'!$D$421)&amp;""</f>
        <v/>
      </c>
      <c r="C6514" s="194">
        <f>"'FICHA'!D421"</f>
        <v/>
      </c>
      <c r="D6514" s="194" t="inlineStr">
        <is>
          <t>entrada</t>
        </is>
      </c>
    </row>
    <row r="6515">
      <c r="A6515" s="194" t="inlineStr">
        <is>
          <t>personagem.pericia_custom.9.especializacao</t>
        </is>
      </c>
      <c r="B6515" s="194">
        <f>N('FICHA'!$E$421)&amp;""</f>
        <v/>
      </c>
      <c r="C6515" s="194">
        <f>"'FICHA'!E421"</f>
        <v/>
      </c>
      <c r="D6515" s="194" t="inlineStr">
        <is>
          <t>entrada</t>
        </is>
      </c>
    </row>
    <row r="6516">
      <c r="A6516" s="194" t="inlineStr">
        <is>
          <t>personagem.pericia_custom.9.atributo</t>
        </is>
      </c>
      <c r="B6516" s="194">
        <f>IF(ISBLANK('FICHA'!$N$421),"",'FICHA'!$N$421&amp;"")</f>
        <v/>
      </c>
      <c r="C6516" s="194">
        <f>"'FICHA'!N421"</f>
        <v/>
      </c>
      <c r="D6516" s="194" t="inlineStr">
        <is>
          <t>entrada</t>
        </is>
      </c>
    </row>
    <row r="6517">
      <c r="A6517" s="194" t="inlineStr">
        <is>
          <t>personagem.pericia_custom.9.resultado</t>
        </is>
      </c>
      <c r="B6517" s="194">
        <f>IF(ISBLANK('FICHA'!$R$421),"",'FICHA'!$R$421&amp;"")</f>
        <v/>
      </c>
      <c r="C6517" s="194">
        <f>"'FICHA'!R421"</f>
        <v/>
      </c>
      <c r="D6517" s="194" t="inlineStr">
        <is>
          <t>resultado</t>
        </is>
      </c>
    </row>
    <row r="6518">
      <c r="A6518" s="194" t="inlineStr">
        <is>
          <t>personagem.pericia_custom.9.bonus</t>
        </is>
      </c>
      <c r="B6518" s="194">
        <f>IF(ISBLANK('FICHA'!$T$421),"",'FICHA'!$T$421&amp;"")</f>
        <v/>
      </c>
      <c r="C6518" s="194">
        <f>"'FICHA'!T421"</f>
        <v/>
      </c>
      <c r="D6518" s="194" t="inlineStr">
        <is>
          <t>entrada</t>
        </is>
      </c>
    </row>
    <row r="6519">
      <c r="A6519" s="194" t="inlineStr">
        <is>
          <t>aviso.efeito_caixa.pericia_custom.9</t>
        </is>
      </c>
      <c r="B6519" s="194">
        <f>DADOS_CONFIG!$E$62&amp;""</f>
        <v/>
      </c>
      <c r="C6519" s="194" t="inlineStr">
        <is>
          <t>DADOS_CONFIG!E62</t>
        </is>
      </c>
      <c r="D6519" s="194" t="inlineStr">
        <is>
          <t>aviso</t>
        </is>
      </c>
    </row>
    <row r="6520">
      <c r="A6520" s="194" t="inlineStr">
        <is>
          <t>aviso.personagem.pericia_custom.9</t>
        </is>
      </c>
      <c r="B6520" s="194">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4">
        <f>"'FICHA'!F421"</f>
        <v/>
      </c>
      <c r="D6520" s="194" t="inlineStr">
        <is>
          <t>aviso</t>
        </is>
      </c>
    </row>
    <row r="6521">
      <c r="A6521" s="194" t="inlineStr">
        <is>
          <t>personagem.pericia_custom.10.nome</t>
        </is>
      </c>
      <c r="B6521" s="194">
        <f>IF(ISBLANK('FICHA'!$F$422),"",'FICHA'!$F$422&amp;"")</f>
        <v/>
      </c>
      <c r="C6521" s="194">
        <f>"'FICHA'!F422"</f>
        <v/>
      </c>
      <c r="D6521" s="194" t="inlineStr">
        <is>
          <t>entrada</t>
        </is>
      </c>
    </row>
    <row r="6522">
      <c r="A6522" s="194" t="inlineStr">
        <is>
          <t>personagem.pericia_custom.10.treino</t>
        </is>
      </c>
      <c r="B6522" s="194">
        <f>N('FICHA'!$D$422)&amp;""</f>
        <v/>
      </c>
      <c r="C6522" s="194">
        <f>"'FICHA'!D422"</f>
        <v/>
      </c>
      <c r="D6522" s="194" t="inlineStr">
        <is>
          <t>entrada</t>
        </is>
      </c>
    </row>
    <row r="6523">
      <c r="A6523" s="194" t="inlineStr">
        <is>
          <t>personagem.pericia_custom.10.especializacao</t>
        </is>
      </c>
      <c r="B6523" s="194">
        <f>N('FICHA'!$E$422)&amp;""</f>
        <v/>
      </c>
      <c r="C6523" s="194">
        <f>"'FICHA'!E422"</f>
        <v/>
      </c>
      <c r="D6523" s="194" t="inlineStr">
        <is>
          <t>entrada</t>
        </is>
      </c>
    </row>
    <row r="6524">
      <c r="A6524" s="194" t="inlineStr">
        <is>
          <t>personagem.pericia_custom.10.atributo</t>
        </is>
      </c>
      <c r="B6524" s="194">
        <f>IF(ISBLANK('FICHA'!$N$422),"",'FICHA'!$N$422&amp;"")</f>
        <v/>
      </c>
      <c r="C6524" s="194">
        <f>"'FICHA'!N422"</f>
        <v/>
      </c>
      <c r="D6524" s="194" t="inlineStr">
        <is>
          <t>entrada</t>
        </is>
      </c>
    </row>
    <row r="6525">
      <c r="A6525" s="194" t="inlineStr">
        <is>
          <t>personagem.pericia_custom.10.resultado</t>
        </is>
      </c>
      <c r="B6525" s="194">
        <f>IF(ISBLANK('FICHA'!$R$422),"",'FICHA'!$R$422&amp;"")</f>
        <v/>
      </c>
      <c r="C6525" s="194">
        <f>"'FICHA'!R422"</f>
        <v/>
      </c>
      <c r="D6525" s="194" t="inlineStr">
        <is>
          <t>resultado</t>
        </is>
      </c>
    </row>
    <row r="6526">
      <c r="A6526" s="194" t="inlineStr">
        <is>
          <t>personagem.pericia_custom.10.bonus</t>
        </is>
      </c>
      <c r="B6526" s="194">
        <f>IF(ISBLANK('FICHA'!$T$422),"",'FICHA'!$T$422&amp;"")</f>
        <v/>
      </c>
      <c r="C6526" s="194">
        <f>"'FICHA'!T422"</f>
        <v/>
      </c>
      <c r="D6526" s="194" t="inlineStr">
        <is>
          <t>entrada</t>
        </is>
      </c>
    </row>
    <row r="6527">
      <c r="A6527" s="194" t="inlineStr">
        <is>
          <t>aviso.efeito_caixa.pericia_custom.10</t>
        </is>
      </c>
      <c r="B6527" s="194">
        <f>DADOS_CONFIG!$E$63&amp;""</f>
        <v/>
      </c>
      <c r="C6527" s="194" t="inlineStr">
        <is>
          <t>DADOS_CONFIG!E63</t>
        </is>
      </c>
      <c r="D6527" s="194" t="inlineStr">
        <is>
          <t>aviso</t>
        </is>
      </c>
    </row>
    <row r="6528">
      <c r="A6528" s="194" t="inlineStr">
        <is>
          <t>aviso.personagem.pericia_custom.10</t>
        </is>
      </c>
      <c r="B6528" s="194">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4">
        <f>"'FICHA'!F422"</f>
        <v/>
      </c>
      <c r="D6528" s="194" t="inlineStr">
        <is>
          <t>aviso</t>
        </is>
      </c>
    </row>
    <row r="6529">
      <c r="A6529" s="194" t="inlineStr">
        <is>
          <t>personagem.pericia_custom.11.nome</t>
        </is>
      </c>
      <c r="B6529" s="194">
        <f>IF(ISBLANK('FICHA'!$F$423),"",'FICHA'!$F$423&amp;"")</f>
        <v/>
      </c>
      <c r="C6529" s="194">
        <f>"'FICHA'!F423"</f>
        <v/>
      </c>
      <c r="D6529" s="194" t="inlineStr">
        <is>
          <t>entrada</t>
        </is>
      </c>
    </row>
    <row r="6530">
      <c r="A6530" s="194" t="inlineStr">
        <is>
          <t>personagem.pericia_custom.11.treino</t>
        </is>
      </c>
      <c r="B6530" s="194">
        <f>N('FICHA'!$D$423)&amp;""</f>
        <v/>
      </c>
      <c r="C6530" s="194">
        <f>"'FICHA'!D423"</f>
        <v/>
      </c>
      <c r="D6530" s="194" t="inlineStr">
        <is>
          <t>entrada</t>
        </is>
      </c>
    </row>
    <row r="6531">
      <c r="A6531" s="194" t="inlineStr">
        <is>
          <t>personagem.pericia_custom.11.especializacao</t>
        </is>
      </c>
      <c r="B6531" s="194">
        <f>N('FICHA'!$E$423)&amp;""</f>
        <v/>
      </c>
      <c r="C6531" s="194">
        <f>"'FICHA'!E423"</f>
        <v/>
      </c>
      <c r="D6531" s="194" t="inlineStr">
        <is>
          <t>entrada</t>
        </is>
      </c>
    </row>
    <row r="6532">
      <c r="A6532" s="194" t="inlineStr">
        <is>
          <t>personagem.pericia_custom.11.atributo</t>
        </is>
      </c>
      <c r="B6532" s="194">
        <f>IF(ISBLANK('FICHA'!$N$423),"",'FICHA'!$N$423&amp;"")</f>
        <v/>
      </c>
      <c r="C6532" s="194">
        <f>"'FICHA'!N423"</f>
        <v/>
      </c>
      <c r="D6532" s="194" t="inlineStr">
        <is>
          <t>entrada</t>
        </is>
      </c>
    </row>
    <row r="6533">
      <c r="A6533" s="194" t="inlineStr">
        <is>
          <t>personagem.pericia_custom.11.resultado</t>
        </is>
      </c>
      <c r="B6533" s="194">
        <f>IF(ISBLANK('FICHA'!$R$423),"",'FICHA'!$R$423&amp;"")</f>
        <v/>
      </c>
      <c r="C6533" s="194">
        <f>"'FICHA'!R423"</f>
        <v/>
      </c>
      <c r="D6533" s="194" t="inlineStr">
        <is>
          <t>resultado</t>
        </is>
      </c>
    </row>
    <row r="6534">
      <c r="A6534" s="194" t="inlineStr">
        <is>
          <t>personagem.pericia_custom.11.bonus</t>
        </is>
      </c>
      <c r="B6534" s="194">
        <f>IF(ISBLANK('FICHA'!$T$423),"",'FICHA'!$T$423&amp;"")</f>
        <v/>
      </c>
      <c r="C6534" s="194">
        <f>"'FICHA'!T423"</f>
        <v/>
      </c>
      <c r="D6534" s="194" t="inlineStr">
        <is>
          <t>entrada</t>
        </is>
      </c>
    </row>
    <row r="6535">
      <c r="A6535" s="194" t="inlineStr">
        <is>
          <t>aviso.efeito_caixa.pericia_custom.11</t>
        </is>
      </c>
      <c r="B6535" s="194">
        <f>DADOS_CONFIG!$E$64&amp;""</f>
        <v/>
      </c>
      <c r="C6535" s="194" t="inlineStr">
        <is>
          <t>DADOS_CONFIG!E64</t>
        </is>
      </c>
      <c r="D6535" s="194" t="inlineStr">
        <is>
          <t>aviso</t>
        </is>
      </c>
    </row>
    <row r="6536">
      <c r="A6536" s="194" t="inlineStr">
        <is>
          <t>aviso.personagem.pericia_custom.11</t>
        </is>
      </c>
      <c r="B6536" s="194">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4">
        <f>"'FICHA'!F423"</f>
        <v/>
      </c>
      <c r="D6536" s="194" t="inlineStr">
        <is>
          <t>aviso</t>
        </is>
      </c>
    </row>
    <row r="6537">
      <c r="A6537" s="194" t="inlineStr">
        <is>
          <t>personagem.pericia_custom.12.nome</t>
        </is>
      </c>
      <c r="B6537" s="194">
        <f>IF(ISBLANK('FICHA'!$F$424),"",'FICHA'!$F$424&amp;"")</f>
        <v/>
      </c>
      <c r="C6537" s="194">
        <f>"'FICHA'!F424"</f>
        <v/>
      </c>
      <c r="D6537" s="194" t="inlineStr">
        <is>
          <t>entrada</t>
        </is>
      </c>
    </row>
    <row r="6538">
      <c r="A6538" s="194" t="inlineStr">
        <is>
          <t>personagem.pericia_custom.12.treino</t>
        </is>
      </c>
      <c r="B6538" s="194">
        <f>N('FICHA'!$D$424)&amp;""</f>
        <v/>
      </c>
      <c r="C6538" s="194">
        <f>"'FICHA'!D424"</f>
        <v/>
      </c>
      <c r="D6538" s="194" t="inlineStr">
        <is>
          <t>entrada</t>
        </is>
      </c>
    </row>
    <row r="6539">
      <c r="A6539" s="194" t="inlineStr">
        <is>
          <t>personagem.pericia_custom.12.especializacao</t>
        </is>
      </c>
      <c r="B6539" s="194">
        <f>N('FICHA'!$E$424)&amp;""</f>
        <v/>
      </c>
      <c r="C6539" s="194">
        <f>"'FICHA'!E424"</f>
        <v/>
      </c>
      <c r="D6539" s="194" t="inlineStr">
        <is>
          <t>entrada</t>
        </is>
      </c>
    </row>
    <row r="6540">
      <c r="A6540" s="194" t="inlineStr">
        <is>
          <t>personagem.pericia_custom.12.atributo</t>
        </is>
      </c>
      <c r="B6540" s="194">
        <f>IF(ISBLANK('FICHA'!$N$424),"",'FICHA'!$N$424&amp;"")</f>
        <v/>
      </c>
      <c r="C6540" s="194">
        <f>"'FICHA'!N424"</f>
        <v/>
      </c>
      <c r="D6540" s="194" t="inlineStr">
        <is>
          <t>entrada</t>
        </is>
      </c>
    </row>
    <row r="6541">
      <c r="A6541" s="194" t="inlineStr">
        <is>
          <t>personagem.pericia_custom.12.resultado</t>
        </is>
      </c>
      <c r="B6541" s="194">
        <f>IF(ISBLANK('FICHA'!$R$424),"",'FICHA'!$R$424&amp;"")</f>
        <v/>
      </c>
      <c r="C6541" s="194">
        <f>"'FICHA'!R424"</f>
        <v/>
      </c>
      <c r="D6541" s="194" t="inlineStr">
        <is>
          <t>resultado</t>
        </is>
      </c>
    </row>
    <row r="6542">
      <c r="A6542" s="194" t="inlineStr">
        <is>
          <t>personagem.pericia_custom.12.bonus</t>
        </is>
      </c>
      <c r="B6542" s="194">
        <f>IF(ISBLANK('FICHA'!$T$424),"",'FICHA'!$T$424&amp;"")</f>
        <v/>
      </c>
      <c r="C6542" s="194">
        <f>"'FICHA'!T424"</f>
        <v/>
      </c>
      <c r="D6542" s="194" t="inlineStr">
        <is>
          <t>entrada</t>
        </is>
      </c>
    </row>
    <row r="6543">
      <c r="A6543" s="194" t="inlineStr">
        <is>
          <t>aviso.efeito_caixa.pericia_custom.12</t>
        </is>
      </c>
      <c r="B6543" s="194">
        <f>DADOS_CONFIG!$E$65&amp;""</f>
        <v/>
      </c>
      <c r="C6543" s="194" t="inlineStr">
        <is>
          <t>DADOS_CONFIG!E65</t>
        </is>
      </c>
      <c r="D6543" s="194" t="inlineStr">
        <is>
          <t>aviso</t>
        </is>
      </c>
    </row>
    <row r="6544">
      <c r="A6544" s="194" t="inlineStr">
        <is>
          <t>aviso.personagem.pericia_custom.12</t>
        </is>
      </c>
      <c r="B6544" s="194">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4">
        <f>"'FICHA'!F424"</f>
        <v/>
      </c>
      <c r="D6544" s="194" t="inlineStr">
        <is>
          <t>aviso</t>
        </is>
      </c>
    </row>
    <row r="6545">
      <c r="A6545" s="194" t="inlineStr">
        <is>
          <t>personagem.pericia_custom.13.nome</t>
        </is>
      </c>
      <c r="B6545" s="194">
        <f>IF(ISBLANK('FICHA'!$Z$413),"",'FICHA'!$Z$413&amp;"")</f>
        <v/>
      </c>
      <c r="C6545" s="194">
        <f>"'FICHA'!Z413"</f>
        <v/>
      </c>
      <c r="D6545" s="194" t="inlineStr">
        <is>
          <t>entrada</t>
        </is>
      </c>
    </row>
    <row r="6546">
      <c r="A6546" s="194" t="inlineStr">
        <is>
          <t>personagem.pericia_custom.13.treino</t>
        </is>
      </c>
      <c r="B6546" s="194">
        <f>N('FICHA'!$X$413)&amp;""</f>
        <v/>
      </c>
      <c r="C6546" s="194">
        <f>"'FICHA'!X413"</f>
        <v/>
      </c>
      <c r="D6546" s="194" t="inlineStr">
        <is>
          <t>entrada</t>
        </is>
      </c>
    </row>
    <row r="6547">
      <c r="A6547" s="194" t="inlineStr">
        <is>
          <t>personagem.pericia_custom.13.especializacao</t>
        </is>
      </c>
      <c r="B6547" s="194">
        <f>N('FICHA'!$Y$413)&amp;""</f>
        <v/>
      </c>
      <c r="C6547" s="194">
        <f>"'FICHA'!Y413"</f>
        <v/>
      </c>
      <c r="D6547" s="194" t="inlineStr">
        <is>
          <t>entrada</t>
        </is>
      </c>
    </row>
    <row r="6548">
      <c r="A6548" s="194" t="inlineStr">
        <is>
          <t>personagem.pericia_custom.13.atributo</t>
        </is>
      </c>
      <c r="B6548" s="194">
        <f>IF(ISBLANK('FICHA'!$AH$413),"",'FICHA'!$AH$413&amp;"")</f>
        <v/>
      </c>
      <c r="C6548" s="194">
        <f>"'FICHA'!AH413"</f>
        <v/>
      </c>
      <c r="D6548" s="194" t="inlineStr">
        <is>
          <t>entrada</t>
        </is>
      </c>
    </row>
    <row r="6549">
      <c r="A6549" s="194" t="inlineStr">
        <is>
          <t>personagem.pericia_custom.13.resultado</t>
        </is>
      </c>
      <c r="B6549" s="194">
        <f>IF(ISBLANK('FICHA'!$AL$413),"",'FICHA'!$AL$413&amp;"")</f>
        <v/>
      </c>
      <c r="C6549" s="194">
        <f>"'FICHA'!AL413"</f>
        <v/>
      </c>
      <c r="D6549" s="194" t="inlineStr">
        <is>
          <t>resultado</t>
        </is>
      </c>
    </row>
    <row r="6550">
      <c r="A6550" s="194" t="inlineStr">
        <is>
          <t>personagem.pericia_custom.13.bonus</t>
        </is>
      </c>
      <c r="B6550" s="194">
        <f>IF(ISBLANK('FICHA'!$AN$413),"",'FICHA'!$AN$413&amp;"")</f>
        <v/>
      </c>
      <c r="C6550" s="194">
        <f>"'FICHA'!AN413"</f>
        <v/>
      </c>
      <c r="D6550" s="194" t="inlineStr">
        <is>
          <t>entrada</t>
        </is>
      </c>
    </row>
    <row r="6551">
      <c r="A6551" s="194" t="inlineStr">
        <is>
          <t>aviso.efeito_caixa.pericia_custom.13</t>
        </is>
      </c>
      <c r="B6551" s="194">
        <f>DADOS_CONFIG!$E$66&amp;""</f>
        <v/>
      </c>
      <c r="C6551" s="194" t="inlineStr">
        <is>
          <t>DADOS_CONFIG!E66</t>
        </is>
      </c>
      <c r="D6551" s="194" t="inlineStr">
        <is>
          <t>aviso</t>
        </is>
      </c>
    </row>
    <row r="6552">
      <c r="A6552" s="194" t="inlineStr">
        <is>
          <t>aviso.personagem.pericia_custom.13</t>
        </is>
      </c>
      <c r="B6552" s="194">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4">
        <f>"'FICHA'!Z413"</f>
        <v/>
      </c>
      <c r="D6552" s="194" t="inlineStr">
        <is>
          <t>aviso</t>
        </is>
      </c>
    </row>
    <row r="6553">
      <c r="A6553" s="194" t="inlineStr">
        <is>
          <t>personagem.pericia_custom.14.nome</t>
        </is>
      </c>
      <c r="B6553" s="194">
        <f>IF(ISBLANK('FICHA'!$Z$414),"",'FICHA'!$Z$414&amp;"")</f>
        <v/>
      </c>
      <c r="C6553" s="194">
        <f>"'FICHA'!Z414"</f>
        <v/>
      </c>
      <c r="D6553" s="194" t="inlineStr">
        <is>
          <t>entrada</t>
        </is>
      </c>
    </row>
    <row r="6554">
      <c r="A6554" s="194" t="inlineStr">
        <is>
          <t>personagem.pericia_custom.14.treino</t>
        </is>
      </c>
      <c r="B6554" s="194">
        <f>N('FICHA'!$X$414)&amp;""</f>
        <v/>
      </c>
      <c r="C6554" s="194">
        <f>"'FICHA'!X414"</f>
        <v/>
      </c>
      <c r="D6554" s="194" t="inlineStr">
        <is>
          <t>entrada</t>
        </is>
      </c>
    </row>
    <row r="6555">
      <c r="A6555" s="194" t="inlineStr">
        <is>
          <t>personagem.pericia_custom.14.especializacao</t>
        </is>
      </c>
      <c r="B6555" s="194">
        <f>N('FICHA'!$Y$414)&amp;""</f>
        <v/>
      </c>
      <c r="C6555" s="194">
        <f>"'FICHA'!Y414"</f>
        <v/>
      </c>
      <c r="D6555" s="194" t="inlineStr">
        <is>
          <t>entrada</t>
        </is>
      </c>
    </row>
    <row r="6556">
      <c r="A6556" s="194" t="inlineStr">
        <is>
          <t>personagem.pericia_custom.14.atributo</t>
        </is>
      </c>
      <c r="B6556" s="194">
        <f>IF(ISBLANK('FICHA'!$AH$414),"",'FICHA'!$AH$414&amp;"")</f>
        <v/>
      </c>
      <c r="C6556" s="194">
        <f>"'FICHA'!AH414"</f>
        <v/>
      </c>
      <c r="D6556" s="194" t="inlineStr">
        <is>
          <t>entrada</t>
        </is>
      </c>
    </row>
    <row r="6557">
      <c r="A6557" s="194" t="inlineStr">
        <is>
          <t>personagem.pericia_custom.14.resultado</t>
        </is>
      </c>
      <c r="B6557" s="194">
        <f>IF(ISBLANK('FICHA'!$AL$414),"",'FICHA'!$AL$414&amp;"")</f>
        <v/>
      </c>
      <c r="C6557" s="194">
        <f>"'FICHA'!AL414"</f>
        <v/>
      </c>
      <c r="D6557" s="194" t="inlineStr">
        <is>
          <t>resultado</t>
        </is>
      </c>
    </row>
    <row r="6558">
      <c r="A6558" s="194" t="inlineStr">
        <is>
          <t>personagem.pericia_custom.14.bonus</t>
        </is>
      </c>
      <c r="B6558" s="194">
        <f>IF(ISBLANK('FICHA'!$AN$414),"",'FICHA'!$AN$414&amp;"")</f>
        <v/>
      </c>
      <c r="C6558" s="194">
        <f>"'FICHA'!AN414"</f>
        <v/>
      </c>
      <c r="D6558" s="194" t="inlineStr">
        <is>
          <t>entrada</t>
        </is>
      </c>
    </row>
    <row r="6559">
      <c r="A6559" s="194" t="inlineStr">
        <is>
          <t>aviso.efeito_caixa.pericia_custom.14</t>
        </is>
      </c>
      <c r="B6559" s="194">
        <f>DADOS_CONFIG!$E$67&amp;""</f>
        <v/>
      </c>
      <c r="C6559" s="194" t="inlineStr">
        <is>
          <t>DADOS_CONFIG!E67</t>
        </is>
      </c>
      <c r="D6559" s="194" t="inlineStr">
        <is>
          <t>aviso</t>
        </is>
      </c>
    </row>
    <row r="6560">
      <c r="A6560" s="194" t="inlineStr">
        <is>
          <t>aviso.personagem.pericia_custom.14</t>
        </is>
      </c>
      <c r="B6560" s="194">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4">
        <f>"'FICHA'!Z414"</f>
        <v/>
      </c>
      <c r="D6560" s="194" t="inlineStr">
        <is>
          <t>aviso</t>
        </is>
      </c>
    </row>
    <row r="6561">
      <c r="A6561" s="194" t="inlineStr">
        <is>
          <t>personagem.pericia_custom.15.nome</t>
        </is>
      </c>
      <c r="B6561" s="194">
        <f>IF(ISBLANK('FICHA'!$Z$415),"",'FICHA'!$Z$415&amp;"")</f>
        <v/>
      </c>
      <c r="C6561" s="194">
        <f>"'FICHA'!Z415"</f>
        <v/>
      </c>
      <c r="D6561" s="194" t="inlineStr">
        <is>
          <t>entrada</t>
        </is>
      </c>
    </row>
    <row r="6562">
      <c r="A6562" s="194" t="inlineStr">
        <is>
          <t>personagem.pericia_custom.15.treino</t>
        </is>
      </c>
      <c r="B6562" s="194">
        <f>N('FICHA'!$X$415)&amp;""</f>
        <v/>
      </c>
      <c r="C6562" s="194">
        <f>"'FICHA'!X415"</f>
        <v/>
      </c>
      <c r="D6562" s="194" t="inlineStr">
        <is>
          <t>entrada</t>
        </is>
      </c>
    </row>
    <row r="6563">
      <c r="A6563" s="194" t="inlineStr">
        <is>
          <t>personagem.pericia_custom.15.especializacao</t>
        </is>
      </c>
      <c r="B6563" s="194">
        <f>N('FICHA'!$Y$415)&amp;""</f>
        <v/>
      </c>
      <c r="C6563" s="194">
        <f>"'FICHA'!Y415"</f>
        <v/>
      </c>
      <c r="D6563" s="194" t="inlineStr">
        <is>
          <t>entrada</t>
        </is>
      </c>
    </row>
    <row r="6564">
      <c r="A6564" s="194" t="inlineStr">
        <is>
          <t>personagem.pericia_custom.15.atributo</t>
        </is>
      </c>
      <c r="B6564" s="194">
        <f>IF(ISBLANK('FICHA'!$AH$415),"",'FICHA'!$AH$415&amp;"")</f>
        <v/>
      </c>
      <c r="C6564" s="194">
        <f>"'FICHA'!AH415"</f>
        <v/>
      </c>
      <c r="D6564" s="194" t="inlineStr">
        <is>
          <t>entrada</t>
        </is>
      </c>
    </row>
    <row r="6565">
      <c r="A6565" s="194" t="inlineStr">
        <is>
          <t>personagem.pericia_custom.15.resultado</t>
        </is>
      </c>
      <c r="B6565" s="194">
        <f>IF(ISBLANK('FICHA'!$AL$415),"",'FICHA'!$AL$415&amp;"")</f>
        <v/>
      </c>
      <c r="C6565" s="194">
        <f>"'FICHA'!AL415"</f>
        <v/>
      </c>
      <c r="D6565" s="194" t="inlineStr">
        <is>
          <t>resultado</t>
        </is>
      </c>
    </row>
    <row r="6566">
      <c r="A6566" s="194" t="inlineStr">
        <is>
          <t>personagem.pericia_custom.15.bonus</t>
        </is>
      </c>
      <c r="B6566" s="194">
        <f>IF(ISBLANK('FICHA'!$AN$415),"",'FICHA'!$AN$415&amp;"")</f>
        <v/>
      </c>
      <c r="C6566" s="194">
        <f>"'FICHA'!AN415"</f>
        <v/>
      </c>
      <c r="D6566" s="194" t="inlineStr">
        <is>
          <t>entrada</t>
        </is>
      </c>
    </row>
    <row r="6567">
      <c r="A6567" s="194" t="inlineStr">
        <is>
          <t>aviso.efeito_caixa.pericia_custom.15</t>
        </is>
      </c>
      <c r="B6567" s="194">
        <f>DADOS_CONFIG!$E$68&amp;""</f>
        <v/>
      </c>
      <c r="C6567" s="194" t="inlineStr">
        <is>
          <t>DADOS_CONFIG!E68</t>
        </is>
      </c>
      <c r="D6567" s="194" t="inlineStr">
        <is>
          <t>aviso</t>
        </is>
      </c>
    </row>
    <row r="6568">
      <c r="A6568" s="194" t="inlineStr">
        <is>
          <t>aviso.personagem.pericia_custom.15</t>
        </is>
      </c>
      <c r="B6568" s="194">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4">
        <f>"'FICHA'!Z415"</f>
        <v/>
      </c>
      <c r="D6568" s="194" t="inlineStr">
        <is>
          <t>aviso</t>
        </is>
      </c>
    </row>
    <row r="6569">
      <c r="A6569" s="194" t="inlineStr">
        <is>
          <t>personagem.pericia_custom.16.nome</t>
        </is>
      </c>
      <c r="B6569" s="194">
        <f>IF(ISBLANK('FICHA'!$Z$416),"",'FICHA'!$Z$416&amp;"")</f>
        <v/>
      </c>
      <c r="C6569" s="194">
        <f>"'FICHA'!Z416"</f>
        <v/>
      </c>
      <c r="D6569" s="194" t="inlineStr">
        <is>
          <t>entrada</t>
        </is>
      </c>
    </row>
    <row r="6570">
      <c r="A6570" s="194" t="inlineStr">
        <is>
          <t>personagem.pericia_custom.16.treino</t>
        </is>
      </c>
      <c r="B6570" s="194">
        <f>N('FICHA'!$X$416)&amp;""</f>
        <v/>
      </c>
      <c r="C6570" s="194">
        <f>"'FICHA'!X416"</f>
        <v/>
      </c>
      <c r="D6570" s="194" t="inlineStr">
        <is>
          <t>entrada</t>
        </is>
      </c>
    </row>
    <row r="6571">
      <c r="A6571" s="194" t="inlineStr">
        <is>
          <t>personagem.pericia_custom.16.especializacao</t>
        </is>
      </c>
      <c r="B6571" s="194">
        <f>N('FICHA'!$Y$416)&amp;""</f>
        <v/>
      </c>
      <c r="C6571" s="194">
        <f>"'FICHA'!Y416"</f>
        <v/>
      </c>
      <c r="D6571" s="194" t="inlineStr">
        <is>
          <t>entrada</t>
        </is>
      </c>
    </row>
    <row r="6572">
      <c r="A6572" s="194" t="inlineStr">
        <is>
          <t>personagem.pericia_custom.16.atributo</t>
        </is>
      </c>
      <c r="B6572" s="194">
        <f>IF(ISBLANK('FICHA'!$AH$416),"",'FICHA'!$AH$416&amp;"")</f>
        <v/>
      </c>
      <c r="C6572" s="194">
        <f>"'FICHA'!AH416"</f>
        <v/>
      </c>
      <c r="D6572" s="194" t="inlineStr">
        <is>
          <t>entrada</t>
        </is>
      </c>
    </row>
    <row r="6573">
      <c r="A6573" s="194" t="inlineStr">
        <is>
          <t>personagem.pericia_custom.16.resultado</t>
        </is>
      </c>
      <c r="B6573" s="194">
        <f>IF(ISBLANK('FICHA'!$AL$416),"",'FICHA'!$AL$416&amp;"")</f>
        <v/>
      </c>
      <c r="C6573" s="194">
        <f>"'FICHA'!AL416"</f>
        <v/>
      </c>
      <c r="D6573" s="194" t="inlineStr">
        <is>
          <t>resultado</t>
        </is>
      </c>
    </row>
    <row r="6574">
      <c r="A6574" s="194" t="inlineStr">
        <is>
          <t>personagem.pericia_custom.16.bonus</t>
        </is>
      </c>
      <c r="B6574" s="194">
        <f>IF(ISBLANK('FICHA'!$AN$416),"",'FICHA'!$AN$416&amp;"")</f>
        <v/>
      </c>
      <c r="C6574" s="194">
        <f>"'FICHA'!AN416"</f>
        <v/>
      </c>
      <c r="D6574" s="194" t="inlineStr">
        <is>
          <t>entrada</t>
        </is>
      </c>
    </row>
    <row r="6575">
      <c r="A6575" s="194" t="inlineStr">
        <is>
          <t>aviso.efeito_caixa.pericia_custom.16</t>
        </is>
      </c>
      <c r="B6575" s="194">
        <f>DADOS_CONFIG!$E$69&amp;""</f>
        <v/>
      </c>
      <c r="C6575" s="194" t="inlineStr">
        <is>
          <t>DADOS_CONFIG!E69</t>
        </is>
      </c>
      <c r="D6575" s="194" t="inlineStr">
        <is>
          <t>aviso</t>
        </is>
      </c>
    </row>
    <row r="6576">
      <c r="A6576" s="194" t="inlineStr">
        <is>
          <t>aviso.personagem.pericia_custom.16</t>
        </is>
      </c>
      <c r="B6576" s="194">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4">
        <f>"'FICHA'!Z416"</f>
        <v/>
      </c>
      <c r="D6576" s="194" t="inlineStr">
        <is>
          <t>aviso</t>
        </is>
      </c>
    </row>
    <row r="6577">
      <c r="A6577" s="194" t="inlineStr">
        <is>
          <t>personagem.pericia_custom.17.nome</t>
        </is>
      </c>
      <c r="B6577" s="194">
        <f>IF(ISBLANK('FICHA'!$Z$417),"",'FICHA'!$Z$417&amp;"")</f>
        <v/>
      </c>
      <c r="C6577" s="194">
        <f>"'FICHA'!Z417"</f>
        <v/>
      </c>
      <c r="D6577" s="194" t="inlineStr">
        <is>
          <t>entrada</t>
        </is>
      </c>
    </row>
    <row r="6578">
      <c r="A6578" s="194" t="inlineStr">
        <is>
          <t>personagem.pericia_custom.17.treino</t>
        </is>
      </c>
      <c r="B6578" s="194">
        <f>N('FICHA'!$X$417)&amp;""</f>
        <v/>
      </c>
      <c r="C6578" s="194">
        <f>"'FICHA'!X417"</f>
        <v/>
      </c>
      <c r="D6578" s="194" t="inlineStr">
        <is>
          <t>entrada</t>
        </is>
      </c>
    </row>
    <row r="6579">
      <c r="A6579" s="194" t="inlineStr">
        <is>
          <t>personagem.pericia_custom.17.especializacao</t>
        </is>
      </c>
      <c r="B6579" s="194">
        <f>N('FICHA'!$Y$417)&amp;""</f>
        <v/>
      </c>
      <c r="C6579" s="194">
        <f>"'FICHA'!Y417"</f>
        <v/>
      </c>
      <c r="D6579" s="194" t="inlineStr">
        <is>
          <t>entrada</t>
        </is>
      </c>
    </row>
    <row r="6580">
      <c r="A6580" s="194" t="inlineStr">
        <is>
          <t>personagem.pericia_custom.17.atributo</t>
        </is>
      </c>
      <c r="B6580" s="194">
        <f>IF(ISBLANK('FICHA'!$AH$417),"",'FICHA'!$AH$417&amp;"")</f>
        <v/>
      </c>
      <c r="C6580" s="194">
        <f>"'FICHA'!AH417"</f>
        <v/>
      </c>
      <c r="D6580" s="194" t="inlineStr">
        <is>
          <t>entrada</t>
        </is>
      </c>
    </row>
    <row r="6581">
      <c r="A6581" s="194" t="inlineStr">
        <is>
          <t>personagem.pericia_custom.17.resultado</t>
        </is>
      </c>
      <c r="B6581" s="194">
        <f>IF(ISBLANK('FICHA'!$AL$417),"",'FICHA'!$AL$417&amp;"")</f>
        <v/>
      </c>
      <c r="C6581" s="194">
        <f>"'FICHA'!AL417"</f>
        <v/>
      </c>
      <c r="D6581" s="194" t="inlineStr">
        <is>
          <t>resultado</t>
        </is>
      </c>
    </row>
    <row r="6582">
      <c r="A6582" s="194" t="inlineStr">
        <is>
          <t>personagem.pericia_custom.17.bonus</t>
        </is>
      </c>
      <c r="B6582" s="194">
        <f>IF(ISBLANK('FICHA'!$AN$417),"",'FICHA'!$AN$417&amp;"")</f>
        <v/>
      </c>
      <c r="C6582" s="194">
        <f>"'FICHA'!AN417"</f>
        <v/>
      </c>
      <c r="D6582" s="194" t="inlineStr">
        <is>
          <t>entrada</t>
        </is>
      </c>
    </row>
    <row r="6583">
      <c r="A6583" s="194" t="inlineStr">
        <is>
          <t>aviso.efeito_caixa.pericia_custom.17</t>
        </is>
      </c>
      <c r="B6583" s="194">
        <f>DADOS_CONFIG!$E$70&amp;""</f>
        <v/>
      </c>
      <c r="C6583" s="194" t="inlineStr">
        <is>
          <t>DADOS_CONFIG!E70</t>
        </is>
      </c>
      <c r="D6583" s="194" t="inlineStr">
        <is>
          <t>aviso</t>
        </is>
      </c>
    </row>
    <row r="6584">
      <c r="A6584" s="194" t="inlineStr">
        <is>
          <t>aviso.personagem.pericia_custom.17</t>
        </is>
      </c>
      <c r="B6584" s="194">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4">
        <f>"'FICHA'!Z417"</f>
        <v/>
      </c>
      <c r="D6584" s="194" t="inlineStr">
        <is>
          <t>aviso</t>
        </is>
      </c>
    </row>
    <row r="6585">
      <c r="A6585" s="194" t="inlineStr">
        <is>
          <t>personagem.pericia_custom.18.nome</t>
        </is>
      </c>
      <c r="B6585" s="194">
        <f>IF(ISBLANK('FICHA'!$Z$418),"",'FICHA'!$Z$418&amp;"")</f>
        <v/>
      </c>
      <c r="C6585" s="194">
        <f>"'FICHA'!Z418"</f>
        <v/>
      </c>
      <c r="D6585" s="194" t="inlineStr">
        <is>
          <t>entrada</t>
        </is>
      </c>
    </row>
    <row r="6586">
      <c r="A6586" s="194" t="inlineStr">
        <is>
          <t>personagem.pericia_custom.18.treino</t>
        </is>
      </c>
      <c r="B6586" s="194">
        <f>N('FICHA'!$X$418)&amp;""</f>
        <v/>
      </c>
      <c r="C6586" s="194">
        <f>"'FICHA'!X418"</f>
        <v/>
      </c>
      <c r="D6586" s="194" t="inlineStr">
        <is>
          <t>entrada</t>
        </is>
      </c>
    </row>
    <row r="6587">
      <c r="A6587" s="194" t="inlineStr">
        <is>
          <t>personagem.pericia_custom.18.especializacao</t>
        </is>
      </c>
      <c r="B6587" s="194">
        <f>N('FICHA'!$Y$418)&amp;""</f>
        <v/>
      </c>
      <c r="C6587" s="194">
        <f>"'FICHA'!Y418"</f>
        <v/>
      </c>
      <c r="D6587" s="194" t="inlineStr">
        <is>
          <t>entrada</t>
        </is>
      </c>
    </row>
    <row r="6588">
      <c r="A6588" s="194" t="inlineStr">
        <is>
          <t>personagem.pericia_custom.18.atributo</t>
        </is>
      </c>
      <c r="B6588" s="194">
        <f>IF(ISBLANK('FICHA'!$AH$418),"",'FICHA'!$AH$418&amp;"")</f>
        <v/>
      </c>
      <c r="C6588" s="194">
        <f>"'FICHA'!AH418"</f>
        <v/>
      </c>
      <c r="D6588" s="194" t="inlineStr">
        <is>
          <t>entrada</t>
        </is>
      </c>
    </row>
    <row r="6589">
      <c r="A6589" s="194" t="inlineStr">
        <is>
          <t>personagem.pericia_custom.18.resultado</t>
        </is>
      </c>
      <c r="B6589" s="194">
        <f>IF(ISBLANK('FICHA'!$AL$418),"",'FICHA'!$AL$418&amp;"")</f>
        <v/>
      </c>
      <c r="C6589" s="194">
        <f>"'FICHA'!AL418"</f>
        <v/>
      </c>
      <c r="D6589" s="194" t="inlineStr">
        <is>
          <t>resultado</t>
        </is>
      </c>
    </row>
    <row r="6590">
      <c r="A6590" s="194" t="inlineStr">
        <is>
          <t>personagem.pericia_custom.18.bonus</t>
        </is>
      </c>
      <c r="B6590" s="194">
        <f>IF(ISBLANK('FICHA'!$AN$418),"",'FICHA'!$AN$418&amp;"")</f>
        <v/>
      </c>
      <c r="C6590" s="194">
        <f>"'FICHA'!AN418"</f>
        <v/>
      </c>
      <c r="D6590" s="194" t="inlineStr">
        <is>
          <t>entrada</t>
        </is>
      </c>
    </row>
    <row r="6591">
      <c r="A6591" s="194" t="inlineStr">
        <is>
          <t>aviso.efeito_caixa.pericia_custom.18</t>
        </is>
      </c>
      <c r="B6591" s="194">
        <f>DADOS_CONFIG!$E$71&amp;""</f>
        <v/>
      </c>
      <c r="C6591" s="194" t="inlineStr">
        <is>
          <t>DADOS_CONFIG!E71</t>
        </is>
      </c>
      <c r="D6591" s="194" t="inlineStr">
        <is>
          <t>aviso</t>
        </is>
      </c>
    </row>
    <row r="6592">
      <c r="A6592" s="194" t="inlineStr">
        <is>
          <t>aviso.personagem.pericia_custom.18</t>
        </is>
      </c>
      <c r="B6592" s="194">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4">
        <f>"'FICHA'!Z418"</f>
        <v/>
      </c>
      <c r="D6592" s="194" t="inlineStr">
        <is>
          <t>aviso</t>
        </is>
      </c>
    </row>
    <row r="6593">
      <c r="A6593" s="194" t="inlineStr">
        <is>
          <t>personagem.pericia_custom.19.nome</t>
        </is>
      </c>
      <c r="B6593" s="194">
        <f>IF(ISBLANK('FICHA'!$Z$419),"",'FICHA'!$Z$419&amp;"")</f>
        <v/>
      </c>
      <c r="C6593" s="194">
        <f>"'FICHA'!Z419"</f>
        <v/>
      </c>
      <c r="D6593" s="194" t="inlineStr">
        <is>
          <t>entrada</t>
        </is>
      </c>
    </row>
    <row r="6594">
      <c r="A6594" s="194" t="inlineStr">
        <is>
          <t>personagem.pericia_custom.19.treino</t>
        </is>
      </c>
      <c r="B6594" s="194">
        <f>N('FICHA'!$X$419)&amp;""</f>
        <v/>
      </c>
      <c r="C6594" s="194">
        <f>"'FICHA'!X419"</f>
        <v/>
      </c>
      <c r="D6594" s="194" t="inlineStr">
        <is>
          <t>entrada</t>
        </is>
      </c>
    </row>
    <row r="6595">
      <c r="A6595" s="194" t="inlineStr">
        <is>
          <t>personagem.pericia_custom.19.especializacao</t>
        </is>
      </c>
      <c r="B6595" s="194">
        <f>N('FICHA'!$Y$419)&amp;""</f>
        <v/>
      </c>
      <c r="C6595" s="194">
        <f>"'FICHA'!Y419"</f>
        <v/>
      </c>
      <c r="D6595" s="194" t="inlineStr">
        <is>
          <t>entrada</t>
        </is>
      </c>
    </row>
    <row r="6596">
      <c r="A6596" s="194" t="inlineStr">
        <is>
          <t>personagem.pericia_custom.19.atributo</t>
        </is>
      </c>
      <c r="B6596" s="194">
        <f>IF(ISBLANK('FICHA'!$AH$419),"",'FICHA'!$AH$419&amp;"")</f>
        <v/>
      </c>
      <c r="C6596" s="194">
        <f>"'FICHA'!AH419"</f>
        <v/>
      </c>
      <c r="D6596" s="194" t="inlineStr">
        <is>
          <t>entrada</t>
        </is>
      </c>
    </row>
    <row r="6597">
      <c r="A6597" s="194" t="inlineStr">
        <is>
          <t>personagem.pericia_custom.19.resultado</t>
        </is>
      </c>
      <c r="B6597" s="194">
        <f>IF(ISBLANK('FICHA'!$AL$419),"",'FICHA'!$AL$419&amp;"")</f>
        <v/>
      </c>
      <c r="C6597" s="194">
        <f>"'FICHA'!AL419"</f>
        <v/>
      </c>
      <c r="D6597" s="194" t="inlineStr">
        <is>
          <t>resultado</t>
        </is>
      </c>
    </row>
    <row r="6598">
      <c r="A6598" s="194" t="inlineStr">
        <is>
          <t>personagem.pericia_custom.19.bonus</t>
        </is>
      </c>
      <c r="B6598" s="194">
        <f>IF(ISBLANK('FICHA'!$AN$419),"",'FICHA'!$AN$419&amp;"")</f>
        <v/>
      </c>
      <c r="C6598" s="194">
        <f>"'FICHA'!AN419"</f>
        <v/>
      </c>
      <c r="D6598" s="194" t="inlineStr">
        <is>
          <t>entrada</t>
        </is>
      </c>
    </row>
    <row r="6599">
      <c r="A6599" s="194" t="inlineStr">
        <is>
          <t>aviso.efeito_caixa.pericia_custom.19</t>
        </is>
      </c>
      <c r="B6599" s="194">
        <f>DADOS_CONFIG!$E$72&amp;""</f>
        <v/>
      </c>
      <c r="C6599" s="194" t="inlineStr">
        <is>
          <t>DADOS_CONFIG!E72</t>
        </is>
      </c>
      <c r="D6599" s="194" t="inlineStr">
        <is>
          <t>aviso</t>
        </is>
      </c>
    </row>
    <row r="6600">
      <c r="A6600" s="194" t="inlineStr">
        <is>
          <t>aviso.personagem.pericia_custom.19</t>
        </is>
      </c>
      <c r="B6600" s="194">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4">
        <f>"'FICHA'!Z419"</f>
        <v/>
      </c>
      <c r="D6600" s="194" t="inlineStr">
        <is>
          <t>aviso</t>
        </is>
      </c>
    </row>
    <row r="6601">
      <c r="A6601" s="194" t="inlineStr">
        <is>
          <t>personagem.pericia_custom.20.nome</t>
        </is>
      </c>
      <c r="B6601" s="194">
        <f>IF(ISBLANK('FICHA'!$Z$420),"",'FICHA'!$Z$420&amp;"")</f>
        <v/>
      </c>
      <c r="C6601" s="194">
        <f>"'FICHA'!Z420"</f>
        <v/>
      </c>
      <c r="D6601" s="194" t="inlineStr">
        <is>
          <t>entrada</t>
        </is>
      </c>
    </row>
    <row r="6602">
      <c r="A6602" s="194" t="inlineStr">
        <is>
          <t>personagem.pericia_custom.20.treino</t>
        </is>
      </c>
      <c r="B6602" s="194">
        <f>N('FICHA'!$X$420)&amp;""</f>
        <v/>
      </c>
      <c r="C6602" s="194">
        <f>"'FICHA'!X420"</f>
        <v/>
      </c>
      <c r="D6602" s="194" t="inlineStr">
        <is>
          <t>entrada</t>
        </is>
      </c>
    </row>
    <row r="6603">
      <c r="A6603" s="194" t="inlineStr">
        <is>
          <t>personagem.pericia_custom.20.especializacao</t>
        </is>
      </c>
      <c r="B6603" s="194">
        <f>N('FICHA'!$Y$420)&amp;""</f>
        <v/>
      </c>
      <c r="C6603" s="194">
        <f>"'FICHA'!Y420"</f>
        <v/>
      </c>
      <c r="D6603" s="194" t="inlineStr">
        <is>
          <t>entrada</t>
        </is>
      </c>
    </row>
    <row r="6604">
      <c r="A6604" s="194" t="inlineStr">
        <is>
          <t>personagem.pericia_custom.20.atributo</t>
        </is>
      </c>
      <c r="B6604" s="194">
        <f>IF(ISBLANK('FICHA'!$AH$420),"",'FICHA'!$AH$420&amp;"")</f>
        <v/>
      </c>
      <c r="C6604" s="194">
        <f>"'FICHA'!AH420"</f>
        <v/>
      </c>
      <c r="D6604" s="194" t="inlineStr">
        <is>
          <t>entrada</t>
        </is>
      </c>
    </row>
    <row r="6605">
      <c r="A6605" s="194" t="inlineStr">
        <is>
          <t>personagem.pericia_custom.20.resultado</t>
        </is>
      </c>
      <c r="B6605" s="194">
        <f>IF(ISBLANK('FICHA'!$AL$420),"",'FICHA'!$AL$420&amp;"")</f>
        <v/>
      </c>
      <c r="C6605" s="194">
        <f>"'FICHA'!AL420"</f>
        <v/>
      </c>
      <c r="D6605" s="194" t="inlineStr">
        <is>
          <t>resultado</t>
        </is>
      </c>
    </row>
    <row r="6606">
      <c r="A6606" s="194" t="inlineStr">
        <is>
          <t>personagem.pericia_custom.20.bonus</t>
        </is>
      </c>
      <c r="B6606" s="194">
        <f>IF(ISBLANK('FICHA'!$AN$420),"",'FICHA'!$AN$420&amp;"")</f>
        <v/>
      </c>
      <c r="C6606" s="194">
        <f>"'FICHA'!AN420"</f>
        <v/>
      </c>
      <c r="D6606" s="194" t="inlineStr">
        <is>
          <t>entrada</t>
        </is>
      </c>
    </row>
    <row r="6607">
      <c r="A6607" s="194" t="inlineStr">
        <is>
          <t>aviso.efeito_caixa.pericia_custom.20</t>
        </is>
      </c>
      <c r="B6607" s="194">
        <f>DADOS_CONFIG!$E$73&amp;""</f>
        <v/>
      </c>
      <c r="C6607" s="194" t="inlineStr">
        <is>
          <t>DADOS_CONFIG!E73</t>
        </is>
      </c>
      <c r="D6607" s="194" t="inlineStr">
        <is>
          <t>aviso</t>
        </is>
      </c>
    </row>
    <row r="6608">
      <c r="A6608" s="194" t="inlineStr">
        <is>
          <t>aviso.personagem.pericia_custom.20</t>
        </is>
      </c>
      <c r="B6608" s="194">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4">
        <f>"'FICHA'!Z420"</f>
        <v/>
      </c>
      <c r="D6608" s="194" t="inlineStr">
        <is>
          <t>aviso</t>
        </is>
      </c>
    </row>
    <row r="6609">
      <c r="A6609" s="194" t="inlineStr">
        <is>
          <t>personagem.pericia_custom.21.nome</t>
        </is>
      </c>
      <c r="B6609" s="194">
        <f>IF(ISBLANK('FICHA'!$Z$421),"",'FICHA'!$Z$421&amp;"")</f>
        <v/>
      </c>
      <c r="C6609" s="194">
        <f>"'FICHA'!Z421"</f>
        <v/>
      </c>
      <c r="D6609" s="194" t="inlineStr">
        <is>
          <t>entrada</t>
        </is>
      </c>
    </row>
    <row r="6610">
      <c r="A6610" s="194" t="inlineStr">
        <is>
          <t>personagem.pericia_custom.21.treino</t>
        </is>
      </c>
      <c r="B6610" s="194">
        <f>N('FICHA'!$X$421)&amp;""</f>
        <v/>
      </c>
      <c r="C6610" s="194">
        <f>"'FICHA'!X421"</f>
        <v/>
      </c>
      <c r="D6610" s="194" t="inlineStr">
        <is>
          <t>entrada</t>
        </is>
      </c>
    </row>
    <row r="6611">
      <c r="A6611" s="194" t="inlineStr">
        <is>
          <t>personagem.pericia_custom.21.especializacao</t>
        </is>
      </c>
      <c r="B6611" s="194">
        <f>N('FICHA'!$Y$421)&amp;""</f>
        <v/>
      </c>
      <c r="C6611" s="194">
        <f>"'FICHA'!Y421"</f>
        <v/>
      </c>
      <c r="D6611" s="194" t="inlineStr">
        <is>
          <t>entrada</t>
        </is>
      </c>
    </row>
    <row r="6612">
      <c r="A6612" s="194" t="inlineStr">
        <is>
          <t>personagem.pericia_custom.21.atributo</t>
        </is>
      </c>
      <c r="B6612" s="194">
        <f>IF(ISBLANK('FICHA'!$AH$421),"",'FICHA'!$AH$421&amp;"")</f>
        <v/>
      </c>
      <c r="C6612" s="194">
        <f>"'FICHA'!AH421"</f>
        <v/>
      </c>
      <c r="D6612" s="194" t="inlineStr">
        <is>
          <t>entrada</t>
        </is>
      </c>
    </row>
    <row r="6613">
      <c r="A6613" s="194" t="inlineStr">
        <is>
          <t>personagem.pericia_custom.21.resultado</t>
        </is>
      </c>
      <c r="B6613" s="194">
        <f>IF(ISBLANK('FICHA'!$AL$421),"",'FICHA'!$AL$421&amp;"")</f>
        <v/>
      </c>
      <c r="C6613" s="194">
        <f>"'FICHA'!AL421"</f>
        <v/>
      </c>
      <c r="D6613" s="194" t="inlineStr">
        <is>
          <t>resultado</t>
        </is>
      </c>
    </row>
    <row r="6614">
      <c r="A6614" s="194" t="inlineStr">
        <is>
          <t>personagem.pericia_custom.21.bonus</t>
        </is>
      </c>
      <c r="B6614" s="194">
        <f>IF(ISBLANK('FICHA'!$AN$421),"",'FICHA'!$AN$421&amp;"")</f>
        <v/>
      </c>
      <c r="C6614" s="194">
        <f>"'FICHA'!AN421"</f>
        <v/>
      </c>
      <c r="D6614" s="194" t="inlineStr">
        <is>
          <t>entrada</t>
        </is>
      </c>
    </row>
    <row r="6615">
      <c r="A6615" s="194" t="inlineStr">
        <is>
          <t>aviso.efeito_caixa.pericia_custom.21</t>
        </is>
      </c>
      <c r="B6615" s="194">
        <f>DADOS_CONFIG!$E$74&amp;""</f>
        <v/>
      </c>
      <c r="C6615" s="194" t="inlineStr">
        <is>
          <t>DADOS_CONFIG!E74</t>
        </is>
      </c>
      <c r="D6615" s="194" t="inlineStr">
        <is>
          <t>aviso</t>
        </is>
      </c>
    </row>
    <row r="6616">
      <c r="A6616" s="194" t="inlineStr">
        <is>
          <t>aviso.personagem.pericia_custom.21</t>
        </is>
      </c>
      <c r="B6616" s="194">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4">
        <f>"'FICHA'!Z421"</f>
        <v/>
      </c>
      <c r="D6616" s="194" t="inlineStr">
        <is>
          <t>aviso</t>
        </is>
      </c>
    </row>
    <row r="6617">
      <c r="A6617" s="194" t="inlineStr">
        <is>
          <t>personagem.pericia_custom.22.nome</t>
        </is>
      </c>
      <c r="B6617" s="194">
        <f>IF(ISBLANK('FICHA'!$Z$422),"",'FICHA'!$Z$422&amp;"")</f>
        <v/>
      </c>
      <c r="C6617" s="194">
        <f>"'FICHA'!Z422"</f>
        <v/>
      </c>
      <c r="D6617" s="194" t="inlineStr">
        <is>
          <t>entrada</t>
        </is>
      </c>
    </row>
    <row r="6618">
      <c r="A6618" s="194" t="inlineStr">
        <is>
          <t>personagem.pericia_custom.22.treino</t>
        </is>
      </c>
      <c r="B6618" s="194">
        <f>N('FICHA'!$X$422)&amp;""</f>
        <v/>
      </c>
      <c r="C6618" s="194">
        <f>"'FICHA'!X422"</f>
        <v/>
      </c>
      <c r="D6618" s="194" t="inlineStr">
        <is>
          <t>entrada</t>
        </is>
      </c>
    </row>
    <row r="6619">
      <c r="A6619" s="194" t="inlineStr">
        <is>
          <t>personagem.pericia_custom.22.especializacao</t>
        </is>
      </c>
      <c r="B6619" s="194">
        <f>N('FICHA'!$Y$422)&amp;""</f>
        <v/>
      </c>
      <c r="C6619" s="194">
        <f>"'FICHA'!Y422"</f>
        <v/>
      </c>
      <c r="D6619" s="194" t="inlineStr">
        <is>
          <t>entrada</t>
        </is>
      </c>
    </row>
    <row r="6620">
      <c r="A6620" s="194" t="inlineStr">
        <is>
          <t>personagem.pericia_custom.22.atributo</t>
        </is>
      </c>
      <c r="B6620" s="194">
        <f>IF(ISBLANK('FICHA'!$AH$422),"",'FICHA'!$AH$422&amp;"")</f>
        <v/>
      </c>
      <c r="C6620" s="194">
        <f>"'FICHA'!AH422"</f>
        <v/>
      </c>
      <c r="D6620" s="194" t="inlineStr">
        <is>
          <t>entrada</t>
        </is>
      </c>
    </row>
    <row r="6621">
      <c r="A6621" s="194" t="inlineStr">
        <is>
          <t>personagem.pericia_custom.22.resultado</t>
        </is>
      </c>
      <c r="B6621" s="194">
        <f>IF(ISBLANK('FICHA'!$AL$422),"",'FICHA'!$AL$422&amp;"")</f>
        <v/>
      </c>
      <c r="C6621" s="194">
        <f>"'FICHA'!AL422"</f>
        <v/>
      </c>
      <c r="D6621" s="194" t="inlineStr">
        <is>
          <t>resultado</t>
        </is>
      </c>
    </row>
    <row r="6622">
      <c r="A6622" s="194" t="inlineStr">
        <is>
          <t>personagem.pericia_custom.22.bonus</t>
        </is>
      </c>
      <c r="B6622" s="194">
        <f>IF(ISBLANK('FICHA'!$AN$422),"",'FICHA'!$AN$422&amp;"")</f>
        <v/>
      </c>
      <c r="C6622" s="194">
        <f>"'FICHA'!AN422"</f>
        <v/>
      </c>
      <c r="D6622" s="194" t="inlineStr">
        <is>
          <t>entrada</t>
        </is>
      </c>
    </row>
    <row r="6623">
      <c r="A6623" s="194" t="inlineStr">
        <is>
          <t>aviso.efeito_caixa.pericia_custom.22</t>
        </is>
      </c>
      <c r="B6623" s="194">
        <f>DADOS_CONFIG!$E$75&amp;""</f>
        <v/>
      </c>
      <c r="C6623" s="194" t="inlineStr">
        <is>
          <t>DADOS_CONFIG!E75</t>
        </is>
      </c>
      <c r="D6623" s="194" t="inlineStr">
        <is>
          <t>aviso</t>
        </is>
      </c>
    </row>
    <row r="6624">
      <c r="A6624" s="194" t="inlineStr">
        <is>
          <t>aviso.personagem.pericia_custom.22</t>
        </is>
      </c>
      <c r="B6624" s="194">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4">
        <f>"'FICHA'!Z422"</f>
        <v/>
      </c>
      <c r="D6624" s="194" t="inlineStr">
        <is>
          <t>aviso</t>
        </is>
      </c>
    </row>
    <row r="6625">
      <c r="A6625" s="194" t="inlineStr">
        <is>
          <t>personagem.pericia_custom.23.nome</t>
        </is>
      </c>
      <c r="B6625" s="194">
        <f>IF(ISBLANK('FICHA'!$Z$423),"",'FICHA'!$Z$423&amp;"")</f>
        <v/>
      </c>
      <c r="C6625" s="194">
        <f>"'FICHA'!Z423"</f>
        <v/>
      </c>
      <c r="D6625" s="194" t="inlineStr">
        <is>
          <t>entrada</t>
        </is>
      </c>
    </row>
    <row r="6626">
      <c r="A6626" s="194" t="inlineStr">
        <is>
          <t>personagem.pericia_custom.23.treino</t>
        </is>
      </c>
      <c r="B6626" s="194">
        <f>N('FICHA'!$X$423)&amp;""</f>
        <v/>
      </c>
      <c r="C6626" s="194">
        <f>"'FICHA'!X423"</f>
        <v/>
      </c>
      <c r="D6626" s="194" t="inlineStr">
        <is>
          <t>entrada</t>
        </is>
      </c>
    </row>
    <row r="6627">
      <c r="A6627" s="194" t="inlineStr">
        <is>
          <t>personagem.pericia_custom.23.especializacao</t>
        </is>
      </c>
      <c r="B6627" s="194">
        <f>N('FICHA'!$Y$423)&amp;""</f>
        <v/>
      </c>
      <c r="C6627" s="194">
        <f>"'FICHA'!Y423"</f>
        <v/>
      </c>
      <c r="D6627" s="194" t="inlineStr">
        <is>
          <t>entrada</t>
        </is>
      </c>
    </row>
    <row r="6628">
      <c r="A6628" s="194" t="inlineStr">
        <is>
          <t>personagem.pericia_custom.23.atributo</t>
        </is>
      </c>
      <c r="B6628" s="194">
        <f>IF(ISBLANK('FICHA'!$AH$423),"",'FICHA'!$AH$423&amp;"")</f>
        <v/>
      </c>
      <c r="C6628" s="194">
        <f>"'FICHA'!AH423"</f>
        <v/>
      </c>
      <c r="D6628" s="194" t="inlineStr">
        <is>
          <t>entrada</t>
        </is>
      </c>
    </row>
    <row r="6629">
      <c r="A6629" s="194" t="inlineStr">
        <is>
          <t>personagem.pericia_custom.23.resultado</t>
        </is>
      </c>
      <c r="B6629" s="194">
        <f>IF(ISBLANK('FICHA'!$AL$423),"",'FICHA'!$AL$423&amp;"")</f>
        <v/>
      </c>
      <c r="C6629" s="194">
        <f>"'FICHA'!AL423"</f>
        <v/>
      </c>
      <c r="D6629" s="194" t="inlineStr">
        <is>
          <t>resultado</t>
        </is>
      </c>
    </row>
    <row r="6630">
      <c r="A6630" s="194" t="inlineStr">
        <is>
          <t>personagem.pericia_custom.23.bonus</t>
        </is>
      </c>
      <c r="B6630" s="194">
        <f>IF(ISBLANK('FICHA'!$AN$423),"",'FICHA'!$AN$423&amp;"")</f>
        <v/>
      </c>
      <c r="C6630" s="194">
        <f>"'FICHA'!AN423"</f>
        <v/>
      </c>
      <c r="D6630" s="194" t="inlineStr">
        <is>
          <t>entrada</t>
        </is>
      </c>
    </row>
    <row r="6631">
      <c r="A6631" s="194" t="inlineStr">
        <is>
          <t>aviso.efeito_caixa.pericia_custom.23</t>
        </is>
      </c>
      <c r="B6631" s="194">
        <f>DADOS_CONFIG!$E$76&amp;""</f>
        <v/>
      </c>
      <c r="C6631" s="194" t="inlineStr">
        <is>
          <t>DADOS_CONFIG!E76</t>
        </is>
      </c>
      <c r="D6631" s="194" t="inlineStr">
        <is>
          <t>aviso</t>
        </is>
      </c>
    </row>
    <row r="6632">
      <c r="A6632" s="194" t="inlineStr">
        <is>
          <t>aviso.personagem.pericia_custom.23</t>
        </is>
      </c>
      <c r="B6632" s="194">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4">
        <f>"'FICHA'!Z423"</f>
        <v/>
      </c>
      <c r="D6632" s="194" t="inlineStr">
        <is>
          <t>aviso</t>
        </is>
      </c>
    </row>
    <row r="6633">
      <c r="A6633" s="194" t="inlineStr">
        <is>
          <t>personagem.oficio_custom.1.nome</t>
        </is>
      </c>
      <c r="B6633" s="194">
        <f>IF(ISBLANK('FICHA'!$F$429),"",'FICHA'!$F$429&amp;"")</f>
        <v/>
      </c>
      <c r="C6633" s="194">
        <f>"'FICHA'!F429"</f>
        <v/>
      </c>
      <c r="D6633" s="194" t="inlineStr">
        <is>
          <t>entrada</t>
        </is>
      </c>
    </row>
    <row r="6634">
      <c r="A6634" s="194" t="inlineStr">
        <is>
          <t>personagem.oficio_custom.1.treino</t>
        </is>
      </c>
      <c r="B6634" s="194">
        <f>N('FICHA'!$D$429)&amp;""</f>
        <v/>
      </c>
      <c r="C6634" s="194">
        <f>"'FICHA'!D429"</f>
        <v/>
      </c>
      <c r="D6634" s="194" t="inlineStr">
        <is>
          <t>entrada</t>
        </is>
      </c>
    </row>
    <row r="6635">
      <c r="A6635" s="194" t="inlineStr">
        <is>
          <t>personagem.oficio_custom.1.especializacao</t>
        </is>
      </c>
      <c r="B6635" s="194">
        <f>N('FICHA'!$E$429)&amp;""</f>
        <v/>
      </c>
      <c r="C6635" s="194">
        <f>"'FICHA'!E429"</f>
        <v/>
      </c>
      <c r="D6635" s="194" t="inlineStr">
        <is>
          <t>entrada</t>
        </is>
      </c>
    </row>
    <row r="6636">
      <c r="A6636" s="194" t="inlineStr">
        <is>
          <t>personagem.oficio_custom.1.atributo</t>
        </is>
      </c>
      <c r="B6636" s="194">
        <f>IF(ISBLANK('FICHA'!$N$429),"",'FICHA'!$N$429&amp;"")</f>
        <v/>
      </c>
      <c r="C6636" s="194">
        <f>"'FICHA'!N429"</f>
        <v/>
      </c>
      <c r="D6636" s="194" t="inlineStr">
        <is>
          <t>entrada</t>
        </is>
      </c>
    </row>
    <row r="6637">
      <c r="A6637" s="194" t="inlineStr">
        <is>
          <t>personagem.oficio_custom.1.resultado</t>
        </is>
      </c>
      <c r="B6637" s="194">
        <f>IF(ISBLANK('FICHA'!$R$429),"",'FICHA'!$R$429&amp;"")</f>
        <v/>
      </c>
      <c r="C6637" s="194">
        <f>"'FICHA'!R429"</f>
        <v/>
      </c>
      <c r="D6637" s="194" t="inlineStr">
        <is>
          <t>resultado</t>
        </is>
      </c>
    </row>
    <row r="6638">
      <c r="A6638" s="194" t="inlineStr">
        <is>
          <t>personagem.oficio_custom.1.bonus</t>
        </is>
      </c>
      <c r="B6638" s="194">
        <f>IF(ISBLANK('FICHA'!$T$429),"",'FICHA'!$T$429&amp;"")</f>
        <v/>
      </c>
      <c r="C6638" s="194">
        <f>"'FICHA'!T429"</f>
        <v/>
      </c>
      <c r="D6638" s="194" t="inlineStr">
        <is>
          <t>entrada</t>
        </is>
      </c>
    </row>
    <row r="6639">
      <c r="A6639" s="194" t="inlineStr">
        <is>
          <t>aviso.efeito_caixa.oficio_custom.1</t>
        </is>
      </c>
      <c r="B6639" s="194">
        <f>DADOS_CONFIG!$E$77&amp;""</f>
        <v/>
      </c>
      <c r="C6639" s="194" t="inlineStr">
        <is>
          <t>DADOS_CONFIG!E77</t>
        </is>
      </c>
      <c r="D6639" s="194" t="inlineStr">
        <is>
          <t>aviso</t>
        </is>
      </c>
    </row>
    <row r="6640">
      <c r="A6640" s="194" t="inlineStr">
        <is>
          <t>aviso.personagem.oficio_custom.1</t>
        </is>
      </c>
      <c r="B6640" s="194">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4">
        <f>"'FICHA'!F429"</f>
        <v/>
      </c>
      <c r="D6640" s="194" t="inlineStr">
        <is>
          <t>aviso</t>
        </is>
      </c>
    </row>
    <row r="6641">
      <c r="A6641" s="194" t="inlineStr">
        <is>
          <t>personagem.oficio_custom.2.nome</t>
        </is>
      </c>
      <c r="B6641" s="194">
        <f>IF(ISBLANK('FICHA'!$F$430),"",'FICHA'!$F$430&amp;"")</f>
        <v/>
      </c>
      <c r="C6641" s="194">
        <f>"'FICHA'!F430"</f>
        <v/>
      </c>
      <c r="D6641" s="194" t="inlineStr">
        <is>
          <t>entrada</t>
        </is>
      </c>
    </row>
    <row r="6642">
      <c r="A6642" s="194" t="inlineStr">
        <is>
          <t>personagem.oficio_custom.2.treino</t>
        </is>
      </c>
      <c r="B6642" s="194">
        <f>N('FICHA'!$D$430)&amp;""</f>
        <v/>
      </c>
      <c r="C6642" s="194">
        <f>"'FICHA'!D430"</f>
        <v/>
      </c>
      <c r="D6642" s="194" t="inlineStr">
        <is>
          <t>entrada</t>
        </is>
      </c>
    </row>
    <row r="6643">
      <c r="A6643" s="194" t="inlineStr">
        <is>
          <t>personagem.oficio_custom.2.especializacao</t>
        </is>
      </c>
      <c r="B6643" s="194">
        <f>N('FICHA'!$E$430)&amp;""</f>
        <v/>
      </c>
      <c r="C6643" s="194">
        <f>"'FICHA'!E430"</f>
        <v/>
      </c>
      <c r="D6643" s="194" t="inlineStr">
        <is>
          <t>entrada</t>
        </is>
      </c>
    </row>
    <row r="6644">
      <c r="A6644" s="194" t="inlineStr">
        <is>
          <t>personagem.oficio_custom.2.atributo</t>
        </is>
      </c>
      <c r="B6644" s="194">
        <f>IF(ISBLANK('FICHA'!$N$430),"",'FICHA'!$N$430&amp;"")</f>
        <v/>
      </c>
      <c r="C6644" s="194">
        <f>"'FICHA'!N430"</f>
        <v/>
      </c>
      <c r="D6644" s="194" t="inlineStr">
        <is>
          <t>entrada</t>
        </is>
      </c>
    </row>
    <row r="6645">
      <c r="A6645" s="194" t="inlineStr">
        <is>
          <t>personagem.oficio_custom.2.resultado</t>
        </is>
      </c>
      <c r="B6645" s="194">
        <f>IF(ISBLANK('FICHA'!$R$430),"",'FICHA'!$R$430&amp;"")</f>
        <v/>
      </c>
      <c r="C6645" s="194">
        <f>"'FICHA'!R430"</f>
        <v/>
      </c>
      <c r="D6645" s="194" t="inlineStr">
        <is>
          <t>resultado</t>
        </is>
      </c>
    </row>
    <row r="6646">
      <c r="A6646" s="194" t="inlineStr">
        <is>
          <t>personagem.oficio_custom.2.bonus</t>
        </is>
      </c>
      <c r="B6646" s="194">
        <f>IF(ISBLANK('FICHA'!$T$430),"",'FICHA'!$T$430&amp;"")</f>
        <v/>
      </c>
      <c r="C6646" s="194">
        <f>"'FICHA'!T430"</f>
        <v/>
      </c>
      <c r="D6646" s="194" t="inlineStr">
        <is>
          <t>entrada</t>
        </is>
      </c>
    </row>
    <row r="6647">
      <c r="A6647" s="194" t="inlineStr">
        <is>
          <t>aviso.efeito_caixa.oficio_custom.2</t>
        </is>
      </c>
      <c r="B6647" s="194">
        <f>DADOS_CONFIG!$E$78&amp;""</f>
        <v/>
      </c>
      <c r="C6647" s="194" t="inlineStr">
        <is>
          <t>DADOS_CONFIG!E78</t>
        </is>
      </c>
      <c r="D6647" s="194" t="inlineStr">
        <is>
          <t>aviso</t>
        </is>
      </c>
    </row>
    <row r="6648">
      <c r="A6648" s="194" t="inlineStr">
        <is>
          <t>aviso.personagem.oficio_custom.2</t>
        </is>
      </c>
      <c r="B6648" s="194">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4">
        <f>"'FICHA'!F430"</f>
        <v/>
      </c>
      <c r="D6648" s="194" t="inlineStr">
        <is>
          <t>aviso</t>
        </is>
      </c>
    </row>
    <row r="6649">
      <c r="A6649" s="194" t="inlineStr">
        <is>
          <t>personagem.oficio_custom.3.nome</t>
        </is>
      </c>
      <c r="B6649" s="194">
        <f>IF(ISBLANK('FICHA'!$F$431),"",'FICHA'!$F$431&amp;"")</f>
        <v/>
      </c>
      <c r="C6649" s="194">
        <f>"'FICHA'!F431"</f>
        <v/>
      </c>
      <c r="D6649" s="194" t="inlineStr">
        <is>
          <t>entrada</t>
        </is>
      </c>
    </row>
    <row r="6650">
      <c r="A6650" s="194" t="inlineStr">
        <is>
          <t>personagem.oficio_custom.3.treino</t>
        </is>
      </c>
      <c r="B6650" s="194">
        <f>N('FICHA'!$D$431)&amp;""</f>
        <v/>
      </c>
      <c r="C6650" s="194">
        <f>"'FICHA'!D431"</f>
        <v/>
      </c>
      <c r="D6650" s="194" t="inlineStr">
        <is>
          <t>entrada</t>
        </is>
      </c>
    </row>
    <row r="6651">
      <c r="A6651" s="194" t="inlineStr">
        <is>
          <t>personagem.oficio_custom.3.especializacao</t>
        </is>
      </c>
      <c r="B6651" s="194">
        <f>N('FICHA'!$E$431)&amp;""</f>
        <v/>
      </c>
      <c r="C6651" s="194">
        <f>"'FICHA'!E431"</f>
        <v/>
      </c>
      <c r="D6651" s="194" t="inlineStr">
        <is>
          <t>entrada</t>
        </is>
      </c>
    </row>
    <row r="6652">
      <c r="A6652" s="194" t="inlineStr">
        <is>
          <t>personagem.oficio_custom.3.atributo</t>
        </is>
      </c>
      <c r="B6652" s="194">
        <f>IF(ISBLANK('FICHA'!$N$431),"",'FICHA'!$N$431&amp;"")</f>
        <v/>
      </c>
      <c r="C6652" s="194">
        <f>"'FICHA'!N431"</f>
        <v/>
      </c>
      <c r="D6652" s="194" t="inlineStr">
        <is>
          <t>entrada</t>
        </is>
      </c>
    </row>
    <row r="6653">
      <c r="A6653" s="194" t="inlineStr">
        <is>
          <t>personagem.oficio_custom.3.resultado</t>
        </is>
      </c>
      <c r="B6653" s="194">
        <f>IF(ISBLANK('FICHA'!$R$431),"",'FICHA'!$R$431&amp;"")</f>
        <v/>
      </c>
      <c r="C6653" s="194">
        <f>"'FICHA'!R431"</f>
        <v/>
      </c>
      <c r="D6653" s="194" t="inlineStr">
        <is>
          <t>resultado</t>
        </is>
      </c>
    </row>
    <row r="6654">
      <c r="A6654" s="194" t="inlineStr">
        <is>
          <t>personagem.oficio_custom.3.bonus</t>
        </is>
      </c>
      <c r="B6654" s="194">
        <f>IF(ISBLANK('FICHA'!$T$431),"",'FICHA'!$T$431&amp;"")</f>
        <v/>
      </c>
      <c r="C6654" s="194">
        <f>"'FICHA'!T431"</f>
        <v/>
      </c>
      <c r="D6654" s="194" t="inlineStr">
        <is>
          <t>entrada</t>
        </is>
      </c>
    </row>
    <row r="6655">
      <c r="A6655" s="194" t="inlineStr">
        <is>
          <t>aviso.efeito_caixa.oficio_custom.3</t>
        </is>
      </c>
      <c r="B6655" s="194">
        <f>DADOS_CONFIG!$E$79&amp;""</f>
        <v/>
      </c>
      <c r="C6655" s="194" t="inlineStr">
        <is>
          <t>DADOS_CONFIG!E79</t>
        </is>
      </c>
      <c r="D6655" s="194" t="inlineStr">
        <is>
          <t>aviso</t>
        </is>
      </c>
    </row>
    <row r="6656">
      <c r="A6656" s="194" t="inlineStr">
        <is>
          <t>aviso.personagem.oficio_custom.3</t>
        </is>
      </c>
      <c r="B6656" s="194">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4">
        <f>"'FICHA'!F431"</f>
        <v/>
      </c>
      <c r="D6656" s="194" t="inlineStr">
        <is>
          <t>aviso</t>
        </is>
      </c>
    </row>
    <row r="6657">
      <c r="A6657" s="194" t="inlineStr">
        <is>
          <t>personagem.oficio_custom.4.nome</t>
        </is>
      </c>
      <c r="B6657" s="194">
        <f>IF(ISBLANK('FICHA'!$F$432),"",'FICHA'!$F$432&amp;"")</f>
        <v/>
      </c>
      <c r="C6657" s="194">
        <f>"'FICHA'!F432"</f>
        <v/>
      </c>
      <c r="D6657" s="194" t="inlineStr">
        <is>
          <t>entrada</t>
        </is>
      </c>
    </row>
    <row r="6658">
      <c r="A6658" s="194" t="inlineStr">
        <is>
          <t>personagem.oficio_custom.4.treino</t>
        </is>
      </c>
      <c r="B6658" s="194">
        <f>N('FICHA'!$D$432)&amp;""</f>
        <v/>
      </c>
      <c r="C6658" s="194">
        <f>"'FICHA'!D432"</f>
        <v/>
      </c>
      <c r="D6658" s="194" t="inlineStr">
        <is>
          <t>entrada</t>
        </is>
      </c>
    </row>
    <row r="6659">
      <c r="A6659" s="194" t="inlineStr">
        <is>
          <t>personagem.oficio_custom.4.especializacao</t>
        </is>
      </c>
      <c r="B6659" s="194">
        <f>N('FICHA'!$E$432)&amp;""</f>
        <v/>
      </c>
      <c r="C6659" s="194">
        <f>"'FICHA'!E432"</f>
        <v/>
      </c>
      <c r="D6659" s="194" t="inlineStr">
        <is>
          <t>entrada</t>
        </is>
      </c>
    </row>
    <row r="6660">
      <c r="A6660" s="194" t="inlineStr">
        <is>
          <t>personagem.oficio_custom.4.atributo</t>
        </is>
      </c>
      <c r="B6660" s="194">
        <f>IF(ISBLANK('FICHA'!$N$432),"",'FICHA'!$N$432&amp;"")</f>
        <v/>
      </c>
      <c r="C6660" s="194">
        <f>"'FICHA'!N432"</f>
        <v/>
      </c>
      <c r="D6660" s="194" t="inlineStr">
        <is>
          <t>entrada</t>
        </is>
      </c>
    </row>
    <row r="6661">
      <c r="A6661" s="194" t="inlineStr">
        <is>
          <t>personagem.oficio_custom.4.resultado</t>
        </is>
      </c>
      <c r="B6661" s="194">
        <f>IF(ISBLANK('FICHA'!$R$432),"",'FICHA'!$R$432&amp;"")</f>
        <v/>
      </c>
      <c r="C6661" s="194">
        <f>"'FICHA'!R432"</f>
        <v/>
      </c>
      <c r="D6661" s="194" t="inlineStr">
        <is>
          <t>resultado</t>
        </is>
      </c>
    </row>
    <row r="6662">
      <c r="A6662" s="194" t="inlineStr">
        <is>
          <t>personagem.oficio_custom.4.bonus</t>
        </is>
      </c>
      <c r="B6662" s="194">
        <f>IF(ISBLANK('FICHA'!$T$432),"",'FICHA'!$T$432&amp;"")</f>
        <v/>
      </c>
      <c r="C6662" s="194">
        <f>"'FICHA'!T432"</f>
        <v/>
      </c>
      <c r="D6662" s="194" t="inlineStr">
        <is>
          <t>entrada</t>
        </is>
      </c>
    </row>
    <row r="6663">
      <c r="A6663" s="194" t="inlineStr">
        <is>
          <t>aviso.efeito_caixa.oficio_custom.4</t>
        </is>
      </c>
      <c r="B6663" s="194">
        <f>DADOS_CONFIG!$E$80&amp;""</f>
        <v/>
      </c>
      <c r="C6663" s="194" t="inlineStr">
        <is>
          <t>DADOS_CONFIG!E80</t>
        </is>
      </c>
      <c r="D6663" s="194" t="inlineStr">
        <is>
          <t>aviso</t>
        </is>
      </c>
    </row>
    <row r="6664">
      <c r="A6664" s="194" t="inlineStr">
        <is>
          <t>aviso.personagem.oficio_custom.4</t>
        </is>
      </c>
      <c r="B6664" s="194">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4">
        <f>"'FICHA'!F432"</f>
        <v/>
      </c>
      <c r="D6664" s="194" t="inlineStr">
        <is>
          <t>aviso</t>
        </is>
      </c>
    </row>
    <row r="6665">
      <c r="A6665" s="194" t="inlineStr">
        <is>
          <t>personagem.oficio_custom.5.nome</t>
        </is>
      </c>
      <c r="B6665" s="194">
        <f>IF(ISBLANK('FICHA'!$F$433),"",'FICHA'!$F$433&amp;"")</f>
        <v/>
      </c>
      <c r="C6665" s="194">
        <f>"'FICHA'!F433"</f>
        <v/>
      </c>
      <c r="D6665" s="194" t="inlineStr">
        <is>
          <t>entrada</t>
        </is>
      </c>
    </row>
    <row r="6666">
      <c r="A6666" s="194" t="inlineStr">
        <is>
          <t>personagem.oficio_custom.5.treino</t>
        </is>
      </c>
      <c r="B6666" s="194">
        <f>N('FICHA'!$D$433)&amp;""</f>
        <v/>
      </c>
      <c r="C6666" s="194">
        <f>"'FICHA'!D433"</f>
        <v/>
      </c>
      <c r="D6666" s="194" t="inlineStr">
        <is>
          <t>entrada</t>
        </is>
      </c>
    </row>
    <row r="6667">
      <c r="A6667" s="194" t="inlineStr">
        <is>
          <t>personagem.oficio_custom.5.especializacao</t>
        </is>
      </c>
      <c r="B6667" s="194">
        <f>N('FICHA'!$E$433)&amp;""</f>
        <v/>
      </c>
      <c r="C6667" s="194">
        <f>"'FICHA'!E433"</f>
        <v/>
      </c>
      <c r="D6667" s="194" t="inlineStr">
        <is>
          <t>entrada</t>
        </is>
      </c>
    </row>
    <row r="6668">
      <c r="A6668" s="194" t="inlineStr">
        <is>
          <t>personagem.oficio_custom.5.atributo</t>
        </is>
      </c>
      <c r="B6668" s="194">
        <f>IF(ISBLANK('FICHA'!$N$433),"",'FICHA'!$N$433&amp;"")</f>
        <v/>
      </c>
      <c r="C6668" s="194">
        <f>"'FICHA'!N433"</f>
        <v/>
      </c>
      <c r="D6668" s="194" t="inlineStr">
        <is>
          <t>entrada</t>
        </is>
      </c>
    </row>
    <row r="6669">
      <c r="A6669" s="194" t="inlineStr">
        <is>
          <t>personagem.oficio_custom.5.resultado</t>
        </is>
      </c>
      <c r="B6669" s="194">
        <f>IF(ISBLANK('FICHA'!$R$433),"",'FICHA'!$R$433&amp;"")</f>
        <v/>
      </c>
      <c r="C6669" s="194">
        <f>"'FICHA'!R433"</f>
        <v/>
      </c>
      <c r="D6669" s="194" t="inlineStr">
        <is>
          <t>resultado</t>
        </is>
      </c>
    </row>
    <row r="6670">
      <c r="A6670" s="194" t="inlineStr">
        <is>
          <t>personagem.oficio_custom.5.bonus</t>
        </is>
      </c>
      <c r="B6670" s="194">
        <f>IF(ISBLANK('FICHA'!$T$433),"",'FICHA'!$T$433&amp;"")</f>
        <v/>
      </c>
      <c r="C6670" s="194">
        <f>"'FICHA'!T433"</f>
        <v/>
      </c>
      <c r="D6670" s="194" t="inlineStr">
        <is>
          <t>entrada</t>
        </is>
      </c>
    </row>
    <row r="6671">
      <c r="A6671" s="194" t="inlineStr">
        <is>
          <t>aviso.efeito_caixa.oficio_custom.5</t>
        </is>
      </c>
      <c r="B6671" s="194">
        <f>DADOS_CONFIG!$E$81&amp;""</f>
        <v/>
      </c>
      <c r="C6671" s="194" t="inlineStr">
        <is>
          <t>DADOS_CONFIG!E81</t>
        </is>
      </c>
      <c r="D6671" s="194" t="inlineStr">
        <is>
          <t>aviso</t>
        </is>
      </c>
    </row>
    <row r="6672">
      <c r="A6672" s="194" t="inlineStr">
        <is>
          <t>aviso.personagem.oficio_custom.5</t>
        </is>
      </c>
      <c r="B6672" s="194">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4">
        <f>"'FICHA'!F433"</f>
        <v/>
      </c>
      <c r="D6672" s="194" t="inlineStr">
        <is>
          <t>aviso</t>
        </is>
      </c>
    </row>
    <row r="6673">
      <c r="A6673" s="194" t="inlineStr">
        <is>
          <t>personagem.oficio_custom.6.nome</t>
        </is>
      </c>
      <c r="B6673" s="194">
        <f>IF(ISBLANK('FICHA'!$F$434),"",'FICHA'!$F$434&amp;"")</f>
        <v/>
      </c>
      <c r="C6673" s="194">
        <f>"'FICHA'!F434"</f>
        <v/>
      </c>
      <c r="D6673" s="194" t="inlineStr">
        <is>
          <t>entrada</t>
        </is>
      </c>
    </row>
    <row r="6674">
      <c r="A6674" s="194" t="inlineStr">
        <is>
          <t>personagem.oficio_custom.6.treino</t>
        </is>
      </c>
      <c r="B6674" s="194">
        <f>N('FICHA'!$D$434)&amp;""</f>
        <v/>
      </c>
      <c r="C6674" s="194">
        <f>"'FICHA'!D434"</f>
        <v/>
      </c>
      <c r="D6674" s="194" t="inlineStr">
        <is>
          <t>entrada</t>
        </is>
      </c>
    </row>
    <row r="6675">
      <c r="A6675" s="194" t="inlineStr">
        <is>
          <t>personagem.oficio_custom.6.especializacao</t>
        </is>
      </c>
      <c r="B6675" s="194">
        <f>N('FICHA'!$E$434)&amp;""</f>
        <v/>
      </c>
      <c r="C6675" s="194">
        <f>"'FICHA'!E434"</f>
        <v/>
      </c>
      <c r="D6675" s="194" t="inlineStr">
        <is>
          <t>entrada</t>
        </is>
      </c>
    </row>
    <row r="6676">
      <c r="A6676" s="194" t="inlineStr">
        <is>
          <t>personagem.oficio_custom.6.atributo</t>
        </is>
      </c>
      <c r="B6676" s="194">
        <f>IF(ISBLANK('FICHA'!$N$434),"",'FICHA'!$N$434&amp;"")</f>
        <v/>
      </c>
      <c r="C6676" s="194">
        <f>"'FICHA'!N434"</f>
        <v/>
      </c>
      <c r="D6676" s="194" t="inlineStr">
        <is>
          <t>entrada</t>
        </is>
      </c>
    </row>
    <row r="6677">
      <c r="A6677" s="194" t="inlineStr">
        <is>
          <t>personagem.oficio_custom.6.resultado</t>
        </is>
      </c>
      <c r="B6677" s="194">
        <f>IF(ISBLANK('FICHA'!$R$434),"",'FICHA'!$R$434&amp;"")</f>
        <v/>
      </c>
      <c r="C6677" s="194">
        <f>"'FICHA'!R434"</f>
        <v/>
      </c>
      <c r="D6677" s="194" t="inlineStr">
        <is>
          <t>resultado</t>
        </is>
      </c>
    </row>
    <row r="6678">
      <c r="A6678" s="194" t="inlineStr">
        <is>
          <t>personagem.oficio_custom.6.bonus</t>
        </is>
      </c>
      <c r="B6678" s="194">
        <f>IF(ISBLANK('FICHA'!$T$434),"",'FICHA'!$T$434&amp;"")</f>
        <v/>
      </c>
      <c r="C6678" s="194">
        <f>"'FICHA'!T434"</f>
        <v/>
      </c>
      <c r="D6678" s="194" t="inlineStr">
        <is>
          <t>entrada</t>
        </is>
      </c>
    </row>
    <row r="6679">
      <c r="A6679" s="194" t="inlineStr">
        <is>
          <t>aviso.efeito_caixa.oficio_custom.6</t>
        </is>
      </c>
      <c r="B6679" s="194">
        <f>DADOS_CONFIG!$E$82&amp;""</f>
        <v/>
      </c>
      <c r="C6679" s="194" t="inlineStr">
        <is>
          <t>DADOS_CONFIG!E82</t>
        </is>
      </c>
      <c r="D6679" s="194" t="inlineStr">
        <is>
          <t>aviso</t>
        </is>
      </c>
    </row>
    <row r="6680">
      <c r="A6680" s="194" t="inlineStr">
        <is>
          <t>aviso.personagem.oficio_custom.6</t>
        </is>
      </c>
      <c r="B6680" s="194">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4">
        <f>"'FICHA'!F434"</f>
        <v/>
      </c>
      <c r="D6680" s="194" t="inlineStr">
        <is>
          <t>aviso</t>
        </is>
      </c>
    </row>
    <row r="6681">
      <c r="A6681" s="194" t="inlineStr">
        <is>
          <t>personagem.oficio_custom.7.nome</t>
        </is>
      </c>
      <c r="B6681" s="194">
        <f>IF(ISBLANK('FICHA'!$Z$429),"",'FICHA'!$Z$429&amp;"")</f>
        <v/>
      </c>
      <c r="C6681" s="194">
        <f>"'FICHA'!Z429"</f>
        <v/>
      </c>
      <c r="D6681" s="194" t="inlineStr">
        <is>
          <t>entrada</t>
        </is>
      </c>
    </row>
    <row r="6682">
      <c r="A6682" s="194" t="inlineStr">
        <is>
          <t>personagem.oficio_custom.7.treino</t>
        </is>
      </c>
      <c r="B6682" s="194">
        <f>N('FICHA'!$X$429)&amp;""</f>
        <v/>
      </c>
      <c r="C6682" s="194">
        <f>"'FICHA'!X429"</f>
        <v/>
      </c>
      <c r="D6682" s="194" t="inlineStr">
        <is>
          <t>entrada</t>
        </is>
      </c>
    </row>
    <row r="6683">
      <c r="A6683" s="194" t="inlineStr">
        <is>
          <t>personagem.oficio_custom.7.especializacao</t>
        </is>
      </c>
      <c r="B6683" s="194">
        <f>N('FICHA'!$Y$429)&amp;""</f>
        <v/>
      </c>
      <c r="C6683" s="194">
        <f>"'FICHA'!Y429"</f>
        <v/>
      </c>
      <c r="D6683" s="194" t="inlineStr">
        <is>
          <t>entrada</t>
        </is>
      </c>
    </row>
    <row r="6684">
      <c r="A6684" s="194" t="inlineStr">
        <is>
          <t>personagem.oficio_custom.7.atributo</t>
        </is>
      </c>
      <c r="B6684" s="194">
        <f>IF(ISBLANK('FICHA'!$AH$429),"",'FICHA'!$AH$429&amp;"")</f>
        <v/>
      </c>
      <c r="C6684" s="194">
        <f>"'FICHA'!AH429"</f>
        <v/>
      </c>
      <c r="D6684" s="194" t="inlineStr">
        <is>
          <t>entrada</t>
        </is>
      </c>
    </row>
    <row r="6685">
      <c r="A6685" s="194" t="inlineStr">
        <is>
          <t>personagem.oficio_custom.7.resultado</t>
        </is>
      </c>
      <c r="B6685" s="194">
        <f>IF(ISBLANK('FICHA'!$AL$429),"",'FICHA'!$AL$429&amp;"")</f>
        <v/>
      </c>
      <c r="C6685" s="194">
        <f>"'FICHA'!AL429"</f>
        <v/>
      </c>
      <c r="D6685" s="194" t="inlineStr">
        <is>
          <t>resultado</t>
        </is>
      </c>
    </row>
    <row r="6686">
      <c r="A6686" s="194" t="inlineStr">
        <is>
          <t>personagem.oficio_custom.7.bonus</t>
        </is>
      </c>
      <c r="B6686" s="194">
        <f>IF(ISBLANK('FICHA'!$AN$429),"",'FICHA'!$AN$429&amp;"")</f>
        <v/>
      </c>
      <c r="C6686" s="194">
        <f>"'FICHA'!AN429"</f>
        <v/>
      </c>
      <c r="D6686" s="194" t="inlineStr">
        <is>
          <t>entrada</t>
        </is>
      </c>
    </row>
    <row r="6687">
      <c r="A6687" s="194" t="inlineStr">
        <is>
          <t>aviso.efeito_caixa.oficio_custom.7</t>
        </is>
      </c>
      <c r="B6687" s="194">
        <f>DADOS_CONFIG!$E$83&amp;""</f>
        <v/>
      </c>
      <c r="C6687" s="194" t="inlineStr">
        <is>
          <t>DADOS_CONFIG!E83</t>
        </is>
      </c>
      <c r="D6687" s="194" t="inlineStr">
        <is>
          <t>aviso</t>
        </is>
      </c>
    </row>
    <row r="6688">
      <c r="A6688" s="194" t="inlineStr">
        <is>
          <t>aviso.personagem.oficio_custom.7</t>
        </is>
      </c>
      <c r="B6688" s="194">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4">
        <f>"'FICHA'!Z429"</f>
        <v/>
      </c>
      <c r="D6688" s="194" t="inlineStr">
        <is>
          <t>aviso</t>
        </is>
      </c>
    </row>
    <row r="6689">
      <c r="A6689" s="194" t="inlineStr">
        <is>
          <t>personagem.oficio_custom.8.nome</t>
        </is>
      </c>
      <c r="B6689" s="194">
        <f>IF(ISBLANK('FICHA'!$Z$430),"",'FICHA'!$Z$430&amp;"")</f>
        <v/>
      </c>
      <c r="C6689" s="194">
        <f>"'FICHA'!Z430"</f>
        <v/>
      </c>
      <c r="D6689" s="194" t="inlineStr">
        <is>
          <t>entrada</t>
        </is>
      </c>
    </row>
    <row r="6690">
      <c r="A6690" s="194" t="inlineStr">
        <is>
          <t>personagem.oficio_custom.8.treino</t>
        </is>
      </c>
      <c r="B6690" s="194">
        <f>N('FICHA'!$X$430)&amp;""</f>
        <v/>
      </c>
      <c r="C6690" s="194">
        <f>"'FICHA'!X430"</f>
        <v/>
      </c>
      <c r="D6690" s="194" t="inlineStr">
        <is>
          <t>entrada</t>
        </is>
      </c>
    </row>
    <row r="6691">
      <c r="A6691" s="194" t="inlineStr">
        <is>
          <t>personagem.oficio_custom.8.especializacao</t>
        </is>
      </c>
      <c r="B6691" s="194">
        <f>N('FICHA'!$Y$430)&amp;""</f>
        <v/>
      </c>
      <c r="C6691" s="194">
        <f>"'FICHA'!Y430"</f>
        <v/>
      </c>
      <c r="D6691" s="194" t="inlineStr">
        <is>
          <t>entrada</t>
        </is>
      </c>
    </row>
    <row r="6692">
      <c r="A6692" s="194" t="inlineStr">
        <is>
          <t>personagem.oficio_custom.8.atributo</t>
        </is>
      </c>
      <c r="B6692" s="194">
        <f>IF(ISBLANK('FICHA'!$AH$430),"",'FICHA'!$AH$430&amp;"")</f>
        <v/>
      </c>
      <c r="C6692" s="194">
        <f>"'FICHA'!AH430"</f>
        <v/>
      </c>
      <c r="D6692" s="194" t="inlineStr">
        <is>
          <t>entrada</t>
        </is>
      </c>
    </row>
    <row r="6693">
      <c r="A6693" s="194" t="inlineStr">
        <is>
          <t>personagem.oficio_custom.8.resultado</t>
        </is>
      </c>
      <c r="B6693" s="194">
        <f>IF(ISBLANK('FICHA'!$AL$430),"",'FICHA'!$AL$430&amp;"")</f>
        <v/>
      </c>
      <c r="C6693" s="194">
        <f>"'FICHA'!AL430"</f>
        <v/>
      </c>
      <c r="D6693" s="194" t="inlineStr">
        <is>
          <t>resultado</t>
        </is>
      </c>
    </row>
    <row r="6694">
      <c r="A6694" s="194" t="inlineStr">
        <is>
          <t>personagem.oficio_custom.8.bonus</t>
        </is>
      </c>
      <c r="B6694" s="194">
        <f>IF(ISBLANK('FICHA'!$AN$430),"",'FICHA'!$AN$430&amp;"")</f>
        <v/>
      </c>
      <c r="C6694" s="194">
        <f>"'FICHA'!AN430"</f>
        <v/>
      </c>
      <c r="D6694" s="194" t="inlineStr">
        <is>
          <t>entrada</t>
        </is>
      </c>
    </row>
    <row r="6695">
      <c r="A6695" s="194" t="inlineStr">
        <is>
          <t>aviso.efeito_caixa.oficio_custom.8</t>
        </is>
      </c>
      <c r="B6695" s="194">
        <f>DADOS_CONFIG!$E$84&amp;""</f>
        <v/>
      </c>
      <c r="C6695" s="194" t="inlineStr">
        <is>
          <t>DADOS_CONFIG!E84</t>
        </is>
      </c>
      <c r="D6695" s="194" t="inlineStr">
        <is>
          <t>aviso</t>
        </is>
      </c>
    </row>
    <row r="6696">
      <c r="A6696" s="194" t="inlineStr">
        <is>
          <t>aviso.personagem.oficio_custom.8</t>
        </is>
      </c>
      <c r="B6696" s="194">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4">
        <f>"'FICHA'!Z430"</f>
        <v/>
      </c>
      <c r="D6696" s="194" t="inlineStr">
        <is>
          <t>aviso</t>
        </is>
      </c>
    </row>
    <row r="6697">
      <c r="A6697" s="194" t="inlineStr">
        <is>
          <t>personagem.oficio_custom.9.nome</t>
        </is>
      </c>
      <c r="B6697" s="194">
        <f>IF(ISBLANK('FICHA'!$Z$431),"",'FICHA'!$Z$431&amp;"")</f>
        <v/>
      </c>
      <c r="C6697" s="194">
        <f>"'FICHA'!Z431"</f>
        <v/>
      </c>
      <c r="D6697" s="194" t="inlineStr">
        <is>
          <t>entrada</t>
        </is>
      </c>
    </row>
    <row r="6698">
      <c r="A6698" s="194" t="inlineStr">
        <is>
          <t>personagem.oficio_custom.9.treino</t>
        </is>
      </c>
      <c r="B6698" s="194">
        <f>N('FICHA'!$X$431)&amp;""</f>
        <v/>
      </c>
      <c r="C6698" s="194">
        <f>"'FICHA'!X431"</f>
        <v/>
      </c>
      <c r="D6698" s="194" t="inlineStr">
        <is>
          <t>entrada</t>
        </is>
      </c>
    </row>
    <row r="6699">
      <c r="A6699" s="194" t="inlineStr">
        <is>
          <t>personagem.oficio_custom.9.especializacao</t>
        </is>
      </c>
      <c r="B6699" s="194">
        <f>N('FICHA'!$Y$431)&amp;""</f>
        <v/>
      </c>
      <c r="C6699" s="194">
        <f>"'FICHA'!Y431"</f>
        <v/>
      </c>
      <c r="D6699" s="194" t="inlineStr">
        <is>
          <t>entrada</t>
        </is>
      </c>
    </row>
    <row r="6700">
      <c r="A6700" s="194" t="inlineStr">
        <is>
          <t>personagem.oficio_custom.9.atributo</t>
        </is>
      </c>
      <c r="B6700" s="194">
        <f>IF(ISBLANK('FICHA'!$AH$431),"",'FICHA'!$AH$431&amp;"")</f>
        <v/>
      </c>
      <c r="C6700" s="194">
        <f>"'FICHA'!AH431"</f>
        <v/>
      </c>
      <c r="D6700" s="194" t="inlineStr">
        <is>
          <t>entrada</t>
        </is>
      </c>
    </row>
    <row r="6701">
      <c r="A6701" s="194" t="inlineStr">
        <is>
          <t>personagem.oficio_custom.9.resultado</t>
        </is>
      </c>
      <c r="B6701" s="194">
        <f>IF(ISBLANK('FICHA'!$AL$431),"",'FICHA'!$AL$431&amp;"")</f>
        <v/>
      </c>
      <c r="C6701" s="194">
        <f>"'FICHA'!AL431"</f>
        <v/>
      </c>
      <c r="D6701" s="194" t="inlineStr">
        <is>
          <t>resultado</t>
        </is>
      </c>
    </row>
    <row r="6702">
      <c r="A6702" s="194" t="inlineStr">
        <is>
          <t>personagem.oficio_custom.9.bonus</t>
        </is>
      </c>
      <c r="B6702" s="194">
        <f>IF(ISBLANK('FICHA'!$AN$431),"",'FICHA'!$AN$431&amp;"")</f>
        <v/>
      </c>
      <c r="C6702" s="194">
        <f>"'FICHA'!AN431"</f>
        <v/>
      </c>
      <c r="D6702" s="194" t="inlineStr">
        <is>
          <t>entrada</t>
        </is>
      </c>
    </row>
    <row r="6703">
      <c r="A6703" s="194" t="inlineStr">
        <is>
          <t>aviso.efeito_caixa.oficio_custom.9</t>
        </is>
      </c>
      <c r="B6703" s="194">
        <f>DADOS_CONFIG!$E$85&amp;""</f>
        <v/>
      </c>
      <c r="C6703" s="194" t="inlineStr">
        <is>
          <t>DADOS_CONFIG!E85</t>
        </is>
      </c>
      <c r="D6703" s="194" t="inlineStr">
        <is>
          <t>aviso</t>
        </is>
      </c>
    </row>
    <row r="6704">
      <c r="A6704" s="194" t="inlineStr">
        <is>
          <t>aviso.personagem.oficio_custom.9</t>
        </is>
      </c>
      <c r="B6704" s="194">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4">
        <f>"'FICHA'!Z431"</f>
        <v/>
      </c>
      <c r="D6704" s="194" t="inlineStr">
        <is>
          <t>aviso</t>
        </is>
      </c>
    </row>
    <row r="6705">
      <c r="A6705" s="194" t="inlineStr">
        <is>
          <t>personagem.oficio_custom.10.nome</t>
        </is>
      </c>
      <c r="B6705" s="194">
        <f>IF(ISBLANK('FICHA'!$Z$432),"",'FICHA'!$Z$432&amp;"")</f>
        <v/>
      </c>
      <c r="C6705" s="194">
        <f>"'FICHA'!Z432"</f>
        <v/>
      </c>
      <c r="D6705" s="194" t="inlineStr">
        <is>
          <t>entrada</t>
        </is>
      </c>
    </row>
    <row r="6706">
      <c r="A6706" s="194" t="inlineStr">
        <is>
          <t>personagem.oficio_custom.10.treino</t>
        </is>
      </c>
      <c r="B6706" s="194">
        <f>N('FICHA'!$X$432)&amp;""</f>
        <v/>
      </c>
      <c r="C6706" s="194">
        <f>"'FICHA'!X432"</f>
        <v/>
      </c>
      <c r="D6706" s="194" t="inlineStr">
        <is>
          <t>entrada</t>
        </is>
      </c>
    </row>
    <row r="6707">
      <c r="A6707" s="194" t="inlineStr">
        <is>
          <t>personagem.oficio_custom.10.especializacao</t>
        </is>
      </c>
      <c r="B6707" s="194">
        <f>N('FICHA'!$Y$432)&amp;""</f>
        <v/>
      </c>
      <c r="C6707" s="194">
        <f>"'FICHA'!Y432"</f>
        <v/>
      </c>
      <c r="D6707" s="194" t="inlineStr">
        <is>
          <t>entrada</t>
        </is>
      </c>
    </row>
    <row r="6708">
      <c r="A6708" s="194" t="inlineStr">
        <is>
          <t>personagem.oficio_custom.10.atributo</t>
        </is>
      </c>
      <c r="B6708" s="194">
        <f>IF(ISBLANK('FICHA'!$AH$432),"",'FICHA'!$AH$432&amp;"")</f>
        <v/>
      </c>
      <c r="C6708" s="194">
        <f>"'FICHA'!AH432"</f>
        <v/>
      </c>
      <c r="D6708" s="194" t="inlineStr">
        <is>
          <t>entrada</t>
        </is>
      </c>
    </row>
    <row r="6709">
      <c r="A6709" s="194" t="inlineStr">
        <is>
          <t>personagem.oficio_custom.10.resultado</t>
        </is>
      </c>
      <c r="B6709" s="194">
        <f>IF(ISBLANK('FICHA'!$AL$432),"",'FICHA'!$AL$432&amp;"")</f>
        <v/>
      </c>
      <c r="C6709" s="194">
        <f>"'FICHA'!AL432"</f>
        <v/>
      </c>
      <c r="D6709" s="194" t="inlineStr">
        <is>
          <t>resultado</t>
        </is>
      </c>
    </row>
    <row r="6710">
      <c r="A6710" s="194" t="inlineStr">
        <is>
          <t>personagem.oficio_custom.10.bonus</t>
        </is>
      </c>
      <c r="B6710" s="194">
        <f>IF(ISBLANK('FICHA'!$AN$432),"",'FICHA'!$AN$432&amp;"")</f>
        <v/>
      </c>
      <c r="C6710" s="194">
        <f>"'FICHA'!AN432"</f>
        <v/>
      </c>
      <c r="D6710" s="194" t="inlineStr">
        <is>
          <t>entrada</t>
        </is>
      </c>
    </row>
    <row r="6711">
      <c r="A6711" s="194" t="inlineStr">
        <is>
          <t>aviso.efeito_caixa.oficio_custom.10</t>
        </is>
      </c>
      <c r="B6711" s="194">
        <f>DADOS_CONFIG!$E$86&amp;""</f>
        <v/>
      </c>
      <c r="C6711" s="194" t="inlineStr">
        <is>
          <t>DADOS_CONFIG!E86</t>
        </is>
      </c>
      <c r="D6711" s="194" t="inlineStr">
        <is>
          <t>aviso</t>
        </is>
      </c>
    </row>
    <row r="6712">
      <c r="A6712" s="194" t="inlineStr">
        <is>
          <t>aviso.personagem.oficio_custom.10</t>
        </is>
      </c>
      <c r="B6712" s="194">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4">
        <f>"'FICHA'!Z432"</f>
        <v/>
      </c>
      <c r="D6712" s="194" t="inlineStr">
        <is>
          <t>aviso</t>
        </is>
      </c>
    </row>
    <row r="6713">
      <c r="A6713" s="194" t="inlineStr">
        <is>
          <t>personagem.oficio_custom.11.nome</t>
        </is>
      </c>
      <c r="B6713" s="194">
        <f>IF(ISBLANK('FICHA'!$Z$433),"",'FICHA'!$Z$433&amp;"")</f>
        <v/>
      </c>
      <c r="C6713" s="194">
        <f>"'FICHA'!Z433"</f>
        <v/>
      </c>
      <c r="D6713" s="194" t="inlineStr">
        <is>
          <t>entrada</t>
        </is>
      </c>
    </row>
    <row r="6714">
      <c r="A6714" s="194" t="inlineStr">
        <is>
          <t>personagem.oficio_custom.11.treino</t>
        </is>
      </c>
      <c r="B6714" s="194">
        <f>N('FICHA'!$X$433)&amp;""</f>
        <v/>
      </c>
      <c r="C6714" s="194">
        <f>"'FICHA'!X433"</f>
        <v/>
      </c>
      <c r="D6714" s="194" t="inlineStr">
        <is>
          <t>entrada</t>
        </is>
      </c>
    </row>
    <row r="6715">
      <c r="A6715" s="194" t="inlineStr">
        <is>
          <t>personagem.oficio_custom.11.especializacao</t>
        </is>
      </c>
      <c r="B6715" s="194">
        <f>N('FICHA'!$Y$433)&amp;""</f>
        <v/>
      </c>
      <c r="C6715" s="194">
        <f>"'FICHA'!Y433"</f>
        <v/>
      </c>
      <c r="D6715" s="194" t="inlineStr">
        <is>
          <t>entrada</t>
        </is>
      </c>
    </row>
    <row r="6716">
      <c r="A6716" s="194" t="inlineStr">
        <is>
          <t>personagem.oficio_custom.11.atributo</t>
        </is>
      </c>
      <c r="B6716" s="194">
        <f>IF(ISBLANK('FICHA'!$AH$433),"",'FICHA'!$AH$433&amp;"")</f>
        <v/>
      </c>
      <c r="C6716" s="194">
        <f>"'FICHA'!AH433"</f>
        <v/>
      </c>
      <c r="D6716" s="194" t="inlineStr">
        <is>
          <t>entrada</t>
        </is>
      </c>
    </row>
    <row r="6717">
      <c r="A6717" s="194" t="inlineStr">
        <is>
          <t>personagem.oficio_custom.11.resultado</t>
        </is>
      </c>
      <c r="B6717" s="194">
        <f>IF(ISBLANK('FICHA'!$AL$433),"",'FICHA'!$AL$433&amp;"")</f>
        <v/>
      </c>
      <c r="C6717" s="194">
        <f>"'FICHA'!AL433"</f>
        <v/>
      </c>
      <c r="D6717" s="194" t="inlineStr">
        <is>
          <t>resultado</t>
        </is>
      </c>
    </row>
    <row r="6718">
      <c r="A6718" s="194" t="inlineStr">
        <is>
          <t>personagem.oficio_custom.11.bonus</t>
        </is>
      </c>
      <c r="B6718" s="194">
        <f>IF(ISBLANK('FICHA'!$AN$433),"",'FICHA'!$AN$433&amp;"")</f>
        <v/>
      </c>
      <c r="C6718" s="194">
        <f>"'FICHA'!AN433"</f>
        <v/>
      </c>
      <c r="D6718" s="194" t="inlineStr">
        <is>
          <t>entrada</t>
        </is>
      </c>
    </row>
    <row r="6719">
      <c r="A6719" s="194" t="inlineStr">
        <is>
          <t>aviso.efeito_caixa.oficio_custom.11</t>
        </is>
      </c>
      <c r="B6719" s="194">
        <f>DADOS_CONFIG!$E$87&amp;""</f>
        <v/>
      </c>
      <c r="C6719" s="194" t="inlineStr">
        <is>
          <t>DADOS_CONFIG!E87</t>
        </is>
      </c>
      <c r="D6719" s="194" t="inlineStr">
        <is>
          <t>aviso</t>
        </is>
      </c>
    </row>
    <row r="6720">
      <c r="A6720" s="194" t="inlineStr">
        <is>
          <t>aviso.personagem.oficio_custom.11</t>
        </is>
      </c>
      <c r="B6720" s="194">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4">
        <f>"'FICHA'!Z433"</f>
        <v/>
      </c>
      <c r="D6720" s="194" t="inlineStr">
        <is>
          <t>aviso</t>
        </is>
      </c>
    </row>
    <row r="6721">
      <c r="A6721" s="194" t="inlineStr">
        <is>
          <t>aviso.efeito_caixa.invocacoes.teto_de_ativas</t>
        </is>
      </c>
      <c r="B6721" s="194">
        <f>DADOS_CONFIG!$E$88&amp;""</f>
        <v/>
      </c>
      <c r="C6721" s="194" t="inlineStr">
        <is>
          <t>DADOS_CONFIG!E88</t>
        </is>
      </c>
      <c r="D6721" s="194" t="inlineStr">
        <is>
          <t>aviso</t>
        </is>
      </c>
    </row>
    <row r="6722">
      <c r="A6722" s="194" t="inlineStr">
        <is>
          <t>aviso.efeito_caixa.invocacoes.familias_da_trilha</t>
        </is>
      </c>
      <c r="B6722" s="194">
        <f>DADOS_CONFIG!$E$89&amp;""</f>
        <v/>
      </c>
      <c r="C6722" s="194" t="inlineStr">
        <is>
          <t>DADOS_CONFIG!E89</t>
        </is>
      </c>
      <c r="D6722" s="194" t="inlineStr">
        <is>
          <t>aviso</t>
        </is>
      </c>
    </row>
    <row r="6723">
      <c r="A6723" s="194" t="inlineStr">
        <is>
          <t>invocacao.1.familia.6</t>
        </is>
      </c>
      <c r="B6723" s="194">
        <f>IF(ISBLANK('INVOCAÇÕES'!$O$50),"",'INVOCAÇÕES'!$O$50&amp;"")</f>
        <v/>
      </c>
      <c r="C6723" s="194">
        <f>"'INVOCAÇÕES'!O50"</f>
        <v/>
      </c>
      <c r="D6723" s="194" t="inlineStr">
        <is>
          <t>entrada</t>
        </is>
      </c>
    </row>
    <row r="6724">
      <c r="A6724" s="194" t="inlineStr">
        <is>
          <t>invocacao.1.familia.7</t>
        </is>
      </c>
      <c r="B6724" s="194">
        <f>IF(ISBLANK('INVOCAÇÕES'!$P$50),"",'INVOCAÇÕES'!$P$50&amp;"")</f>
        <v/>
      </c>
      <c r="C6724" s="194">
        <f>"'INVOCAÇÕES'!P50"</f>
        <v/>
      </c>
      <c r="D6724" s="194" t="inlineStr">
        <is>
          <t>entrada</t>
        </is>
      </c>
    </row>
    <row r="6725">
      <c r="A6725" s="194" t="inlineStr">
        <is>
          <t>invocacao.2.familia.6</t>
        </is>
      </c>
      <c r="B6725" s="194">
        <f>IF(ISBLANK('INVOCAÇÕES'!$O$248),"",'INVOCAÇÕES'!$O$248&amp;"")</f>
        <v/>
      </c>
      <c r="C6725" s="194">
        <f>"'INVOCAÇÕES'!O248"</f>
        <v/>
      </c>
      <c r="D6725" s="194" t="inlineStr">
        <is>
          <t>entrada</t>
        </is>
      </c>
    </row>
    <row r="6726">
      <c r="A6726" s="194" t="inlineStr">
        <is>
          <t>invocacao.2.familia.7</t>
        </is>
      </c>
      <c r="B6726" s="194">
        <f>IF(ISBLANK('INVOCAÇÕES'!$P$248),"",'INVOCAÇÕES'!$P$248&amp;"")</f>
        <v/>
      </c>
      <c r="C6726" s="194">
        <f>"'INVOCAÇÕES'!P248"</f>
        <v/>
      </c>
      <c r="D6726" s="194" t="inlineStr">
        <is>
          <t>entrada</t>
        </is>
      </c>
    </row>
    <row r="6727">
      <c r="A6727" s="194" t="inlineStr">
        <is>
          <t>invocacao.3.familia.6</t>
        </is>
      </c>
      <c r="B6727" s="194">
        <f>IF(ISBLANK('INVOCAÇÕES'!$O$446),"",'INVOCAÇÕES'!$O$446&amp;"")</f>
        <v/>
      </c>
      <c r="C6727" s="194">
        <f>"'INVOCAÇÕES'!O446"</f>
        <v/>
      </c>
      <c r="D6727" s="194" t="inlineStr">
        <is>
          <t>entrada</t>
        </is>
      </c>
    </row>
    <row r="6728">
      <c r="A6728" s="194" t="inlineStr">
        <is>
          <t>invocacao.3.familia.7</t>
        </is>
      </c>
      <c r="B6728" s="194">
        <f>IF(ISBLANK('INVOCAÇÕES'!$P$446),"",'INVOCAÇÕES'!$P$446&amp;"")</f>
        <v/>
      </c>
      <c r="C6728" s="194">
        <f>"'INVOCAÇÕES'!P446"</f>
        <v/>
      </c>
      <c r="D6728" s="194" t="inlineStr">
        <is>
          <t>entrada</t>
        </is>
      </c>
    </row>
    <row r="6729">
      <c r="A6729" s="194" t="inlineStr">
        <is>
          <t>invocacao.4.familia.6</t>
        </is>
      </c>
      <c r="B6729" s="194">
        <f>IF(ISBLANK('INVOCAÇÕES'!$O$644),"",'INVOCAÇÕES'!$O$644&amp;"")</f>
        <v/>
      </c>
      <c r="C6729" s="194">
        <f>"'INVOCAÇÕES'!O644"</f>
        <v/>
      </c>
      <c r="D6729" s="194" t="inlineStr">
        <is>
          <t>entrada</t>
        </is>
      </c>
    </row>
    <row r="6730">
      <c r="A6730" s="194" t="inlineStr">
        <is>
          <t>invocacao.4.familia.7</t>
        </is>
      </c>
      <c r="B6730" s="194">
        <f>IF(ISBLANK('INVOCAÇÕES'!$P$644),"",'INVOCAÇÕES'!$P$644&amp;"")</f>
        <v/>
      </c>
      <c r="C6730" s="194">
        <f>"'INVOCAÇÕES'!P644"</f>
        <v/>
      </c>
      <c r="D6730" s="194" t="inlineStr">
        <is>
          <t>entrada</t>
        </is>
      </c>
    </row>
    <row r="6731">
      <c r="A6731" s="194" t="inlineStr">
        <is>
          <t>invocacao.5.familia.6</t>
        </is>
      </c>
      <c r="B6731" s="194">
        <f>IF(ISBLANK('INVOCAÇÕES'!$O$842),"",'INVOCAÇÕES'!$O$842&amp;"")</f>
        <v/>
      </c>
      <c r="C6731" s="194">
        <f>"'INVOCAÇÕES'!O842"</f>
        <v/>
      </c>
      <c r="D6731" s="194" t="inlineStr">
        <is>
          <t>entrada</t>
        </is>
      </c>
    </row>
    <row r="6732">
      <c r="A6732" s="194" t="inlineStr">
        <is>
          <t>invocacao.5.familia.7</t>
        </is>
      </c>
      <c r="B6732" s="194">
        <f>IF(ISBLANK('INVOCAÇÕES'!$P$842),"",'INVOCAÇÕES'!$P$842&amp;"")</f>
        <v/>
      </c>
      <c r="C6732" s="194">
        <f>"'INVOCAÇÕES'!P842"</f>
        <v/>
      </c>
      <c r="D6732" s="194" t="inlineStr">
        <is>
          <t>entrada</t>
        </is>
      </c>
    </row>
    <row r="6733">
      <c r="A6733" s="194" t="inlineStr">
        <is>
          <t>invocacao.6.familia.6</t>
        </is>
      </c>
      <c r="B6733" s="194">
        <f>IF(ISBLANK('INVOCAÇÕES'!$O$1040),"",'INVOCAÇÕES'!$O$1040&amp;"")</f>
        <v/>
      </c>
      <c r="C6733" s="194">
        <f>"'INVOCAÇÕES'!O1040"</f>
        <v/>
      </c>
      <c r="D6733" s="194" t="inlineStr">
        <is>
          <t>entrada</t>
        </is>
      </c>
    </row>
    <row r="6734">
      <c r="A6734" s="194" t="inlineStr">
        <is>
          <t>invocacao.6.familia.7</t>
        </is>
      </c>
      <c r="B6734" s="194">
        <f>IF(ISBLANK('INVOCAÇÕES'!$P$1040),"",'INVOCAÇÕES'!$P$1040&amp;"")</f>
        <v/>
      </c>
      <c r="C6734" s="194">
        <f>"'INVOCAÇÕES'!P1040"</f>
        <v/>
      </c>
      <c r="D6734" s="194" t="inlineStr">
        <is>
          <t>entrada</t>
        </is>
      </c>
    </row>
    <row r="6735">
      <c r="A6735" s="194" t="inlineStr">
        <is>
          <t>invocacao.7.familia.6</t>
        </is>
      </c>
      <c r="B6735" s="194">
        <f>IF(ISBLANK('INVOCAÇÕES'!$AH$50),"",'INVOCAÇÕES'!$AH$50&amp;"")</f>
        <v/>
      </c>
      <c r="C6735" s="194">
        <f>"'INVOCAÇÕES'!AH50"</f>
        <v/>
      </c>
      <c r="D6735" s="194" t="inlineStr">
        <is>
          <t>entrada</t>
        </is>
      </c>
    </row>
    <row r="6736">
      <c r="A6736" s="194" t="inlineStr">
        <is>
          <t>invocacao.7.familia.7</t>
        </is>
      </c>
      <c r="B6736" s="194">
        <f>IF(ISBLANK('INVOCAÇÕES'!$AI$50),"",'INVOCAÇÕES'!$AI$50&amp;"")</f>
        <v/>
      </c>
      <c r="C6736" s="194">
        <f>"'INVOCAÇÕES'!AI50"</f>
        <v/>
      </c>
      <c r="D6736" s="194" t="inlineStr">
        <is>
          <t>entrada</t>
        </is>
      </c>
    </row>
    <row r="6737">
      <c r="A6737" s="194" t="inlineStr">
        <is>
          <t>invocacao.8.familia.6</t>
        </is>
      </c>
      <c r="B6737" s="194">
        <f>IF(ISBLANK('INVOCAÇÕES'!$AH$248),"",'INVOCAÇÕES'!$AH$248&amp;"")</f>
        <v/>
      </c>
      <c r="C6737" s="194">
        <f>"'INVOCAÇÕES'!AH248"</f>
        <v/>
      </c>
      <c r="D6737" s="194" t="inlineStr">
        <is>
          <t>entrada</t>
        </is>
      </c>
    </row>
    <row r="6738">
      <c r="A6738" s="194" t="inlineStr">
        <is>
          <t>invocacao.8.familia.7</t>
        </is>
      </c>
      <c r="B6738" s="194">
        <f>IF(ISBLANK('INVOCAÇÕES'!$AI$248),"",'INVOCAÇÕES'!$AI$248&amp;"")</f>
        <v/>
      </c>
      <c r="C6738" s="194">
        <f>"'INVOCAÇÕES'!AI248"</f>
        <v/>
      </c>
      <c r="D6738" s="194" t="inlineStr">
        <is>
          <t>entrada</t>
        </is>
      </c>
    </row>
    <row r="6739">
      <c r="A6739" s="194" t="inlineStr">
        <is>
          <t>invocacao.9.familia.6</t>
        </is>
      </c>
      <c r="B6739" s="194">
        <f>IF(ISBLANK('INVOCAÇÕES'!$AH$446),"",'INVOCAÇÕES'!$AH$446&amp;"")</f>
        <v/>
      </c>
      <c r="C6739" s="194">
        <f>"'INVOCAÇÕES'!AH446"</f>
        <v/>
      </c>
      <c r="D6739" s="194" t="inlineStr">
        <is>
          <t>entrada</t>
        </is>
      </c>
    </row>
    <row r="6740">
      <c r="A6740" s="194" t="inlineStr">
        <is>
          <t>invocacao.9.familia.7</t>
        </is>
      </c>
      <c r="B6740" s="194">
        <f>IF(ISBLANK('INVOCAÇÕES'!$AI$446),"",'INVOCAÇÕES'!$AI$446&amp;"")</f>
        <v/>
      </c>
      <c r="C6740" s="194">
        <f>"'INVOCAÇÕES'!AI446"</f>
        <v/>
      </c>
      <c r="D6740" s="194" t="inlineStr">
        <is>
          <t>entrada</t>
        </is>
      </c>
    </row>
    <row r="6741">
      <c r="A6741" s="194" t="inlineStr">
        <is>
          <t>invocacao.10.familia.6</t>
        </is>
      </c>
      <c r="B6741" s="194">
        <f>IF(ISBLANK('INVOCAÇÕES'!$AH$644),"",'INVOCAÇÕES'!$AH$644&amp;"")</f>
        <v/>
      </c>
      <c r="C6741" s="194">
        <f>"'INVOCAÇÕES'!AH644"</f>
        <v/>
      </c>
      <c r="D6741" s="194" t="inlineStr">
        <is>
          <t>entrada</t>
        </is>
      </c>
    </row>
    <row r="6742">
      <c r="A6742" s="194" t="inlineStr">
        <is>
          <t>invocacao.10.familia.7</t>
        </is>
      </c>
      <c r="B6742" s="194">
        <f>IF(ISBLANK('INVOCAÇÕES'!$AI$644),"",'INVOCAÇÕES'!$AI$644&amp;"")</f>
        <v/>
      </c>
      <c r="C6742" s="194">
        <f>"'INVOCAÇÕES'!AI644"</f>
        <v/>
      </c>
      <c r="D6742" s="194" t="inlineStr">
        <is>
          <t>entrada</t>
        </is>
      </c>
    </row>
    <row r="6743">
      <c r="A6743" s="194" t="inlineStr">
        <is>
          <t>invocacao.11.familia.6</t>
        </is>
      </c>
      <c r="B6743" s="194">
        <f>IF(ISBLANK('INVOCAÇÕES'!$AH$842),"",'INVOCAÇÕES'!$AH$842&amp;"")</f>
        <v/>
      </c>
      <c r="C6743" s="194">
        <f>"'INVOCAÇÕES'!AH842"</f>
        <v/>
      </c>
      <c r="D6743" s="194" t="inlineStr">
        <is>
          <t>entrada</t>
        </is>
      </c>
    </row>
    <row r="6744">
      <c r="A6744" s="194" t="inlineStr">
        <is>
          <t>invocacao.11.familia.7</t>
        </is>
      </c>
      <c r="B6744" s="194">
        <f>IF(ISBLANK('INVOCAÇÕES'!$AI$842),"",'INVOCAÇÕES'!$AI$842&amp;"")</f>
        <v/>
      </c>
      <c r="C6744" s="194">
        <f>"'INVOCAÇÕES'!AI842"</f>
        <v/>
      </c>
      <c r="D6744" s="194" t="inlineStr">
        <is>
          <t>entrada</t>
        </is>
      </c>
    </row>
    <row r="6745">
      <c r="A6745" s="194" t="inlineStr">
        <is>
          <t>invocacao.12.familia.6</t>
        </is>
      </c>
      <c r="B6745" s="194">
        <f>IF(ISBLANK('INVOCAÇÕES'!$AH$1040),"",'INVOCAÇÕES'!$AH$1040&amp;"")</f>
        <v/>
      </c>
      <c r="C6745" s="194">
        <f>"'INVOCAÇÕES'!AH1040"</f>
        <v/>
      </c>
      <c r="D6745" s="194" t="inlineStr">
        <is>
          <t>entrada</t>
        </is>
      </c>
    </row>
    <row r="6746">
      <c r="A6746" s="194" t="inlineStr">
        <is>
          <t>invocacao.12.familia.7</t>
        </is>
      </c>
      <c r="B6746" s="194">
        <f>IF(ISBLANK('INVOCAÇÕES'!$AI$1040),"",'INVOCAÇÕES'!$AI$1040&amp;"")</f>
        <v/>
      </c>
      <c r="C6746" s="194">
        <f>"'INVOCAÇÕES'!AI1040"</f>
        <v/>
      </c>
      <c r="D6746" s="194" t="inlineStr">
        <is>
          <t>entrada</t>
        </is>
      </c>
    </row>
    <row r="6747">
      <c r="A6747" s="194" t="inlineStr">
        <is>
          <t>invocacao.1.familia.8</t>
        </is>
      </c>
      <c r="B6747" s="194">
        <f>IF(ISBLANK('INVOCAÇÕES'!$Q$50),"",'INVOCAÇÕES'!$Q$50&amp;"")</f>
        <v/>
      </c>
      <c r="C6747" s="194">
        <f>"'INVOCAÇÕES'!Q50"</f>
        <v/>
      </c>
      <c r="D6747" s="194" t="inlineStr">
        <is>
          <t>entrada</t>
        </is>
      </c>
    </row>
    <row r="6748">
      <c r="A6748" s="194" t="inlineStr">
        <is>
          <t>invocacao.1.familia.9</t>
        </is>
      </c>
      <c r="B6748" s="194">
        <f>IF(ISBLANK('INVOCAÇÕES'!$R$50),"",'INVOCAÇÕES'!$R$50&amp;"")</f>
        <v/>
      </c>
      <c r="C6748" s="194">
        <f>"'INVOCAÇÕES'!R50"</f>
        <v/>
      </c>
      <c r="D6748" s="194" t="inlineStr">
        <is>
          <t>entrada</t>
        </is>
      </c>
    </row>
    <row r="6749">
      <c r="A6749" s="194" t="inlineStr">
        <is>
          <t>invocacao.2.familia.8</t>
        </is>
      </c>
      <c r="B6749" s="194">
        <f>IF(ISBLANK('INVOCAÇÕES'!$Q$248),"",'INVOCAÇÕES'!$Q$248&amp;"")</f>
        <v/>
      </c>
      <c r="C6749" s="194">
        <f>"'INVOCAÇÕES'!Q248"</f>
        <v/>
      </c>
      <c r="D6749" s="194" t="inlineStr">
        <is>
          <t>entrada</t>
        </is>
      </c>
    </row>
    <row r="6750">
      <c r="A6750" s="194" t="inlineStr">
        <is>
          <t>invocacao.2.familia.9</t>
        </is>
      </c>
      <c r="B6750" s="194">
        <f>IF(ISBLANK('INVOCAÇÕES'!$R$248),"",'INVOCAÇÕES'!$R$248&amp;"")</f>
        <v/>
      </c>
      <c r="C6750" s="194">
        <f>"'INVOCAÇÕES'!R248"</f>
        <v/>
      </c>
      <c r="D6750" s="194" t="inlineStr">
        <is>
          <t>entrada</t>
        </is>
      </c>
    </row>
    <row r="6751">
      <c r="A6751" s="194" t="inlineStr">
        <is>
          <t>invocacao.3.familia.8</t>
        </is>
      </c>
      <c r="B6751" s="194">
        <f>IF(ISBLANK('INVOCAÇÕES'!$Q$446),"",'INVOCAÇÕES'!$Q$446&amp;"")</f>
        <v/>
      </c>
      <c r="C6751" s="194">
        <f>"'INVOCAÇÕES'!Q446"</f>
        <v/>
      </c>
      <c r="D6751" s="194" t="inlineStr">
        <is>
          <t>entrada</t>
        </is>
      </c>
    </row>
    <row r="6752">
      <c r="A6752" s="194" t="inlineStr">
        <is>
          <t>invocacao.3.familia.9</t>
        </is>
      </c>
      <c r="B6752" s="194">
        <f>IF(ISBLANK('INVOCAÇÕES'!$R$446),"",'INVOCAÇÕES'!$R$446&amp;"")</f>
        <v/>
      </c>
      <c r="C6752" s="194">
        <f>"'INVOCAÇÕES'!R446"</f>
        <v/>
      </c>
      <c r="D6752" s="194" t="inlineStr">
        <is>
          <t>entrada</t>
        </is>
      </c>
    </row>
    <row r="6753">
      <c r="A6753" s="194" t="inlineStr">
        <is>
          <t>invocacao.4.familia.8</t>
        </is>
      </c>
      <c r="B6753" s="194">
        <f>IF(ISBLANK('INVOCAÇÕES'!$Q$644),"",'INVOCAÇÕES'!$Q$644&amp;"")</f>
        <v/>
      </c>
      <c r="C6753" s="194">
        <f>"'INVOCAÇÕES'!Q644"</f>
        <v/>
      </c>
      <c r="D6753" s="194" t="inlineStr">
        <is>
          <t>entrada</t>
        </is>
      </c>
    </row>
    <row r="6754">
      <c r="A6754" s="194" t="inlineStr">
        <is>
          <t>invocacao.4.familia.9</t>
        </is>
      </c>
      <c r="B6754" s="194">
        <f>IF(ISBLANK('INVOCAÇÕES'!$R$644),"",'INVOCAÇÕES'!$R$644&amp;"")</f>
        <v/>
      </c>
      <c r="C6754" s="194">
        <f>"'INVOCAÇÕES'!R644"</f>
        <v/>
      </c>
      <c r="D6754" s="194" t="inlineStr">
        <is>
          <t>entrada</t>
        </is>
      </c>
    </row>
    <row r="6755">
      <c r="A6755" s="194" t="inlineStr">
        <is>
          <t>invocacao.5.familia.8</t>
        </is>
      </c>
      <c r="B6755" s="194">
        <f>IF(ISBLANK('INVOCAÇÕES'!$Q$842),"",'INVOCAÇÕES'!$Q$842&amp;"")</f>
        <v/>
      </c>
      <c r="C6755" s="194">
        <f>"'INVOCAÇÕES'!Q842"</f>
        <v/>
      </c>
      <c r="D6755" s="194" t="inlineStr">
        <is>
          <t>entrada</t>
        </is>
      </c>
    </row>
    <row r="6756">
      <c r="A6756" s="194" t="inlineStr">
        <is>
          <t>invocacao.5.familia.9</t>
        </is>
      </c>
      <c r="B6756" s="194">
        <f>IF(ISBLANK('INVOCAÇÕES'!$R$842),"",'INVOCAÇÕES'!$R$842&amp;"")</f>
        <v/>
      </c>
      <c r="C6756" s="194">
        <f>"'INVOCAÇÕES'!R842"</f>
        <v/>
      </c>
      <c r="D6756" s="194" t="inlineStr">
        <is>
          <t>entrada</t>
        </is>
      </c>
    </row>
    <row r="6757">
      <c r="A6757" s="194" t="inlineStr">
        <is>
          <t>invocacao.6.familia.8</t>
        </is>
      </c>
      <c r="B6757" s="194">
        <f>IF(ISBLANK('INVOCAÇÕES'!$Q$1040),"",'INVOCAÇÕES'!$Q$1040&amp;"")</f>
        <v/>
      </c>
      <c r="C6757" s="194">
        <f>"'INVOCAÇÕES'!Q1040"</f>
        <v/>
      </c>
      <c r="D6757" s="194" t="inlineStr">
        <is>
          <t>entrada</t>
        </is>
      </c>
    </row>
    <row r="6758">
      <c r="A6758" s="194" t="inlineStr">
        <is>
          <t>invocacao.6.familia.9</t>
        </is>
      </c>
      <c r="B6758" s="194">
        <f>IF(ISBLANK('INVOCAÇÕES'!$R$1040),"",'INVOCAÇÕES'!$R$1040&amp;"")</f>
        <v/>
      </c>
      <c r="C6758" s="194">
        <f>"'INVOCAÇÕES'!R1040"</f>
        <v/>
      </c>
      <c r="D6758" s="194" t="inlineStr">
        <is>
          <t>entrada</t>
        </is>
      </c>
    </row>
    <row r="6759">
      <c r="A6759" s="194" t="inlineStr">
        <is>
          <t>invocacao.7.familia.8</t>
        </is>
      </c>
      <c r="B6759" s="194">
        <f>IF(ISBLANK('INVOCAÇÕES'!$AJ$50),"",'INVOCAÇÕES'!$AJ$50&amp;"")</f>
        <v/>
      </c>
      <c r="C6759" s="194">
        <f>"'INVOCAÇÕES'!AJ50"</f>
        <v/>
      </c>
      <c r="D6759" s="194" t="inlineStr">
        <is>
          <t>entrada</t>
        </is>
      </c>
    </row>
    <row r="6760">
      <c r="A6760" s="194" t="inlineStr">
        <is>
          <t>invocacao.7.familia.9</t>
        </is>
      </c>
      <c r="B6760" s="194">
        <f>IF(ISBLANK('INVOCAÇÕES'!$AK$50),"",'INVOCAÇÕES'!$AK$50&amp;"")</f>
        <v/>
      </c>
      <c r="C6760" s="194">
        <f>"'INVOCAÇÕES'!AK50"</f>
        <v/>
      </c>
      <c r="D6760" s="194" t="inlineStr">
        <is>
          <t>entrada</t>
        </is>
      </c>
    </row>
    <row r="6761">
      <c r="A6761" s="194" t="inlineStr">
        <is>
          <t>invocacao.8.familia.8</t>
        </is>
      </c>
      <c r="B6761" s="194">
        <f>IF(ISBLANK('INVOCAÇÕES'!$AJ$248),"",'INVOCAÇÕES'!$AJ$248&amp;"")</f>
        <v/>
      </c>
      <c r="C6761" s="194">
        <f>"'INVOCAÇÕES'!AJ248"</f>
        <v/>
      </c>
      <c r="D6761" s="194" t="inlineStr">
        <is>
          <t>entrada</t>
        </is>
      </c>
    </row>
    <row r="6762">
      <c r="A6762" s="194" t="inlineStr">
        <is>
          <t>invocacao.8.familia.9</t>
        </is>
      </c>
      <c r="B6762" s="194">
        <f>IF(ISBLANK('INVOCAÇÕES'!$AK$248),"",'INVOCAÇÕES'!$AK$248&amp;"")</f>
        <v/>
      </c>
      <c r="C6762" s="194">
        <f>"'INVOCAÇÕES'!AK248"</f>
        <v/>
      </c>
      <c r="D6762" s="194" t="inlineStr">
        <is>
          <t>entrada</t>
        </is>
      </c>
    </row>
    <row r="6763">
      <c r="A6763" s="194" t="inlineStr">
        <is>
          <t>invocacao.9.familia.8</t>
        </is>
      </c>
      <c r="B6763" s="194">
        <f>IF(ISBLANK('INVOCAÇÕES'!$AJ$446),"",'INVOCAÇÕES'!$AJ$446&amp;"")</f>
        <v/>
      </c>
      <c r="C6763" s="194">
        <f>"'INVOCAÇÕES'!AJ446"</f>
        <v/>
      </c>
      <c r="D6763" s="194" t="inlineStr">
        <is>
          <t>entrada</t>
        </is>
      </c>
    </row>
    <row r="6764">
      <c r="A6764" s="194" t="inlineStr">
        <is>
          <t>invocacao.9.familia.9</t>
        </is>
      </c>
      <c r="B6764" s="194">
        <f>IF(ISBLANK('INVOCAÇÕES'!$AK$446),"",'INVOCAÇÕES'!$AK$446&amp;"")</f>
        <v/>
      </c>
      <c r="C6764" s="194">
        <f>"'INVOCAÇÕES'!AK446"</f>
        <v/>
      </c>
      <c r="D6764" s="194" t="inlineStr">
        <is>
          <t>entrada</t>
        </is>
      </c>
    </row>
    <row r="6765">
      <c r="A6765" s="194" t="inlineStr">
        <is>
          <t>invocacao.10.familia.8</t>
        </is>
      </c>
      <c r="B6765" s="194">
        <f>IF(ISBLANK('INVOCAÇÕES'!$AJ$644),"",'INVOCAÇÕES'!$AJ$644&amp;"")</f>
        <v/>
      </c>
      <c r="C6765" s="194">
        <f>"'INVOCAÇÕES'!AJ644"</f>
        <v/>
      </c>
      <c r="D6765" s="194" t="inlineStr">
        <is>
          <t>entrada</t>
        </is>
      </c>
    </row>
    <row r="6766">
      <c r="A6766" s="194" t="inlineStr">
        <is>
          <t>invocacao.10.familia.9</t>
        </is>
      </c>
      <c r="B6766" s="194">
        <f>IF(ISBLANK('INVOCAÇÕES'!$AK$644),"",'INVOCAÇÕES'!$AK$644&amp;"")</f>
        <v/>
      </c>
      <c r="C6766" s="194">
        <f>"'INVOCAÇÕES'!AK644"</f>
        <v/>
      </c>
      <c r="D6766" s="194" t="inlineStr">
        <is>
          <t>entrada</t>
        </is>
      </c>
    </row>
    <row r="6767">
      <c r="A6767" s="194" t="inlineStr">
        <is>
          <t>invocacao.11.familia.8</t>
        </is>
      </c>
      <c r="B6767" s="194">
        <f>IF(ISBLANK('INVOCAÇÕES'!$AJ$842),"",'INVOCAÇÕES'!$AJ$842&amp;"")</f>
        <v/>
      </c>
      <c r="C6767" s="194">
        <f>"'INVOCAÇÕES'!AJ842"</f>
        <v/>
      </c>
      <c r="D6767" s="194" t="inlineStr">
        <is>
          <t>entrada</t>
        </is>
      </c>
    </row>
    <row r="6768">
      <c r="A6768" s="194" t="inlineStr">
        <is>
          <t>invocacao.11.familia.9</t>
        </is>
      </c>
      <c r="B6768" s="194">
        <f>IF(ISBLANK('INVOCAÇÕES'!$AK$842),"",'INVOCAÇÕES'!$AK$842&amp;"")</f>
        <v/>
      </c>
      <c r="C6768" s="194">
        <f>"'INVOCAÇÕES'!AK842"</f>
        <v/>
      </c>
      <c r="D6768" s="194" t="inlineStr">
        <is>
          <t>entrada</t>
        </is>
      </c>
    </row>
    <row r="6769">
      <c r="A6769" s="194" t="inlineStr">
        <is>
          <t>invocacao.12.familia.8</t>
        </is>
      </c>
      <c r="B6769" s="194">
        <f>IF(ISBLANK('INVOCAÇÕES'!$AJ$1040),"",'INVOCAÇÕES'!$AJ$1040&amp;"")</f>
        <v/>
      </c>
      <c r="C6769" s="194">
        <f>"'INVOCAÇÕES'!AJ1040"</f>
        <v/>
      </c>
      <c r="D6769" s="194" t="inlineStr">
        <is>
          <t>entrada</t>
        </is>
      </c>
    </row>
    <row r="6770">
      <c r="A6770" s="194" t="inlineStr">
        <is>
          <t>invocacao.12.familia.9</t>
        </is>
      </c>
      <c r="B6770" s="194">
        <f>IF(ISBLANK('INVOCAÇÕES'!$AK$1040),"",'INVOCAÇÕES'!$AK$1040&amp;"")</f>
        <v/>
      </c>
      <c r="C6770" s="194">
        <f>"'INVOCAÇÕES'!AK1040"</f>
        <v/>
      </c>
      <c r="D6770" s="194" t="inlineStr">
        <is>
          <t>entrada</t>
        </is>
      </c>
    </row>
    <row r="6771">
      <c r="A6771" s="194" t="inlineStr">
        <is>
          <t>invocacao.1.autonomia</t>
        </is>
      </c>
      <c r="B6771" s="194">
        <f>IF('INVOCAÇÕES'!$K$50="","Autônoma",'INVOCAÇÕES'!$K$50&amp;"")</f>
        <v/>
      </c>
      <c r="C6771" s="194">
        <f>"'INVOCAÇÕES'!K50"</f>
        <v/>
      </c>
      <c r="D6771" s="194" t="inlineStr">
        <is>
          <t>entrada</t>
        </is>
      </c>
    </row>
    <row r="6772">
      <c r="A6772" s="194" t="inlineStr">
        <is>
          <t>invocacao.1.limite_familias</t>
        </is>
      </c>
      <c r="B6772" s="194">
        <f>DADOS_INVOC!$HF$2</f>
        <v/>
      </c>
      <c r="C6772" s="194" t="inlineStr">
        <is>
          <t>DADOS_INVOC!HF2</t>
        </is>
      </c>
      <c r="D6772" s="194" t="inlineStr">
        <is>
          <t>resultado</t>
        </is>
      </c>
    </row>
    <row r="6773">
      <c r="A6773" s="194" t="inlineStr">
        <is>
          <t>invocacao.1.limite_livres</t>
        </is>
      </c>
      <c r="B6773" s="194">
        <f>DADOS_INVOC!$RA$2</f>
        <v/>
      </c>
      <c r="C6773" s="194" t="inlineStr">
        <is>
          <t>DADOS_INVOC!RA2</t>
        </is>
      </c>
      <c r="D6773" s="194" t="inlineStr">
        <is>
          <t>resultado</t>
        </is>
      </c>
    </row>
    <row r="6774">
      <c r="A6774" s="194" t="inlineStr">
        <is>
          <t>invocacao.2.autonomia</t>
        </is>
      </c>
      <c r="B6774" s="194">
        <f>IF('INVOCAÇÕES'!$K$248="","Autônoma",'INVOCAÇÕES'!$K$248&amp;"")</f>
        <v/>
      </c>
      <c r="C6774" s="194">
        <f>"'INVOCAÇÕES'!K248"</f>
        <v/>
      </c>
      <c r="D6774" s="194" t="inlineStr">
        <is>
          <t>entrada</t>
        </is>
      </c>
    </row>
    <row r="6775">
      <c r="A6775" s="194" t="inlineStr">
        <is>
          <t>invocacao.2.limite_familias</t>
        </is>
      </c>
      <c r="B6775" s="194">
        <f>DADOS_INVOC!$HF$3</f>
        <v/>
      </c>
      <c r="C6775" s="194" t="inlineStr">
        <is>
          <t>DADOS_INVOC!HF3</t>
        </is>
      </c>
      <c r="D6775" s="194" t="inlineStr">
        <is>
          <t>resultado</t>
        </is>
      </c>
    </row>
    <row r="6776">
      <c r="A6776" s="194" t="inlineStr">
        <is>
          <t>invocacao.2.limite_livres</t>
        </is>
      </c>
      <c r="B6776" s="194">
        <f>DADOS_INVOC!$RA$3</f>
        <v/>
      </c>
      <c r="C6776" s="194" t="inlineStr">
        <is>
          <t>DADOS_INVOC!RA3</t>
        </is>
      </c>
      <c r="D6776" s="194" t="inlineStr">
        <is>
          <t>resultado</t>
        </is>
      </c>
    </row>
    <row r="6777">
      <c r="A6777" s="194" t="inlineStr">
        <is>
          <t>invocacao.3.autonomia</t>
        </is>
      </c>
      <c r="B6777" s="194">
        <f>IF('INVOCAÇÕES'!$K$446="","Autônoma",'INVOCAÇÕES'!$K$446&amp;"")</f>
        <v/>
      </c>
      <c r="C6777" s="194">
        <f>"'INVOCAÇÕES'!K446"</f>
        <v/>
      </c>
      <c r="D6777" s="194" t="inlineStr">
        <is>
          <t>entrada</t>
        </is>
      </c>
    </row>
    <row r="6778">
      <c r="A6778" s="194" t="inlineStr">
        <is>
          <t>invocacao.3.limite_familias</t>
        </is>
      </c>
      <c r="B6778" s="194">
        <f>DADOS_INVOC!$HF$4</f>
        <v/>
      </c>
      <c r="C6778" s="194" t="inlineStr">
        <is>
          <t>DADOS_INVOC!HF4</t>
        </is>
      </c>
      <c r="D6778" s="194" t="inlineStr">
        <is>
          <t>resultado</t>
        </is>
      </c>
    </row>
    <row r="6779">
      <c r="A6779" s="194" t="inlineStr">
        <is>
          <t>invocacao.3.limite_livres</t>
        </is>
      </c>
      <c r="B6779" s="194">
        <f>DADOS_INVOC!$RA$4</f>
        <v/>
      </c>
      <c r="C6779" s="194" t="inlineStr">
        <is>
          <t>DADOS_INVOC!RA4</t>
        </is>
      </c>
      <c r="D6779" s="194" t="inlineStr">
        <is>
          <t>resultado</t>
        </is>
      </c>
    </row>
    <row r="6780">
      <c r="A6780" s="194" t="inlineStr">
        <is>
          <t>invocacao.4.autonomia</t>
        </is>
      </c>
      <c r="B6780" s="194">
        <f>IF('INVOCAÇÕES'!$K$644="","Autônoma",'INVOCAÇÕES'!$K$644&amp;"")</f>
        <v/>
      </c>
      <c r="C6780" s="194">
        <f>"'INVOCAÇÕES'!K644"</f>
        <v/>
      </c>
      <c r="D6780" s="194" t="inlineStr">
        <is>
          <t>entrada</t>
        </is>
      </c>
    </row>
    <row r="6781">
      <c r="A6781" s="194" t="inlineStr">
        <is>
          <t>invocacao.4.limite_familias</t>
        </is>
      </c>
      <c r="B6781" s="194">
        <f>DADOS_INVOC!$HF$5</f>
        <v/>
      </c>
      <c r="C6781" s="194" t="inlineStr">
        <is>
          <t>DADOS_INVOC!HF5</t>
        </is>
      </c>
      <c r="D6781" s="194" t="inlineStr">
        <is>
          <t>resultado</t>
        </is>
      </c>
    </row>
    <row r="6782">
      <c r="A6782" s="194" t="inlineStr">
        <is>
          <t>invocacao.4.limite_livres</t>
        </is>
      </c>
      <c r="B6782" s="194">
        <f>DADOS_INVOC!$RA$5</f>
        <v/>
      </c>
      <c r="C6782" s="194" t="inlineStr">
        <is>
          <t>DADOS_INVOC!RA5</t>
        </is>
      </c>
      <c r="D6782" s="194" t="inlineStr">
        <is>
          <t>resultado</t>
        </is>
      </c>
    </row>
    <row r="6783">
      <c r="A6783" s="194" t="inlineStr">
        <is>
          <t>invocacao.5.autonomia</t>
        </is>
      </c>
      <c r="B6783" s="194">
        <f>IF('INVOCAÇÕES'!$K$842="","Autônoma",'INVOCAÇÕES'!$K$842&amp;"")</f>
        <v/>
      </c>
      <c r="C6783" s="194">
        <f>"'INVOCAÇÕES'!K842"</f>
        <v/>
      </c>
      <c r="D6783" s="194" t="inlineStr">
        <is>
          <t>entrada</t>
        </is>
      </c>
    </row>
    <row r="6784">
      <c r="A6784" s="194" t="inlineStr">
        <is>
          <t>invocacao.5.limite_familias</t>
        </is>
      </c>
      <c r="B6784" s="194">
        <f>DADOS_INVOC!$HF$6</f>
        <v/>
      </c>
      <c r="C6784" s="194" t="inlineStr">
        <is>
          <t>DADOS_INVOC!HF6</t>
        </is>
      </c>
      <c r="D6784" s="194" t="inlineStr">
        <is>
          <t>resultado</t>
        </is>
      </c>
    </row>
    <row r="6785">
      <c r="A6785" s="194" t="inlineStr">
        <is>
          <t>invocacao.5.limite_livres</t>
        </is>
      </c>
      <c r="B6785" s="194">
        <f>DADOS_INVOC!$RA$6</f>
        <v/>
      </c>
      <c r="C6785" s="194" t="inlineStr">
        <is>
          <t>DADOS_INVOC!RA6</t>
        </is>
      </c>
      <c r="D6785" s="194" t="inlineStr">
        <is>
          <t>resultado</t>
        </is>
      </c>
    </row>
    <row r="6786">
      <c r="A6786" s="194" t="inlineStr">
        <is>
          <t>invocacao.6.autonomia</t>
        </is>
      </c>
      <c r="B6786" s="194">
        <f>IF('INVOCAÇÕES'!$K$1040="","Autônoma",'INVOCAÇÕES'!$K$1040&amp;"")</f>
        <v/>
      </c>
      <c r="C6786" s="194">
        <f>"'INVOCAÇÕES'!K1040"</f>
        <v/>
      </c>
      <c r="D6786" s="194" t="inlineStr">
        <is>
          <t>entrada</t>
        </is>
      </c>
    </row>
    <row r="6787">
      <c r="A6787" s="194" t="inlineStr">
        <is>
          <t>invocacao.6.limite_familias</t>
        </is>
      </c>
      <c r="B6787" s="194">
        <f>DADOS_INVOC!$HF$7</f>
        <v/>
      </c>
      <c r="C6787" s="194" t="inlineStr">
        <is>
          <t>DADOS_INVOC!HF7</t>
        </is>
      </c>
      <c r="D6787" s="194" t="inlineStr">
        <is>
          <t>resultado</t>
        </is>
      </c>
    </row>
    <row r="6788">
      <c r="A6788" s="194" t="inlineStr">
        <is>
          <t>invocacao.6.limite_livres</t>
        </is>
      </c>
      <c r="B6788" s="194">
        <f>DADOS_INVOC!$RA$7</f>
        <v/>
      </c>
      <c r="C6788" s="194" t="inlineStr">
        <is>
          <t>DADOS_INVOC!RA7</t>
        </is>
      </c>
      <c r="D6788" s="194" t="inlineStr">
        <is>
          <t>resultado</t>
        </is>
      </c>
    </row>
    <row r="6789">
      <c r="A6789" s="194" t="inlineStr">
        <is>
          <t>invocacao.7.autonomia</t>
        </is>
      </c>
      <c r="B6789" s="194">
        <f>IF('INVOCAÇÕES'!$AD$50="","Autônoma",'INVOCAÇÕES'!$AD$50&amp;"")</f>
        <v/>
      </c>
      <c r="C6789" s="194">
        <f>"'INVOCAÇÕES'!AD50"</f>
        <v/>
      </c>
      <c r="D6789" s="194" t="inlineStr">
        <is>
          <t>entrada</t>
        </is>
      </c>
    </row>
    <row r="6790">
      <c r="A6790" s="194" t="inlineStr">
        <is>
          <t>invocacao.7.limite_familias</t>
        </is>
      </c>
      <c r="B6790" s="194">
        <f>DADOS_INVOC!$HF$8</f>
        <v/>
      </c>
      <c r="C6790" s="194" t="inlineStr">
        <is>
          <t>DADOS_INVOC!HF8</t>
        </is>
      </c>
      <c r="D6790" s="194" t="inlineStr">
        <is>
          <t>resultado</t>
        </is>
      </c>
    </row>
    <row r="6791">
      <c r="A6791" s="194" t="inlineStr">
        <is>
          <t>invocacao.7.limite_livres</t>
        </is>
      </c>
      <c r="B6791" s="194">
        <f>DADOS_INVOC!$RA$8</f>
        <v/>
      </c>
      <c r="C6791" s="194" t="inlineStr">
        <is>
          <t>DADOS_INVOC!RA8</t>
        </is>
      </c>
      <c r="D6791" s="194" t="inlineStr">
        <is>
          <t>resultado</t>
        </is>
      </c>
    </row>
    <row r="6792">
      <c r="A6792" s="194" t="inlineStr">
        <is>
          <t>invocacao.8.autonomia</t>
        </is>
      </c>
      <c r="B6792" s="194">
        <f>IF('INVOCAÇÕES'!$AD$248="","Autônoma",'INVOCAÇÕES'!$AD$248&amp;"")</f>
        <v/>
      </c>
      <c r="C6792" s="194">
        <f>"'INVOCAÇÕES'!AD248"</f>
        <v/>
      </c>
      <c r="D6792" s="194" t="inlineStr">
        <is>
          <t>entrada</t>
        </is>
      </c>
    </row>
    <row r="6793">
      <c r="A6793" s="194" t="inlineStr">
        <is>
          <t>invocacao.8.limite_familias</t>
        </is>
      </c>
      <c r="B6793" s="194">
        <f>DADOS_INVOC!$HF$9</f>
        <v/>
      </c>
      <c r="C6793" s="194" t="inlineStr">
        <is>
          <t>DADOS_INVOC!HF9</t>
        </is>
      </c>
      <c r="D6793" s="194" t="inlineStr">
        <is>
          <t>resultado</t>
        </is>
      </c>
    </row>
    <row r="6794">
      <c r="A6794" s="194" t="inlineStr">
        <is>
          <t>invocacao.8.limite_livres</t>
        </is>
      </c>
      <c r="B6794" s="194">
        <f>DADOS_INVOC!$RA$9</f>
        <v/>
      </c>
      <c r="C6794" s="194" t="inlineStr">
        <is>
          <t>DADOS_INVOC!RA9</t>
        </is>
      </c>
      <c r="D6794" s="194" t="inlineStr">
        <is>
          <t>resultado</t>
        </is>
      </c>
    </row>
    <row r="6795">
      <c r="A6795" s="194" t="inlineStr">
        <is>
          <t>invocacao.9.autonomia</t>
        </is>
      </c>
      <c r="B6795" s="194">
        <f>IF('INVOCAÇÕES'!$AD$446="","Autônoma",'INVOCAÇÕES'!$AD$446&amp;"")</f>
        <v/>
      </c>
      <c r="C6795" s="194">
        <f>"'INVOCAÇÕES'!AD446"</f>
        <v/>
      </c>
      <c r="D6795" s="194" t="inlineStr">
        <is>
          <t>entrada</t>
        </is>
      </c>
    </row>
    <row r="6796">
      <c r="A6796" s="194" t="inlineStr">
        <is>
          <t>invocacao.9.limite_familias</t>
        </is>
      </c>
      <c r="B6796" s="194">
        <f>DADOS_INVOC!$HF$10</f>
        <v/>
      </c>
      <c r="C6796" s="194" t="inlineStr">
        <is>
          <t>DADOS_INVOC!HF10</t>
        </is>
      </c>
      <c r="D6796" s="194" t="inlineStr">
        <is>
          <t>resultado</t>
        </is>
      </c>
    </row>
    <row r="6797">
      <c r="A6797" s="194" t="inlineStr">
        <is>
          <t>invocacao.9.limite_livres</t>
        </is>
      </c>
      <c r="B6797" s="194">
        <f>DADOS_INVOC!$RA$10</f>
        <v/>
      </c>
      <c r="C6797" s="194" t="inlineStr">
        <is>
          <t>DADOS_INVOC!RA10</t>
        </is>
      </c>
      <c r="D6797" s="194" t="inlineStr">
        <is>
          <t>resultado</t>
        </is>
      </c>
    </row>
    <row r="6798">
      <c r="A6798" s="194" t="inlineStr">
        <is>
          <t>invocacao.10.autonomia</t>
        </is>
      </c>
      <c r="B6798" s="194">
        <f>IF('INVOCAÇÕES'!$AD$644="","Autônoma",'INVOCAÇÕES'!$AD$644&amp;"")</f>
        <v/>
      </c>
      <c r="C6798" s="194">
        <f>"'INVOCAÇÕES'!AD644"</f>
        <v/>
      </c>
      <c r="D6798" s="194" t="inlineStr">
        <is>
          <t>entrada</t>
        </is>
      </c>
    </row>
    <row r="6799">
      <c r="A6799" s="194" t="inlineStr">
        <is>
          <t>invocacao.10.limite_familias</t>
        </is>
      </c>
      <c r="B6799" s="194">
        <f>DADOS_INVOC!$HF$11</f>
        <v/>
      </c>
      <c r="C6799" s="194" t="inlineStr">
        <is>
          <t>DADOS_INVOC!HF11</t>
        </is>
      </c>
      <c r="D6799" s="194" t="inlineStr">
        <is>
          <t>resultado</t>
        </is>
      </c>
    </row>
    <row r="6800">
      <c r="A6800" s="194" t="inlineStr">
        <is>
          <t>invocacao.10.limite_livres</t>
        </is>
      </c>
      <c r="B6800" s="194">
        <f>DADOS_INVOC!$RA$11</f>
        <v/>
      </c>
      <c r="C6800" s="194" t="inlineStr">
        <is>
          <t>DADOS_INVOC!RA11</t>
        </is>
      </c>
      <c r="D6800" s="194" t="inlineStr">
        <is>
          <t>resultado</t>
        </is>
      </c>
    </row>
    <row r="6801">
      <c r="A6801" s="194" t="inlineStr">
        <is>
          <t>invocacao.11.autonomia</t>
        </is>
      </c>
      <c r="B6801" s="194">
        <f>IF('INVOCAÇÕES'!$AD$842="","Autônoma",'INVOCAÇÕES'!$AD$842&amp;"")</f>
        <v/>
      </c>
      <c r="C6801" s="194">
        <f>"'INVOCAÇÕES'!AD842"</f>
        <v/>
      </c>
      <c r="D6801" s="194" t="inlineStr">
        <is>
          <t>entrada</t>
        </is>
      </c>
    </row>
    <row r="6802">
      <c r="A6802" s="194" t="inlineStr">
        <is>
          <t>invocacao.11.limite_familias</t>
        </is>
      </c>
      <c r="B6802" s="194">
        <f>DADOS_INVOC!$HF$12</f>
        <v/>
      </c>
      <c r="C6802" s="194" t="inlineStr">
        <is>
          <t>DADOS_INVOC!HF12</t>
        </is>
      </c>
      <c r="D6802" s="194" t="inlineStr">
        <is>
          <t>resultado</t>
        </is>
      </c>
    </row>
    <row r="6803">
      <c r="A6803" s="194" t="inlineStr">
        <is>
          <t>invocacao.11.limite_livres</t>
        </is>
      </c>
      <c r="B6803" s="194">
        <f>DADOS_INVOC!$RA$12</f>
        <v/>
      </c>
      <c r="C6803" s="194" t="inlineStr">
        <is>
          <t>DADOS_INVOC!RA12</t>
        </is>
      </c>
      <c r="D6803" s="194" t="inlineStr">
        <is>
          <t>resultado</t>
        </is>
      </c>
    </row>
    <row r="6804">
      <c r="A6804" s="194" t="inlineStr">
        <is>
          <t>invocacao.12.autonomia</t>
        </is>
      </c>
      <c r="B6804" s="194">
        <f>IF('INVOCAÇÕES'!$AD$1040="","Autônoma",'INVOCAÇÕES'!$AD$1040&amp;"")</f>
        <v/>
      </c>
      <c r="C6804" s="194">
        <f>"'INVOCAÇÕES'!AD1040"</f>
        <v/>
      </c>
      <c r="D6804" s="194" t="inlineStr">
        <is>
          <t>entrada</t>
        </is>
      </c>
    </row>
    <row r="6805">
      <c r="A6805" s="194" t="inlineStr">
        <is>
          <t>invocacao.12.limite_familias</t>
        </is>
      </c>
      <c r="B6805" s="194">
        <f>DADOS_INVOC!$HF$13</f>
        <v/>
      </c>
      <c r="C6805" s="194" t="inlineStr">
        <is>
          <t>DADOS_INVOC!HF13</t>
        </is>
      </c>
      <c r="D6805" s="194" t="inlineStr">
        <is>
          <t>resultado</t>
        </is>
      </c>
    </row>
    <row r="6806">
      <c r="A6806" s="194" t="inlineStr">
        <is>
          <t>invocacao.12.limite_livres</t>
        </is>
      </c>
      <c r="B6806" s="194">
        <f>DADOS_INVOC!$RA$13</f>
        <v/>
      </c>
      <c r="C6806" s="194" t="inlineStr">
        <is>
          <t>DADOS_INVOC!RA13</t>
        </is>
      </c>
      <c r="D6806" s="194" t="inlineStr">
        <is>
          <t>resultado</t>
        </is>
      </c>
    </row>
    <row r="6807">
      <c r="A6807" s="194" t="inlineStr">
        <is>
          <t>regra.invocacao_familias_abertas_padrao</t>
        </is>
      </c>
      <c r="B6807" s="194">
        <f>IF(ISBLANK('CONFIGURAÇÃO'!$G$139),"",'CONFIGURAÇÃO'!$G$139)</f>
        <v/>
      </c>
      <c r="C6807" s="194">
        <f>"'CONFIGURAÇÃO'!G139"</f>
        <v/>
      </c>
      <c r="D6807" s="194" t="inlineStr">
        <is>
          <t>configuração</t>
        </is>
      </c>
    </row>
    <row r="6808">
      <c r="A6808" s="194" t="inlineStr">
        <is>
          <t>regra.invocacao_familias_abertas_padrao.campanha</t>
        </is>
      </c>
      <c r="B6808" s="194">
        <f>IF(ISBLANK('CONFIGURAÇÃO'!$F$139),"",'CONFIGURAÇÃO'!$F$139)</f>
        <v/>
      </c>
      <c r="C6808" s="194">
        <f>"'CONFIGURAÇÃO'!F139"</f>
        <v/>
      </c>
      <c r="D6808" s="194" t="inlineStr">
        <is>
          <t>configuração</t>
        </is>
      </c>
    </row>
    <row r="6809">
      <c r="A6809" s="194" t="inlineStr">
        <is>
          <t>regra.invocacao_familias_livres_padrao</t>
        </is>
      </c>
      <c r="B6809" s="194">
        <f>IF(ISBLANK('CONFIGURAÇÃO'!$G$140),"",'CONFIGURAÇÃO'!$G$140)</f>
        <v/>
      </c>
      <c r="C6809" s="194">
        <f>"'CONFIGURAÇÃO'!G140"</f>
        <v/>
      </c>
      <c r="D6809" s="194" t="inlineStr">
        <is>
          <t>configuração</t>
        </is>
      </c>
    </row>
    <row r="6810">
      <c r="A6810" s="194" t="inlineStr">
        <is>
          <t>regra.invocacao_familias_livres_padrao.campanha</t>
        </is>
      </c>
      <c r="B6810" s="194">
        <f>IF(ISBLANK('CONFIGURAÇÃO'!$F$140),"",'CONFIGURAÇÃO'!$F$140)</f>
        <v/>
      </c>
      <c r="C6810" s="194">
        <f>"'CONFIGURAÇÃO'!F140"</f>
        <v/>
      </c>
      <c r="D6810" s="194" t="inlineStr">
        <is>
          <t>configuração</t>
        </is>
      </c>
    </row>
    <row r="6811">
      <c r="A6811" s="194" t="inlineStr">
        <is>
          <t>regra.invocacao_familias_abertas_parceria</t>
        </is>
      </c>
      <c r="B6811" s="194">
        <f>IF(ISBLANK('CONFIGURAÇÃO'!$G$141),"",'CONFIGURAÇÃO'!$G$141)</f>
        <v/>
      </c>
      <c r="C6811" s="194">
        <f>"'CONFIGURAÇÃO'!G141"</f>
        <v/>
      </c>
      <c r="D6811" s="194" t="inlineStr">
        <is>
          <t>configuração</t>
        </is>
      </c>
    </row>
    <row r="6812">
      <c r="A6812" s="194" t="inlineStr">
        <is>
          <t>regra.invocacao_familias_abertas_parceria.campanha</t>
        </is>
      </c>
      <c r="B6812" s="194">
        <f>IF(ISBLANK('CONFIGURAÇÃO'!$F$141),"",'CONFIGURAÇÃO'!$F$141)</f>
        <v/>
      </c>
      <c r="C6812" s="194">
        <f>"'CONFIGURAÇÃO'!F141"</f>
        <v/>
      </c>
      <c r="D6812" s="194" t="inlineStr">
        <is>
          <t>configuração</t>
        </is>
      </c>
    </row>
    <row r="6813">
      <c r="A6813" s="194" t="inlineStr">
        <is>
          <t>regra.invocacao_familias_livres_parceria</t>
        </is>
      </c>
      <c r="B6813" s="194">
        <f>IF(ISBLANK('CONFIGURAÇÃO'!$G$142),"",'CONFIGURAÇÃO'!$G$142)</f>
        <v/>
      </c>
      <c r="C6813" s="194">
        <f>"'CONFIGURAÇÃO'!G142"</f>
        <v/>
      </c>
      <c r="D6813" s="194" t="inlineStr">
        <is>
          <t>configuração</t>
        </is>
      </c>
    </row>
    <row r="6814">
      <c r="A6814" s="194" t="inlineStr">
        <is>
          <t>regra.invocacao_familias_livres_parceria.campanha</t>
        </is>
      </c>
      <c r="B6814" s="194">
        <f>IF(ISBLANK('CONFIGURAÇÃO'!$F$142),"",'CONFIGURAÇÃO'!$F$142)</f>
        <v/>
      </c>
      <c r="C6814" s="194">
        <f>"'CONFIGURAÇÃO'!F142"</f>
        <v/>
      </c>
      <c r="D6814" s="194" t="inlineStr">
        <is>
          <t>configuração</t>
        </is>
      </c>
    </row>
    <row r="6815">
      <c r="A6815" s="194" t="inlineStr">
        <is>
          <t>regra.invocacao_familias_abertas_principal</t>
        </is>
      </c>
      <c r="B6815" s="194">
        <f>IF(ISBLANK('CONFIGURAÇÃO'!$G$143),"",'CONFIGURAÇÃO'!$G$143)</f>
        <v/>
      </c>
      <c r="C6815" s="194">
        <f>"'CONFIGURAÇÃO'!G143"</f>
        <v/>
      </c>
      <c r="D6815" s="194" t="inlineStr">
        <is>
          <t>configuração</t>
        </is>
      </c>
    </row>
    <row r="6816">
      <c r="A6816" s="194" t="inlineStr">
        <is>
          <t>regra.invocacao_familias_abertas_principal.campanha</t>
        </is>
      </c>
      <c r="B6816" s="194">
        <f>IF(ISBLANK('CONFIGURAÇÃO'!$F$143),"",'CONFIGURAÇÃO'!$F$143)</f>
        <v/>
      </c>
      <c r="C6816" s="194">
        <f>"'CONFIGURAÇÃO'!F143"</f>
        <v/>
      </c>
      <c r="D6816" s="194" t="inlineStr">
        <is>
          <t>configuração</t>
        </is>
      </c>
    </row>
    <row r="6817">
      <c r="A6817" s="194" t="inlineStr">
        <is>
          <t>regra.invocacao_familias_livres_principal</t>
        </is>
      </c>
      <c r="B6817" s="194">
        <f>IF(ISBLANK('CONFIGURAÇÃO'!$G$144),"",'CONFIGURAÇÃO'!$G$144)</f>
        <v/>
      </c>
      <c r="C6817" s="194">
        <f>"'CONFIGURAÇÃO'!G144"</f>
        <v/>
      </c>
      <c r="D6817" s="194" t="inlineStr">
        <is>
          <t>configuração</t>
        </is>
      </c>
    </row>
    <row r="6818">
      <c r="A6818" s="194" t="inlineStr">
        <is>
          <t>regra.invocacao_familias_livres_principal.campanha</t>
        </is>
      </c>
      <c r="B6818" s="194">
        <f>IF(ISBLANK('CONFIGURAÇÃO'!$F$144),"",'CONFIGURAÇÃO'!$F$144)</f>
        <v/>
      </c>
      <c r="C6818" s="194">
        <f>"'CONFIGURAÇÃO'!F144"</f>
        <v/>
      </c>
      <c r="D6818" s="194" t="inlineStr">
        <is>
          <t>configuração</t>
        </is>
      </c>
    </row>
    <row r="6819">
      <c r="A6819" s="194" t="inlineStr">
        <is>
          <t>regra.invocacao_familias_livres_nao_autonoma</t>
        </is>
      </c>
      <c r="B6819" s="194">
        <f>IF(ISBLANK('CONFIGURAÇÃO'!$G$145),"",'CONFIGURAÇÃO'!$G$145)</f>
        <v/>
      </c>
      <c r="C6819" s="194">
        <f>"'CONFIGURAÇÃO'!G145"</f>
        <v/>
      </c>
      <c r="D6819" s="194" t="inlineStr">
        <is>
          <t>configuração</t>
        </is>
      </c>
    </row>
    <row r="6820">
      <c r="A6820" s="194" t="inlineStr">
        <is>
          <t>regra.invocacao_familias_livres_nao_autonoma.campanha</t>
        </is>
      </c>
      <c r="B6820" s="194">
        <f>IF(ISBLANK('CONFIGURAÇÃO'!$F$145),"",'CONFIGURAÇÃO'!$F$145)</f>
        <v/>
      </c>
      <c r="C6820" s="194">
        <f>"'CONFIGURAÇÃO'!F145"</f>
        <v/>
      </c>
      <c r="D6820" s="194" t="inlineStr">
        <is>
          <t>configuração</t>
        </is>
      </c>
    </row>
    <row r="6821">
      <c r="A6821" s="194" t="inlineStr">
        <is>
          <t>custom.familia.1.nome</t>
        </is>
      </c>
      <c r="B6821" s="194">
        <f>IF(ISBLANK('CONFIGURAÇÃO'!$B$943),"",'CONFIGURAÇÃO'!$B$943&amp;"")</f>
        <v/>
      </c>
      <c r="C6821" s="194">
        <f>"'CONFIGURAÇÃO'!B943"</f>
        <v/>
      </c>
      <c r="D6821" s="194" t="inlineStr">
        <is>
          <t>configuração</t>
        </is>
      </c>
    </row>
    <row r="6822">
      <c r="A6822" s="194" t="inlineStr">
        <is>
          <t>custom.familia.1.estado</t>
        </is>
      </c>
      <c r="B6822" s="194">
        <f>IF(ISBLANK('CONFIGURAÇÃO'!$E$944),"",'CONFIGURAÇÃO'!$E$944&amp;"")</f>
        <v/>
      </c>
      <c r="C6822" s="194">
        <f>"'CONFIGURAÇÃO'!E944"</f>
        <v/>
      </c>
      <c r="D6822" s="194" t="inlineStr">
        <is>
          <t>configuração</t>
        </is>
      </c>
    </row>
    <row r="6823">
      <c r="A6823" s="194" t="inlineStr">
        <is>
          <t>custom.familia.1.mestre_viu</t>
        </is>
      </c>
      <c r="B6823" s="194">
        <f>N('CONFIGURAÇÃO'!$F$941)&amp;""</f>
        <v/>
      </c>
      <c r="C6823" s="194">
        <f>"'CONFIGURAÇÃO'!F941"</f>
        <v/>
      </c>
      <c r="D6823" s="194" t="inlineStr">
        <is>
          <t>configuração</t>
        </is>
      </c>
    </row>
    <row r="6824">
      <c r="A6824" s="194" t="inlineStr">
        <is>
          <t>custom.familia.1.descricao</t>
        </is>
      </c>
      <c r="B6824" s="194">
        <f>IF(ISBLANK('CONFIGURAÇÃO'!$B$946),"",'CONFIGURAÇÃO'!$B$946&amp;"")</f>
        <v/>
      </c>
      <c r="C6824" s="194">
        <f>"'CONFIGURAÇÃO'!B946"</f>
        <v/>
      </c>
      <c r="D6824" s="194" t="inlineStr">
        <is>
          <t>configuração</t>
        </is>
      </c>
    </row>
    <row r="6825">
      <c r="A6825" s="194" t="inlineStr">
        <is>
          <t>custom.familia.2.nome</t>
        </is>
      </c>
      <c r="B6825" s="194">
        <f>IF(ISBLANK('CONFIGURAÇÃO'!$J$943),"",'CONFIGURAÇÃO'!$J$943&amp;"")</f>
        <v/>
      </c>
      <c r="C6825" s="194">
        <f>"'CONFIGURAÇÃO'!J943"</f>
        <v/>
      </c>
      <c r="D6825" s="194" t="inlineStr">
        <is>
          <t>configuração</t>
        </is>
      </c>
    </row>
    <row r="6826">
      <c r="A6826" s="194" t="inlineStr">
        <is>
          <t>custom.familia.2.estado</t>
        </is>
      </c>
      <c r="B6826" s="194">
        <f>IF(ISBLANK('CONFIGURAÇÃO'!$M$944),"",'CONFIGURAÇÃO'!$M$944&amp;"")</f>
        <v/>
      </c>
      <c r="C6826" s="194">
        <f>"'CONFIGURAÇÃO'!M944"</f>
        <v/>
      </c>
      <c r="D6826" s="194" t="inlineStr">
        <is>
          <t>configuração</t>
        </is>
      </c>
    </row>
    <row r="6827">
      <c r="A6827" s="194" t="inlineStr">
        <is>
          <t>custom.familia.2.mestre_viu</t>
        </is>
      </c>
      <c r="B6827" s="194">
        <f>N('CONFIGURAÇÃO'!$N$941)&amp;""</f>
        <v/>
      </c>
      <c r="C6827" s="194">
        <f>"'CONFIGURAÇÃO'!N941"</f>
        <v/>
      </c>
      <c r="D6827" s="194" t="inlineStr">
        <is>
          <t>configuração</t>
        </is>
      </c>
    </row>
    <row r="6828">
      <c r="A6828" s="194" t="inlineStr">
        <is>
          <t>custom.familia.2.descricao</t>
        </is>
      </c>
      <c r="B6828" s="194">
        <f>IF(ISBLANK('CONFIGURAÇÃO'!$J$946),"",'CONFIGURAÇÃO'!$J$946&amp;"")</f>
        <v/>
      </c>
      <c r="C6828" s="194">
        <f>"'CONFIGURAÇÃO'!J946"</f>
        <v/>
      </c>
      <c r="D6828" s="194" t="inlineStr">
        <is>
          <t>configuração</t>
        </is>
      </c>
    </row>
    <row r="6829">
      <c r="A6829" s="194" t="inlineStr">
        <is>
          <t>custom.familia.3.nome</t>
        </is>
      </c>
      <c r="B6829" s="194">
        <f>IF(ISBLANK('CONFIGURAÇÃO'!$B$957),"",'CONFIGURAÇÃO'!$B$957&amp;"")</f>
        <v/>
      </c>
      <c r="C6829" s="194">
        <f>"'CONFIGURAÇÃO'!B957"</f>
        <v/>
      </c>
      <c r="D6829" s="194" t="inlineStr">
        <is>
          <t>configuração</t>
        </is>
      </c>
    </row>
    <row r="6830">
      <c r="A6830" s="194" t="inlineStr">
        <is>
          <t>custom.familia.3.estado</t>
        </is>
      </c>
      <c r="B6830" s="194">
        <f>IF(ISBLANK('CONFIGURAÇÃO'!$E$958),"",'CONFIGURAÇÃO'!$E$958&amp;"")</f>
        <v/>
      </c>
      <c r="C6830" s="194">
        <f>"'CONFIGURAÇÃO'!E958"</f>
        <v/>
      </c>
      <c r="D6830" s="194" t="inlineStr">
        <is>
          <t>configuração</t>
        </is>
      </c>
    </row>
    <row r="6831">
      <c r="A6831" s="194" t="inlineStr">
        <is>
          <t>custom.familia.3.mestre_viu</t>
        </is>
      </c>
      <c r="B6831" s="194">
        <f>N('CONFIGURAÇÃO'!$F$955)&amp;""</f>
        <v/>
      </c>
      <c r="C6831" s="194">
        <f>"'CONFIGURAÇÃO'!F955"</f>
        <v/>
      </c>
      <c r="D6831" s="194" t="inlineStr">
        <is>
          <t>configuração</t>
        </is>
      </c>
    </row>
    <row r="6832">
      <c r="A6832" s="194" t="inlineStr">
        <is>
          <t>custom.familia.3.descricao</t>
        </is>
      </c>
      <c r="B6832" s="194">
        <f>IF(ISBLANK('CONFIGURAÇÃO'!$B$960),"",'CONFIGURAÇÃO'!$B$960&amp;"")</f>
        <v/>
      </c>
      <c r="C6832" s="194">
        <f>"'CONFIGURAÇÃO'!B960"</f>
        <v/>
      </c>
      <c r="D6832" s="194" t="inlineStr">
        <is>
          <t>configuração</t>
        </is>
      </c>
    </row>
    <row r="6833">
      <c r="A6833" s="194" t="inlineStr">
        <is>
          <t>custom.familia.4.nome</t>
        </is>
      </c>
      <c r="B6833" s="194">
        <f>IF(ISBLANK('CONFIGURAÇÃO'!$J$957),"",'CONFIGURAÇÃO'!$J$957&amp;"")</f>
        <v/>
      </c>
      <c r="C6833" s="194">
        <f>"'CONFIGURAÇÃO'!J957"</f>
        <v/>
      </c>
      <c r="D6833" s="194" t="inlineStr">
        <is>
          <t>configuração</t>
        </is>
      </c>
    </row>
    <row r="6834">
      <c r="A6834" s="194" t="inlineStr">
        <is>
          <t>custom.familia.4.estado</t>
        </is>
      </c>
      <c r="B6834" s="194">
        <f>IF(ISBLANK('CONFIGURAÇÃO'!$M$958),"",'CONFIGURAÇÃO'!$M$958&amp;"")</f>
        <v/>
      </c>
      <c r="C6834" s="194">
        <f>"'CONFIGURAÇÃO'!M958"</f>
        <v/>
      </c>
      <c r="D6834" s="194" t="inlineStr">
        <is>
          <t>configuração</t>
        </is>
      </c>
    </row>
    <row r="6835">
      <c r="A6835" s="194" t="inlineStr">
        <is>
          <t>custom.familia.4.mestre_viu</t>
        </is>
      </c>
      <c r="B6835" s="194">
        <f>N('CONFIGURAÇÃO'!$N$955)&amp;""</f>
        <v/>
      </c>
      <c r="C6835" s="194">
        <f>"'CONFIGURAÇÃO'!N955"</f>
        <v/>
      </c>
      <c r="D6835" s="194" t="inlineStr">
        <is>
          <t>configuração</t>
        </is>
      </c>
    </row>
    <row r="6836">
      <c r="A6836" s="194" t="inlineStr">
        <is>
          <t>custom.familia.4.descricao</t>
        </is>
      </c>
      <c r="B6836" s="194">
        <f>IF(ISBLANK('CONFIGURAÇÃO'!$J$960),"",'CONFIGURAÇÃO'!$J$960&amp;"")</f>
        <v/>
      </c>
      <c r="C6836" s="194">
        <f>"'CONFIGURAÇÃO'!J960"</f>
        <v/>
      </c>
      <c r="D6836" s="194" t="inlineStr">
        <is>
          <t>configuração</t>
        </is>
      </c>
    </row>
    <row r="6837">
      <c r="A6837" s="194" t="inlineStr">
        <is>
          <t>custom.familia.5.nome</t>
        </is>
      </c>
      <c r="B6837" s="194">
        <f>IF(ISBLANK('CONFIGURAÇÃO'!$B$971),"",'CONFIGURAÇÃO'!$B$971&amp;"")</f>
        <v/>
      </c>
      <c r="C6837" s="194">
        <f>"'CONFIGURAÇÃO'!B971"</f>
        <v/>
      </c>
      <c r="D6837" s="194" t="inlineStr">
        <is>
          <t>configuração</t>
        </is>
      </c>
    </row>
    <row r="6838">
      <c r="A6838" s="194" t="inlineStr">
        <is>
          <t>custom.familia.5.estado</t>
        </is>
      </c>
      <c r="B6838" s="194">
        <f>IF(ISBLANK('CONFIGURAÇÃO'!$E$972),"",'CONFIGURAÇÃO'!$E$972&amp;"")</f>
        <v/>
      </c>
      <c r="C6838" s="194">
        <f>"'CONFIGURAÇÃO'!E972"</f>
        <v/>
      </c>
      <c r="D6838" s="194" t="inlineStr">
        <is>
          <t>configuração</t>
        </is>
      </c>
    </row>
    <row r="6839">
      <c r="A6839" s="194" t="inlineStr">
        <is>
          <t>custom.familia.5.mestre_viu</t>
        </is>
      </c>
      <c r="B6839" s="194">
        <f>N('CONFIGURAÇÃO'!$F$969)&amp;""</f>
        <v/>
      </c>
      <c r="C6839" s="194">
        <f>"'CONFIGURAÇÃO'!F969"</f>
        <v/>
      </c>
      <c r="D6839" s="194" t="inlineStr">
        <is>
          <t>configuração</t>
        </is>
      </c>
    </row>
    <row r="6840">
      <c r="A6840" s="194" t="inlineStr">
        <is>
          <t>custom.familia.5.descricao</t>
        </is>
      </c>
      <c r="B6840" s="194">
        <f>IF(ISBLANK('CONFIGURAÇÃO'!$B$974),"",'CONFIGURAÇÃO'!$B$974&amp;"")</f>
        <v/>
      </c>
      <c r="C6840" s="194">
        <f>"'CONFIGURAÇÃO'!B974"</f>
        <v/>
      </c>
      <c r="D6840" s="194" t="inlineStr">
        <is>
          <t>configuração</t>
        </is>
      </c>
    </row>
    <row r="6841">
      <c r="A6841" s="194" t="inlineStr">
        <is>
          <t>custom.familia.6.nome</t>
        </is>
      </c>
      <c r="B6841" s="194">
        <f>IF(ISBLANK('CONFIGURAÇÃO'!$J$971),"",'CONFIGURAÇÃO'!$J$971&amp;"")</f>
        <v/>
      </c>
      <c r="C6841" s="194">
        <f>"'CONFIGURAÇÃO'!J971"</f>
        <v/>
      </c>
      <c r="D6841" s="194" t="inlineStr">
        <is>
          <t>configuração</t>
        </is>
      </c>
    </row>
    <row r="6842">
      <c r="A6842" s="194" t="inlineStr">
        <is>
          <t>custom.familia.6.estado</t>
        </is>
      </c>
      <c r="B6842" s="194">
        <f>IF(ISBLANK('CONFIGURAÇÃO'!$M$972),"",'CONFIGURAÇÃO'!$M$972&amp;"")</f>
        <v/>
      </c>
      <c r="C6842" s="194">
        <f>"'CONFIGURAÇÃO'!M972"</f>
        <v/>
      </c>
      <c r="D6842" s="194" t="inlineStr">
        <is>
          <t>configuração</t>
        </is>
      </c>
    </row>
    <row r="6843">
      <c r="A6843" s="194" t="inlineStr">
        <is>
          <t>custom.familia.6.mestre_viu</t>
        </is>
      </c>
      <c r="B6843" s="194">
        <f>N('CONFIGURAÇÃO'!$N$969)&amp;""</f>
        <v/>
      </c>
      <c r="C6843" s="194">
        <f>"'CONFIGURAÇÃO'!N969"</f>
        <v/>
      </c>
      <c r="D6843" s="194" t="inlineStr">
        <is>
          <t>configuração</t>
        </is>
      </c>
    </row>
    <row r="6844">
      <c r="A6844" s="194" t="inlineStr">
        <is>
          <t>custom.familia.6.descricao</t>
        </is>
      </c>
      <c r="B6844" s="194">
        <f>IF(ISBLANK('CONFIGURAÇÃO'!$J$974),"",'CONFIGURAÇÃO'!$J$974&amp;"")</f>
        <v/>
      </c>
      <c r="C6844" s="194">
        <f>"'CONFIGURAÇÃO'!J974"</f>
        <v/>
      </c>
      <c r="D6844" s="194" t="inlineStr">
        <is>
          <t>configuração</t>
        </is>
      </c>
    </row>
    <row r="6845">
      <c r="A6845" s="194" t="inlineStr">
        <is>
          <t>custom.familia.7.nome</t>
        </is>
      </c>
      <c r="B6845" s="194">
        <f>IF(ISBLANK('CONFIGURAÇÃO'!$B$985),"",'CONFIGURAÇÃO'!$B$985&amp;"")</f>
        <v/>
      </c>
      <c r="C6845" s="194">
        <f>"'CONFIGURAÇÃO'!B985"</f>
        <v/>
      </c>
      <c r="D6845" s="194" t="inlineStr">
        <is>
          <t>configuração</t>
        </is>
      </c>
    </row>
    <row r="6846">
      <c r="A6846" s="194" t="inlineStr">
        <is>
          <t>custom.familia.7.estado</t>
        </is>
      </c>
      <c r="B6846" s="194">
        <f>IF(ISBLANK('CONFIGURAÇÃO'!$E$986),"",'CONFIGURAÇÃO'!$E$986&amp;"")</f>
        <v/>
      </c>
      <c r="C6846" s="194">
        <f>"'CONFIGURAÇÃO'!E986"</f>
        <v/>
      </c>
      <c r="D6846" s="194" t="inlineStr">
        <is>
          <t>configuração</t>
        </is>
      </c>
    </row>
    <row r="6847">
      <c r="A6847" s="194" t="inlineStr">
        <is>
          <t>custom.familia.7.mestre_viu</t>
        </is>
      </c>
      <c r="B6847" s="194">
        <f>N('CONFIGURAÇÃO'!$F$983)&amp;""</f>
        <v/>
      </c>
      <c r="C6847" s="194">
        <f>"'CONFIGURAÇÃO'!F983"</f>
        <v/>
      </c>
      <c r="D6847" s="194" t="inlineStr">
        <is>
          <t>configuração</t>
        </is>
      </c>
    </row>
    <row r="6848">
      <c r="A6848" s="194" t="inlineStr">
        <is>
          <t>custom.familia.7.descricao</t>
        </is>
      </c>
      <c r="B6848" s="194">
        <f>IF(ISBLANK('CONFIGURAÇÃO'!$B$988),"",'CONFIGURAÇÃO'!$B$988&amp;"")</f>
        <v/>
      </c>
      <c r="C6848" s="194">
        <f>"'CONFIGURAÇÃO'!B988"</f>
        <v/>
      </c>
      <c r="D6848" s="194" t="inlineStr">
        <is>
          <t>configuração</t>
        </is>
      </c>
    </row>
    <row r="6849">
      <c r="A6849" s="194" t="inlineStr">
        <is>
          <t>custom.familia.8.nome</t>
        </is>
      </c>
      <c r="B6849" s="194">
        <f>IF(ISBLANK('CONFIGURAÇÃO'!$J$985),"",'CONFIGURAÇÃO'!$J$985&amp;"")</f>
        <v/>
      </c>
      <c r="C6849" s="194">
        <f>"'CONFIGURAÇÃO'!J985"</f>
        <v/>
      </c>
      <c r="D6849" s="194" t="inlineStr">
        <is>
          <t>configuração</t>
        </is>
      </c>
    </row>
    <row r="6850">
      <c r="A6850" s="194" t="inlineStr">
        <is>
          <t>custom.familia.8.estado</t>
        </is>
      </c>
      <c r="B6850" s="194">
        <f>IF(ISBLANK('CONFIGURAÇÃO'!$M$986),"",'CONFIGURAÇÃO'!$M$986&amp;"")</f>
        <v/>
      </c>
      <c r="C6850" s="194">
        <f>"'CONFIGURAÇÃO'!M986"</f>
        <v/>
      </c>
      <c r="D6850" s="194" t="inlineStr">
        <is>
          <t>configuração</t>
        </is>
      </c>
    </row>
    <row r="6851">
      <c r="A6851" s="194" t="inlineStr">
        <is>
          <t>custom.familia.8.mestre_viu</t>
        </is>
      </c>
      <c r="B6851" s="194">
        <f>N('CONFIGURAÇÃO'!$N$983)&amp;""</f>
        <v/>
      </c>
      <c r="C6851" s="194">
        <f>"'CONFIGURAÇÃO'!N983"</f>
        <v/>
      </c>
      <c r="D6851" s="194" t="inlineStr">
        <is>
          <t>configuração</t>
        </is>
      </c>
    </row>
    <row r="6852">
      <c r="A6852" s="194" t="inlineStr">
        <is>
          <t>custom.familia.8.descricao</t>
        </is>
      </c>
      <c r="B6852" s="194">
        <f>IF(ISBLANK('CONFIGURAÇÃO'!$J$988),"",'CONFIGURAÇÃO'!$J$988&amp;"")</f>
        <v/>
      </c>
      <c r="C6852" s="194">
        <f>"'CONFIGURAÇÃO'!J988"</f>
        <v/>
      </c>
      <c r="D6852" s="194" t="inlineStr">
        <is>
          <t>configuração</t>
        </is>
      </c>
    </row>
    <row r="6853">
      <c r="A6853" s="194" t="inlineStr">
        <is>
          <t>custom.familia.9.nome</t>
        </is>
      </c>
      <c r="B6853" s="194">
        <f>IF(ISBLANK('CONFIGURAÇÃO'!$B$999),"",'CONFIGURAÇÃO'!$B$999&amp;"")</f>
        <v/>
      </c>
      <c r="C6853" s="194">
        <f>"'CONFIGURAÇÃO'!B999"</f>
        <v/>
      </c>
      <c r="D6853" s="194" t="inlineStr">
        <is>
          <t>configuração</t>
        </is>
      </c>
    </row>
    <row r="6854">
      <c r="A6854" s="194" t="inlineStr">
        <is>
          <t>custom.familia.9.estado</t>
        </is>
      </c>
      <c r="B6854" s="194">
        <f>IF(ISBLANK('CONFIGURAÇÃO'!$E$1000),"",'CONFIGURAÇÃO'!$E$1000&amp;"")</f>
        <v/>
      </c>
      <c r="C6854" s="194">
        <f>"'CONFIGURAÇÃO'!E1000"</f>
        <v/>
      </c>
      <c r="D6854" s="194" t="inlineStr">
        <is>
          <t>configuração</t>
        </is>
      </c>
    </row>
    <row r="6855">
      <c r="A6855" s="194" t="inlineStr">
        <is>
          <t>custom.familia.9.mestre_viu</t>
        </is>
      </c>
      <c r="B6855" s="194">
        <f>N('CONFIGURAÇÃO'!$F$997)&amp;""</f>
        <v/>
      </c>
      <c r="C6855" s="194">
        <f>"'CONFIGURAÇÃO'!F997"</f>
        <v/>
      </c>
      <c r="D6855" s="194" t="inlineStr">
        <is>
          <t>configuração</t>
        </is>
      </c>
    </row>
    <row r="6856">
      <c r="A6856" s="194" t="inlineStr">
        <is>
          <t>custom.familia.9.descricao</t>
        </is>
      </c>
      <c r="B6856" s="194">
        <f>IF(ISBLANK('CONFIGURAÇÃO'!$B$1002),"",'CONFIGURAÇÃO'!$B$1002&amp;"")</f>
        <v/>
      </c>
      <c r="C6856" s="194">
        <f>"'CONFIGURAÇÃO'!B1002"</f>
        <v/>
      </c>
      <c r="D6856" s="194" t="inlineStr">
        <is>
          <t>configuração</t>
        </is>
      </c>
    </row>
    <row r="6857">
      <c r="A6857" s="194" t="inlineStr">
        <is>
          <t>custom.familia.10.nome</t>
        </is>
      </c>
      <c r="B6857" s="194">
        <f>IF(ISBLANK('CONFIGURAÇÃO'!$J$999),"",'CONFIGURAÇÃO'!$J$999&amp;"")</f>
        <v/>
      </c>
      <c r="C6857" s="194">
        <f>"'CONFIGURAÇÃO'!J999"</f>
        <v/>
      </c>
      <c r="D6857" s="194" t="inlineStr">
        <is>
          <t>configuração</t>
        </is>
      </c>
    </row>
    <row r="6858">
      <c r="A6858" s="194" t="inlineStr">
        <is>
          <t>custom.familia.10.estado</t>
        </is>
      </c>
      <c r="B6858" s="194">
        <f>IF(ISBLANK('CONFIGURAÇÃO'!$M$1000),"",'CONFIGURAÇÃO'!$M$1000&amp;"")</f>
        <v/>
      </c>
      <c r="C6858" s="194">
        <f>"'CONFIGURAÇÃO'!M1000"</f>
        <v/>
      </c>
      <c r="D6858" s="194" t="inlineStr">
        <is>
          <t>configuração</t>
        </is>
      </c>
    </row>
    <row r="6859">
      <c r="A6859" s="194" t="inlineStr">
        <is>
          <t>custom.familia.10.mestre_viu</t>
        </is>
      </c>
      <c r="B6859" s="194">
        <f>N('CONFIGURAÇÃO'!$N$997)&amp;""</f>
        <v/>
      </c>
      <c r="C6859" s="194">
        <f>"'CONFIGURAÇÃO'!N997"</f>
        <v/>
      </c>
      <c r="D6859" s="194" t="inlineStr">
        <is>
          <t>configuração</t>
        </is>
      </c>
    </row>
    <row r="6860">
      <c r="A6860" s="194" t="inlineStr">
        <is>
          <t>custom.familia.10.descricao</t>
        </is>
      </c>
      <c r="B6860" s="194">
        <f>IF(ISBLANK('CONFIGURAÇÃO'!$J$1002),"",'CONFIGURAÇÃO'!$J$1002&amp;"")</f>
        <v/>
      </c>
      <c r="C6860" s="194">
        <f>"'CONFIGURAÇÃO'!J1002"</f>
        <v/>
      </c>
      <c r="D6860" s="194" t="inlineStr">
        <is>
          <t>configuração</t>
        </is>
      </c>
    </row>
    <row r="6861">
      <c r="A6861" s="194" t="inlineStr">
        <is>
          <t>aviso.custom.familia.1</t>
        </is>
      </c>
      <c r="B6861" s="194">
        <f>'DADOS_CRIACAO'!$F$2&amp;""</f>
        <v/>
      </c>
      <c r="C6861" s="194">
        <f>"'DADOS_CRIACAO'!F2"</f>
        <v/>
      </c>
      <c r="D6861" s="194" t="inlineStr">
        <is>
          <t>aviso</t>
        </is>
      </c>
    </row>
    <row r="6862">
      <c r="A6862" s="194" t="inlineStr">
        <is>
          <t>aviso.custom.familia.2</t>
        </is>
      </c>
      <c r="B6862" s="194">
        <f>'DADOS_CRIACAO'!$F$3&amp;""</f>
        <v/>
      </c>
      <c r="C6862" s="194">
        <f>"'DADOS_CRIACAO'!F3"</f>
        <v/>
      </c>
      <c r="D6862" s="194" t="inlineStr">
        <is>
          <t>aviso</t>
        </is>
      </c>
    </row>
    <row r="6863">
      <c r="A6863" s="194" t="inlineStr">
        <is>
          <t>aviso.custom.familia.3</t>
        </is>
      </c>
      <c r="B6863" s="194">
        <f>'DADOS_CRIACAO'!$F$4&amp;""</f>
        <v/>
      </c>
      <c r="C6863" s="194">
        <f>"'DADOS_CRIACAO'!F4"</f>
        <v/>
      </c>
      <c r="D6863" s="194" t="inlineStr">
        <is>
          <t>aviso</t>
        </is>
      </c>
    </row>
    <row r="6864">
      <c r="A6864" s="194" t="inlineStr">
        <is>
          <t>aviso.custom.familia.4</t>
        </is>
      </c>
      <c r="B6864" s="194">
        <f>'DADOS_CRIACAO'!$F$5&amp;""</f>
        <v/>
      </c>
      <c r="C6864" s="194">
        <f>"'DADOS_CRIACAO'!F5"</f>
        <v/>
      </c>
      <c r="D6864" s="194" t="inlineStr">
        <is>
          <t>aviso</t>
        </is>
      </c>
    </row>
    <row r="6865">
      <c r="A6865" s="194" t="inlineStr">
        <is>
          <t>aviso.custom.familia.5</t>
        </is>
      </c>
      <c r="B6865" s="194">
        <f>'DADOS_CRIACAO'!$F$6&amp;""</f>
        <v/>
      </c>
      <c r="C6865" s="194">
        <f>"'DADOS_CRIACAO'!F6"</f>
        <v/>
      </c>
      <c r="D6865" s="194" t="inlineStr">
        <is>
          <t>aviso</t>
        </is>
      </c>
    </row>
    <row r="6866">
      <c r="A6866" s="194" t="inlineStr">
        <is>
          <t>aviso.custom.familia.6</t>
        </is>
      </c>
      <c r="B6866" s="194">
        <f>'DADOS_CRIACAO'!$F$7&amp;""</f>
        <v/>
      </c>
      <c r="C6866" s="194">
        <f>"'DADOS_CRIACAO'!F7"</f>
        <v/>
      </c>
      <c r="D6866" s="194" t="inlineStr">
        <is>
          <t>aviso</t>
        </is>
      </c>
    </row>
    <row r="6867">
      <c r="A6867" s="194" t="inlineStr">
        <is>
          <t>aviso.custom.familia.7</t>
        </is>
      </c>
      <c r="B6867" s="194">
        <f>'DADOS_CRIACAO'!$F$8&amp;""</f>
        <v/>
      </c>
      <c r="C6867" s="194">
        <f>"'DADOS_CRIACAO'!F8"</f>
        <v/>
      </c>
      <c r="D6867" s="194" t="inlineStr">
        <is>
          <t>aviso</t>
        </is>
      </c>
    </row>
    <row r="6868">
      <c r="A6868" s="194" t="inlineStr">
        <is>
          <t>aviso.custom.familia.8</t>
        </is>
      </c>
      <c r="B6868" s="194">
        <f>'DADOS_CRIACAO'!$F$9&amp;""</f>
        <v/>
      </c>
      <c r="C6868" s="194">
        <f>"'DADOS_CRIACAO'!F9"</f>
        <v/>
      </c>
      <c r="D6868" s="194" t="inlineStr">
        <is>
          <t>aviso</t>
        </is>
      </c>
    </row>
    <row r="6869">
      <c r="A6869" s="194" t="inlineStr">
        <is>
          <t>aviso.custom.familia.9</t>
        </is>
      </c>
      <c r="B6869" s="194">
        <f>'DADOS_CRIACAO'!$F$10&amp;""</f>
        <v/>
      </c>
      <c r="C6869" s="194">
        <f>"'DADOS_CRIACAO'!F10"</f>
        <v/>
      </c>
      <c r="D6869" s="194" t="inlineStr">
        <is>
          <t>aviso</t>
        </is>
      </c>
    </row>
    <row r="6870">
      <c r="A6870" s="194" t="inlineStr">
        <is>
          <t>aviso.custom.familia.10</t>
        </is>
      </c>
      <c r="B6870" s="194">
        <f>'DADOS_CRIACAO'!$F$11&amp;""</f>
        <v/>
      </c>
      <c r="C6870" s="194">
        <f>"'DADOS_CRIACAO'!F11"</f>
        <v/>
      </c>
      <c r="D6870" s="194" t="inlineStr">
        <is>
          <t>aviso</t>
        </is>
      </c>
    </row>
    <row r="6871">
      <c r="A6871" s="194" t="inlineStr">
        <is>
          <t>regra.familias_livres</t>
        </is>
      </c>
      <c r="B6871" s="194">
        <f>'CONFIGURAÇÃO'!$G$157&amp;""</f>
        <v/>
      </c>
      <c r="C6871" s="194">
        <f>"'CONFIGURAÇÃO'!G157"</f>
        <v/>
      </c>
      <c r="D6871" s="194" t="inlineStr">
        <is>
          <t>configuração</t>
        </is>
      </c>
    </row>
    <row r="6872">
      <c r="A6872" s="194" t="inlineStr">
        <is>
          <t>regra.familias_livres.campanha</t>
        </is>
      </c>
      <c r="B6872" s="194">
        <f>IF(ISBLANK('CONFIGURAÇÃO'!$F$157),"",'CONFIGURAÇÃO'!$F$157&amp;"")</f>
        <v/>
      </c>
      <c r="C6872" s="194">
        <f>"'CONFIGURAÇÃO'!F157"</f>
        <v/>
      </c>
      <c r="D6872" s="194" t="inlineStr">
        <is>
          <t>entrada</t>
        </is>
      </c>
    </row>
    <row r="6873">
      <c r="A6873" s="194" t="inlineStr">
        <is>
          <t>regra.familias_fechadas</t>
        </is>
      </c>
      <c r="B6873" s="194">
        <f>'CONFIGURAÇÃO'!$G$158&amp;""</f>
        <v/>
      </c>
      <c r="C6873" s="194">
        <f>"'CONFIGURAÇÃO'!G158"</f>
        <v/>
      </c>
      <c r="D6873" s="194" t="inlineStr">
        <is>
          <t>configuração</t>
        </is>
      </c>
    </row>
    <row r="6874">
      <c r="A6874" s="194" t="inlineStr">
        <is>
          <t>regra.familias_fechadas.campanha</t>
        </is>
      </c>
      <c r="B6874" s="194">
        <f>IF(ISBLANK('CONFIGURAÇÃO'!$F$158),"",'CONFIGURAÇÃO'!$F$158&amp;"")</f>
        <v/>
      </c>
      <c r="C6874" s="194">
        <f>"'CONFIGURAÇÃO'!F158"</f>
        <v/>
      </c>
      <c r="D6874" s="194" t="inlineStr">
        <is>
          <t>entrada</t>
        </is>
      </c>
    </row>
    <row r="6875">
      <c r="A6875" s="194" t="inlineStr">
        <is>
          <t>regra.familias_neutras</t>
        </is>
      </c>
      <c r="B6875" s="194">
        <f>'CONFIGURAÇÃO'!$G$159&amp;""</f>
        <v/>
      </c>
      <c r="C6875" s="194">
        <f>"'CONFIGURAÇÃO'!G159"</f>
        <v/>
      </c>
      <c r="D6875" s="194" t="inlineStr">
        <is>
          <t>configuração</t>
        </is>
      </c>
    </row>
    <row r="6876">
      <c r="A6876" s="194" t="inlineStr">
        <is>
          <t>regra.familias_total</t>
        </is>
      </c>
      <c r="B6876" s="194">
        <f>'CONFIGURAÇÃO'!$G$160&amp;""</f>
        <v/>
      </c>
      <c r="C6876" s="194">
        <f>"'CONFIGURAÇÃO'!G160"</f>
        <v/>
      </c>
      <c r="D6876" s="194" t="inlineStr">
        <is>
          <t>configuração</t>
        </is>
      </c>
    </row>
    <row r="6877">
      <c r="A6877" s="194" t="inlineStr">
        <is>
          <t>aviso.regras_familias</t>
        </is>
      </c>
      <c r="B6877" s="194">
        <f>'CONFIGURAÇÃO'!$B$162&amp;""</f>
        <v/>
      </c>
      <c r="C6877" s="194">
        <f>"'CONFIGURAÇÃO'!B162"</f>
        <v/>
      </c>
      <c r="D6877" s="194" t="inlineStr">
        <is>
          <t>aviso</t>
        </is>
      </c>
    </row>
    <row r="6878">
      <c r="A6878" s="194" t="inlineStr">
        <is>
          <t>custom.melhoria.1.nome</t>
        </is>
      </c>
      <c r="B6878" s="194">
        <f>IF(ISBLANK('CONFIGURAÇÃO'!$B$1015),"",'CONFIGURAÇÃO'!$B$1015&amp;"")</f>
        <v/>
      </c>
      <c r="C6878" s="194">
        <f>"'CONFIGURAÇÃO'!B1015"</f>
        <v/>
      </c>
      <c r="D6878" s="194" t="inlineStr">
        <is>
          <t>configuração</t>
        </is>
      </c>
    </row>
    <row r="6879">
      <c r="A6879" s="194" t="inlineStr">
        <is>
          <t>custom.melhoria.1.base</t>
        </is>
      </c>
      <c r="B6879" s="194">
        <f>IF(ISBLANK('CONFIGURAÇÃO'!$E$1016),"",'CONFIGURAÇÃO'!$E$1016&amp;"")</f>
        <v/>
      </c>
      <c r="C6879" s="194">
        <f>"'CONFIGURAÇÃO'!E1016"</f>
        <v/>
      </c>
      <c r="D6879" s="194" t="inlineStr">
        <is>
          <t>configuração</t>
        </is>
      </c>
    </row>
    <row r="6880">
      <c r="A6880" s="194" t="inlineStr">
        <is>
          <t>custom.melhoria.1.familia</t>
        </is>
      </c>
      <c r="B6880" s="194">
        <f>IF(ISBLANK('CONFIGURAÇÃO'!$E$1017),"",'CONFIGURAÇÃO'!$E$1017&amp;"")</f>
        <v/>
      </c>
      <c r="C6880" s="194">
        <f>"'CONFIGURAÇÃO'!E1017"</f>
        <v/>
      </c>
      <c r="D6880" s="194" t="inlineStr">
        <is>
          <t>configuração</t>
        </is>
      </c>
    </row>
    <row r="6881">
      <c r="A6881" s="194" t="inlineStr">
        <is>
          <t>custom.melhoria.1.peso</t>
        </is>
      </c>
      <c r="B6881" s="194">
        <f>IF(ISBLANK('CONFIGURAÇÃO'!$E$1018),"",'CONFIGURAÇÃO'!$E$1018&amp;"")</f>
        <v/>
      </c>
      <c r="C6881" s="194">
        <f>"'CONFIGURAÇÃO'!E1018"</f>
        <v/>
      </c>
      <c r="D6881" s="194" t="inlineStr">
        <is>
          <t>configuração</t>
        </is>
      </c>
    </row>
    <row r="6882">
      <c r="A6882" s="194" t="inlineStr">
        <is>
          <t>custom.melhoria.1.exige_tr</t>
        </is>
      </c>
      <c r="B6882" s="194">
        <f>IF(ISBLANK('CONFIGURAÇÃO'!$E$1019),"",'CONFIGURAÇÃO'!$E$1019&amp;"")</f>
        <v/>
      </c>
      <c r="C6882" s="194">
        <f>"'CONFIGURAÇÃO'!E1019"</f>
        <v/>
      </c>
      <c r="D6882" s="194" t="inlineStr">
        <is>
          <t>configuração</t>
        </is>
      </c>
    </row>
    <row r="6883">
      <c r="A6883" s="194" t="inlineStr">
        <is>
          <t>custom.melhoria.1.requisitos</t>
        </is>
      </c>
      <c r="B6883" s="194">
        <f>IF(ISBLANK('CONFIGURAÇÃO'!$B$1022),"",'CONFIGURAÇÃO'!$B$1022&amp;"")</f>
        <v/>
      </c>
      <c r="C6883" s="194">
        <f>"'CONFIGURAÇÃO'!B1022"</f>
        <v/>
      </c>
      <c r="D6883" s="194" t="inlineStr">
        <is>
          <t>configuração</t>
        </is>
      </c>
    </row>
    <row r="6884">
      <c r="A6884" s="194" t="inlineStr">
        <is>
          <t>custom.melhoria.1.efeito</t>
        </is>
      </c>
      <c r="B6884" s="194">
        <f>IF(ISBLANK('CONFIGURAÇÃO'!$B$1028),"",'CONFIGURAÇÃO'!$B$1028&amp;"")</f>
        <v/>
      </c>
      <c r="C6884" s="194">
        <f>"'CONFIGURAÇÃO'!B1028"</f>
        <v/>
      </c>
      <c r="D6884" s="194" t="inlineStr">
        <is>
          <t>configuração</t>
        </is>
      </c>
    </row>
    <row r="6885">
      <c r="A6885" s="194" t="inlineStr">
        <is>
          <t>custom.melhoria.1.mestre_viu</t>
        </is>
      </c>
      <c r="B6885" s="194">
        <f>N('CONFIGURAÇÃO'!$F$1013)&amp;""</f>
        <v/>
      </c>
      <c r="C6885" s="194">
        <f>"'CONFIGURAÇÃO'!F1013"</f>
        <v/>
      </c>
      <c r="D6885" s="194" t="inlineStr">
        <is>
          <t>configuração</t>
        </is>
      </c>
    </row>
    <row r="6886">
      <c r="A6886" s="194" t="inlineStr">
        <is>
          <t>custom.melhoria.2.nome</t>
        </is>
      </c>
      <c r="B6886" s="194">
        <f>IF(ISBLANK('CONFIGURAÇÃO'!$J$1015),"",'CONFIGURAÇÃO'!$J$1015&amp;"")</f>
        <v/>
      </c>
      <c r="C6886" s="194">
        <f>"'CONFIGURAÇÃO'!J1015"</f>
        <v/>
      </c>
      <c r="D6886" s="194" t="inlineStr">
        <is>
          <t>configuração</t>
        </is>
      </c>
    </row>
    <row r="6887">
      <c r="A6887" s="194" t="inlineStr">
        <is>
          <t>custom.melhoria.2.base</t>
        </is>
      </c>
      <c r="B6887" s="194">
        <f>IF(ISBLANK('CONFIGURAÇÃO'!$M$1016),"",'CONFIGURAÇÃO'!$M$1016&amp;"")</f>
        <v/>
      </c>
      <c r="C6887" s="194">
        <f>"'CONFIGURAÇÃO'!M1016"</f>
        <v/>
      </c>
      <c r="D6887" s="194" t="inlineStr">
        <is>
          <t>configuração</t>
        </is>
      </c>
    </row>
    <row r="6888">
      <c r="A6888" s="194" t="inlineStr">
        <is>
          <t>custom.melhoria.2.familia</t>
        </is>
      </c>
      <c r="B6888" s="194">
        <f>IF(ISBLANK('CONFIGURAÇÃO'!$M$1017),"",'CONFIGURAÇÃO'!$M$1017&amp;"")</f>
        <v/>
      </c>
      <c r="C6888" s="194">
        <f>"'CONFIGURAÇÃO'!M1017"</f>
        <v/>
      </c>
      <c r="D6888" s="194" t="inlineStr">
        <is>
          <t>configuração</t>
        </is>
      </c>
    </row>
    <row r="6889">
      <c r="A6889" s="194" t="inlineStr">
        <is>
          <t>custom.melhoria.2.peso</t>
        </is>
      </c>
      <c r="B6889" s="194">
        <f>IF(ISBLANK('CONFIGURAÇÃO'!$M$1018),"",'CONFIGURAÇÃO'!$M$1018&amp;"")</f>
        <v/>
      </c>
      <c r="C6889" s="194">
        <f>"'CONFIGURAÇÃO'!M1018"</f>
        <v/>
      </c>
      <c r="D6889" s="194" t="inlineStr">
        <is>
          <t>configuração</t>
        </is>
      </c>
    </row>
    <row r="6890">
      <c r="A6890" s="194" t="inlineStr">
        <is>
          <t>custom.melhoria.2.exige_tr</t>
        </is>
      </c>
      <c r="B6890" s="194">
        <f>IF(ISBLANK('CONFIGURAÇÃO'!$M$1019),"",'CONFIGURAÇÃO'!$M$1019&amp;"")</f>
        <v/>
      </c>
      <c r="C6890" s="194">
        <f>"'CONFIGURAÇÃO'!M1019"</f>
        <v/>
      </c>
      <c r="D6890" s="194" t="inlineStr">
        <is>
          <t>configuração</t>
        </is>
      </c>
    </row>
    <row r="6891">
      <c r="A6891" s="194" t="inlineStr">
        <is>
          <t>custom.melhoria.2.requisitos</t>
        </is>
      </c>
      <c r="B6891" s="194">
        <f>IF(ISBLANK('CONFIGURAÇÃO'!$J$1022),"",'CONFIGURAÇÃO'!$J$1022&amp;"")</f>
        <v/>
      </c>
      <c r="C6891" s="194">
        <f>"'CONFIGURAÇÃO'!J1022"</f>
        <v/>
      </c>
      <c r="D6891" s="194" t="inlineStr">
        <is>
          <t>configuração</t>
        </is>
      </c>
    </row>
    <row r="6892">
      <c r="A6892" s="194" t="inlineStr">
        <is>
          <t>custom.melhoria.2.efeito</t>
        </is>
      </c>
      <c r="B6892" s="194">
        <f>IF(ISBLANK('CONFIGURAÇÃO'!$J$1028),"",'CONFIGURAÇÃO'!$J$1028&amp;"")</f>
        <v/>
      </c>
      <c r="C6892" s="194">
        <f>"'CONFIGURAÇÃO'!J1028"</f>
        <v/>
      </c>
      <c r="D6892" s="194" t="inlineStr">
        <is>
          <t>configuração</t>
        </is>
      </c>
    </row>
    <row r="6893">
      <c r="A6893" s="194" t="inlineStr">
        <is>
          <t>custom.melhoria.2.mestre_viu</t>
        </is>
      </c>
      <c r="B6893" s="194">
        <f>N('CONFIGURAÇÃO'!$N$1013)&amp;""</f>
        <v/>
      </c>
      <c r="C6893" s="194">
        <f>"'CONFIGURAÇÃO'!N1013"</f>
        <v/>
      </c>
      <c r="D6893" s="194" t="inlineStr">
        <is>
          <t>configuração</t>
        </is>
      </c>
    </row>
    <row r="6894">
      <c r="A6894" s="194" t="inlineStr">
        <is>
          <t>custom.melhoria.3.nome</t>
        </is>
      </c>
      <c r="B6894" s="194">
        <f>IF(ISBLANK('CONFIGURAÇÃO'!$B$1041),"",'CONFIGURAÇÃO'!$B$1041&amp;"")</f>
        <v/>
      </c>
      <c r="C6894" s="194">
        <f>"'CONFIGURAÇÃO'!B1041"</f>
        <v/>
      </c>
      <c r="D6894" s="194" t="inlineStr">
        <is>
          <t>configuração</t>
        </is>
      </c>
    </row>
    <row r="6895">
      <c r="A6895" s="194" t="inlineStr">
        <is>
          <t>custom.melhoria.3.base</t>
        </is>
      </c>
      <c r="B6895" s="194">
        <f>IF(ISBLANK('CONFIGURAÇÃO'!$E$1042),"",'CONFIGURAÇÃO'!$E$1042&amp;"")</f>
        <v/>
      </c>
      <c r="C6895" s="194">
        <f>"'CONFIGURAÇÃO'!E1042"</f>
        <v/>
      </c>
      <c r="D6895" s="194" t="inlineStr">
        <is>
          <t>configuração</t>
        </is>
      </c>
    </row>
    <row r="6896">
      <c r="A6896" s="194" t="inlineStr">
        <is>
          <t>custom.melhoria.3.familia</t>
        </is>
      </c>
      <c r="B6896" s="194">
        <f>IF(ISBLANK('CONFIGURAÇÃO'!$E$1043),"",'CONFIGURAÇÃO'!$E$1043&amp;"")</f>
        <v/>
      </c>
      <c r="C6896" s="194">
        <f>"'CONFIGURAÇÃO'!E1043"</f>
        <v/>
      </c>
      <c r="D6896" s="194" t="inlineStr">
        <is>
          <t>configuração</t>
        </is>
      </c>
    </row>
    <row r="6897">
      <c r="A6897" s="194" t="inlineStr">
        <is>
          <t>custom.melhoria.3.peso</t>
        </is>
      </c>
      <c r="B6897" s="194">
        <f>IF(ISBLANK('CONFIGURAÇÃO'!$E$1044),"",'CONFIGURAÇÃO'!$E$1044&amp;"")</f>
        <v/>
      </c>
      <c r="C6897" s="194">
        <f>"'CONFIGURAÇÃO'!E1044"</f>
        <v/>
      </c>
      <c r="D6897" s="194" t="inlineStr">
        <is>
          <t>configuração</t>
        </is>
      </c>
    </row>
    <row r="6898">
      <c r="A6898" s="194" t="inlineStr">
        <is>
          <t>custom.melhoria.3.exige_tr</t>
        </is>
      </c>
      <c r="B6898" s="194">
        <f>IF(ISBLANK('CONFIGURAÇÃO'!$E$1045),"",'CONFIGURAÇÃO'!$E$1045&amp;"")</f>
        <v/>
      </c>
      <c r="C6898" s="194">
        <f>"'CONFIGURAÇÃO'!E1045"</f>
        <v/>
      </c>
      <c r="D6898" s="194" t="inlineStr">
        <is>
          <t>configuração</t>
        </is>
      </c>
    </row>
    <row r="6899">
      <c r="A6899" s="194" t="inlineStr">
        <is>
          <t>custom.melhoria.3.requisitos</t>
        </is>
      </c>
      <c r="B6899" s="194">
        <f>IF(ISBLANK('CONFIGURAÇÃO'!$B$1048),"",'CONFIGURAÇÃO'!$B$1048&amp;"")</f>
        <v/>
      </c>
      <c r="C6899" s="194">
        <f>"'CONFIGURAÇÃO'!B1048"</f>
        <v/>
      </c>
      <c r="D6899" s="194" t="inlineStr">
        <is>
          <t>configuração</t>
        </is>
      </c>
    </row>
    <row r="6900">
      <c r="A6900" s="194" t="inlineStr">
        <is>
          <t>custom.melhoria.3.efeito</t>
        </is>
      </c>
      <c r="B6900" s="194">
        <f>IF(ISBLANK('CONFIGURAÇÃO'!$B$1054),"",'CONFIGURAÇÃO'!$B$1054&amp;"")</f>
        <v/>
      </c>
      <c r="C6900" s="194">
        <f>"'CONFIGURAÇÃO'!B1054"</f>
        <v/>
      </c>
      <c r="D6900" s="194" t="inlineStr">
        <is>
          <t>configuração</t>
        </is>
      </c>
    </row>
    <row r="6901">
      <c r="A6901" s="194" t="inlineStr">
        <is>
          <t>custom.melhoria.3.mestre_viu</t>
        </is>
      </c>
      <c r="B6901" s="194">
        <f>N('CONFIGURAÇÃO'!$F$1039)&amp;""</f>
        <v/>
      </c>
      <c r="C6901" s="194">
        <f>"'CONFIGURAÇÃO'!F1039"</f>
        <v/>
      </c>
      <c r="D6901" s="194" t="inlineStr">
        <is>
          <t>configuração</t>
        </is>
      </c>
    </row>
    <row r="6902">
      <c r="A6902" s="194" t="inlineStr">
        <is>
          <t>custom.melhoria.4.nome</t>
        </is>
      </c>
      <c r="B6902" s="194">
        <f>IF(ISBLANK('CONFIGURAÇÃO'!$J$1041),"",'CONFIGURAÇÃO'!$J$1041&amp;"")</f>
        <v/>
      </c>
      <c r="C6902" s="194">
        <f>"'CONFIGURAÇÃO'!J1041"</f>
        <v/>
      </c>
      <c r="D6902" s="194" t="inlineStr">
        <is>
          <t>configuração</t>
        </is>
      </c>
    </row>
    <row r="6903">
      <c r="A6903" s="194" t="inlineStr">
        <is>
          <t>custom.melhoria.4.base</t>
        </is>
      </c>
      <c r="B6903" s="194">
        <f>IF(ISBLANK('CONFIGURAÇÃO'!$M$1042),"",'CONFIGURAÇÃO'!$M$1042&amp;"")</f>
        <v/>
      </c>
      <c r="C6903" s="194">
        <f>"'CONFIGURAÇÃO'!M1042"</f>
        <v/>
      </c>
      <c r="D6903" s="194" t="inlineStr">
        <is>
          <t>configuração</t>
        </is>
      </c>
    </row>
    <row r="6904">
      <c r="A6904" s="194" t="inlineStr">
        <is>
          <t>custom.melhoria.4.familia</t>
        </is>
      </c>
      <c r="B6904" s="194">
        <f>IF(ISBLANK('CONFIGURAÇÃO'!$M$1043),"",'CONFIGURAÇÃO'!$M$1043&amp;"")</f>
        <v/>
      </c>
      <c r="C6904" s="194">
        <f>"'CONFIGURAÇÃO'!M1043"</f>
        <v/>
      </c>
      <c r="D6904" s="194" t="inlineStr">
        <is>
          <t>configuração</t>
        </is>
      </c>
    </row>
    <row r="6905">
      <c r="A6905" s="194" t="inlineStr">
        <is>
          <t>custom.melhoria.4.peso</t>
        </is>
      </c>
      <c r="B6905" s="194">
        <f>IF(ISBLANK('CONFIGURAÇÃO'!$M$1044),"",'CONFIGURAÇÃO'!$M$1044&amp;"")</f>
        <v/>
      </c>
      <c r="C6905" s="194">
        <f>"'CONFIGURAÇÃO'!M1044"</f>
        <v/>
      </c>
      <c r="D6905" s="194" t="inlineStr">
        <is>
          <t>configuração</t>
        </is>
      </c>
    </row>
    <row r="6906">
      <c r="A6906" s="194" t="inlineStr">
        <is>
          <t>custom.melhoria.4.exige_tr</t>
        </is>
      </c>
      <c r="B6906" s="194">
        <f>IF(ISBLANK('CONFIGURAÇÃO'!$M$1045),"",'CONFIGURAÇÃO'!$M$1045&amp;"")</f>
        <v/>
      </c>
      <c r="C6906" s="194">
        <f>"'CONFIGURAÇÃO'!M1045"</f>
        <v/>
      </c>
      <c r="D6906" s="194" t="inlineStr">
        <is>
          <t>configuração</t>
        </is>
      </c>
    </row>
    <row r="6907">
      <c r="A6907" s="194" t="inlineStr">
        <is>
          <t>custom.melhoria.4.requisitos</t>
        </is>
      </c>
      <c r="B6907" s="194">
        <f>IF(ISBLANK('CONFIGURAÇÃO'!$J$1048),"",'CONFIGURAÇÃO'!$J$1048&amp;"")</f>
        <v/>
      </c>
      <c r="C6907" s="194">
        <f>"'CONFIGURAÇÃO'!J1048"</f>
        <v/>
      </c>
      <c r="D6907" s="194" t="inlineStr">
        <is>
          <t>configuração</t>
        </is>
      </c>
    </row>
    <row r="6908">
      <c r="A6908" s="194" t="inlineStr">
        <is>
          <t>custom.melhoria.4.efeito</t>
        </is>
      </c>
      <c r="B6908" s="194">
        <f>IF(ISBLANK('CONFIGURAÇÃO'!$J$1054),"",'CONFIGURAÇÃO'!$J$1054&amp;"")</f>
        <v/>
      </c>
      <c r="C6908" s="194">
        <f>"'CONFIGURAÇÃO'!J1054"</f>
        <v/>
      </c>
      <c r="D6908" s="194" t="inlineStr">
        <is>
          <t>configuração</t>
        </is>
      </c>
    </row>
    <row r="6909">
      <c r="A6909" s="194" t="inlineStr">
        <is>
          <t>custom.melhoria.4.mestre_viu</t>
        </is>
      </c>
      <c r="B6909" s="194">
        <f>N('CONFIGURAÇÃO'!$N$1039)&amp;""</f>
        <v/>
      </c>
      <c r="C6909" s="194">
        <f>"'CONFIGURAÇÃO'!N1039"</f>
        <v/>
      </c>
      <c r="D6909" s="194" t="inlineStr">
        <is>
          <t>configuração</t>
        </is>
      </c>
    </row>
    <row r="6910">
      <c r="A6910" s="194" t="inlineStr">
        <is>
          <t>custom.melhoria.5.nome</t>
        </is>
      </c>
      <c r="B6910" s="194">
        <f>IF(ISBLANK('CONFIGURAÇÃO'!$B$1067),"",'CONFIGURAÇÃO'!$B$1067&amp;"")</f>
        <v/>
      </c>
      <c r="C6910" s="194">
        <f>"'CONFIGURAÇÃO'!B1067"</f>
        <v/>
      </c>
      <c r="D6910" s="194" t="inlineStr">
        <is>
          <t>configuração</t>
        </is>
      </c>
    </row>
    <row r="6911">
      <c r="A6911" s="194" t="inlineStr">
        <is>
          <t>custom.melhoria.5.base</t>
        </is>
      </c>
      <c r="B6911" s="194">
        <f>IF(ISBLANK('CONFIGURAÇÃO'!$E$1068),"",'CONFIGURAÇÃO'!$E$1068&amp;"")</f>
        <v/>
      </c>
      <c r="C6911" s="194">
        <f>"'CONFIGURAÇÃO'!E1068"</f>
        <v/>
      </c>
      <c r="D6911" s="194" t="inlineStr">
        <is>
          <t>configuração</t>
        </is>
      </c>
    </row>
    <row r="6912">
      <c r="A6912" s="194" t="inlineStr">
        <is>
          <t>custom.melhoria.5.familia</t>
        </is>
      </c>
      <c r="B6912" s="194">
        <f>IF(ISBLANK('CONFIGURAÇÃO'!$E$1069),"",'CONFIGURAÇÃO'!$E$1069&amp;"")</f>
        <v/>
      </c>
      <c r="C6912" s="194">
        <f>"'CONFIGURAÇÃO'!E1069"</f>
        <v/>
      </c>
      <c r="D6912" s="194" t="inlineStr">
        <is>
          <t>configuração</t>
        </is>
      </c>
    </row>
    <row r="6913">
      <c r="A6913" s="194" t="inlineStr">
        <is>
          <t>custom.melhoria.5.peso</t>
        </is>
      </c>
      <c r="B6913" s="194">
        <f>IF(ISBLANK('CONFIGURAÇÃO'!$E$1070),"",'CONFIGURAÇÃO'!$E$1070&amp;"")</f>
        <v/>
      </c>
      <c r="C6913" s="194">
        <f>"'CONFIGURAÇÃO'!E1070"</f>
        <v/>
      </c>
      <c r="D6913" s="194" t="inlineStr">
        <is>
          <t>configuração</t>
        </is>
      </c>
    </row>
    <row r="6914">
      <c r="A6914" s="194" t="inlineStr">
        <is>
          <t>custom.melhoria.5.exige_tr</t>
        </is>
      </c>
      <c r="B6914" s="194">
        <f>IF(ISBLANK('CONFIGURAÇÃO'!$E$1071),"",'CONFIGURAÇÃO'!$E$1071&amp;"")</f>
        <v/>
      </c>
      <c r="C6914" s="194">
        <f>"'CONFIGURAÇÃO'!E1071"</f>
        <v/>
      </c>
      <c r="D6914" s="194" t="inlineStr">
        <is>
          <t>configuração</t>
        </is>
      </c>
    </row>
    <row r="6915">
      <c r="A6915" s="194" t="inlineStr">
        <is>
          <t>custom.melhoria.5.requisitos</t>
        </is>
      </c>
      <c r="B6915" s="194">
        <f>IF(ISBLANK('CONFIGURAÇÃO'!$B$1074),"",'CONFIGURAÇÃO'!$B$1074&amp;"")</f>
        <v/>
      </c>
      <c r="C6915" s="194">
        <f>"'CONFIGURAÇÃO'!B1074"</f>
        <v/>
      </c>
      <c r="D6915" s="194" t="inlineStr">
        <is>
          <t>configuração</t>
        </is>
      </c>
    </row>
    <row r="6916">
      <c r="A6916" s="194" t="inlineStr">
        <is>
          <t>custom.melhoria.5.efeito</t>
        </is>
      </c>
      <c r="B6916" s="194">
        <f>IF(ISBLANK('CONFIGURAÇÃO'!$B$1080),"",'CONFIGURAÇÃO'!$B$1080&amp;"")</f>
        <v/>
      </c>
      <c r="C6916" s="194">
        <f>"'CONFIGURAÇÃO'!B1080"</f>
        <v/>
      </c>
      <c r="D6916" s="194" t="inlineStr">
        <is>
          <t>configuração</t>
        </is>
      </c>
    </row>
    <row r="6917">
      <c r="A6917" s="194" t="inlineStr">
        <is>
          <t>custom.melhoria.5.mestre_viu</t>
        </is>
      </c>
      <c r="B6917" s="194">
        <f>N('CONFIGURAÇÃO'!$F$1065)&amp;""</f>
        <v/>
      </c>
      <c r="C6917" s="194">
        <f>"'CONFIGURAÇÃO'!F1065"</f>
        <v/>
      </c>
      <c r="D6917" s="194" t="inlineStr">
        <is>
          <t>configuração</t>
        </is>
      </c>
    </row>
    <row r="6918">
      <c r="A6918" s="194" t="inlineStr">
        <is>
          <t>custom.melhoria.6.nome</t>
        </is>
      </c>
      <c r="B6918" s="194">
        <f>IF(ISBLANK('CONFIGURAÇÃO'!$J$1067),"",'CONFIGURAÇÃO'!$J$1067&amp;"")</f>
        <v/>
      </c>
      <c r="C6918" s="194">
        <f>"'CONFIGURAÇÃO'!J1067"</f>
        <v/>
      </c>
      <c r="D6918" s="194" t="inlineStr">
        <is>
          <t>configuração</t>
        </is>
      </c>
    </row>
    <row r="6919">
      <c r="A6919" s="194" t="inlineStr">
        <is>
          <t>custom.melhoria.6.base</t>
        </is>
      </c>
      <c r="B6919" s="194">
        <f>IF(ISBLANK('CONFIGURAÇÃO'!$M$1068),"",'CONFIGURAÇÃO'!$M$1068&amp;"")</f>
        <v/>
      </c>
      <c r="C6919" s="194">
        <f>"'CONFIGURAÇÃO'!M1068"</f>
        <v/>
      </c>
      <c r="D6919" s="194" t="inlineStr">
        <is>
          <t>configuração</t>
        </is>
      </c>
    </row>
    <row r="6920">
      <c r="A6920" s="194" t="inlineStr">
        <is>
          <t>custom.melhoria.6.familia</t>
        </is>
      </c>
      <c r="B6920" s="194">
        <f>IF(ISBLANK('CONFIGURAÇÃO'!$M$1069),"",'CONFIGURAÇÃO'!$M$1069&amp;"")</f>
        <v/>
      </c>
      <c r="C6920" s="194">
        <f>"'CONFIGURAÇÃO'!M1069"</f>
        <v/>
      </c>
      <c r="D6920" s="194" t="inlineStr">
        <is>
          <t>configuração</t>
        </is>
      </c>
    </row>
    <row r="6921">
      <c r="A6921" s="194" t="inlineStr">
        <is>
          <t>custom.melhoria.6.peso</t>
        </is>
      </c>
      <c r="B6921" s="194">
        <f>IF(ISBLANK('CONFIGURAÇÃO'!$M$1070),"",'CONFIGURAÇÃO'!$M$1070&amp;"")</f>
        <v/>
      </c>
      <c r="C6921" s="194">
        <f>"'CONFIGURAÇÃO'!M1070"</f>
        <v/>
      </c>
      <c r="D6921" s="194" t="inlineStr">
        <is>
          <t>configuração</t>
        </is>
      </c>
    </row>
    <row r="6922">
      <c r="A6922" s="194" t="inlineStr">
        <is>
          <t>custom.melhoria.6.exige_tr</t>
        </is>
      </c>
      <c r="B6922" s="194">
        <f>IF(ISBLANK('CONFIGURAÇÃO'!$M$1071),"",'CONFIGURAÇÃO'!$M$1071&amp;"")</f>
        <v/>
      </c>
      <c r="C6922" s="194">
        <f>"'CONFIGURAÇÃO'!M1071"</f>
        <v/>
      </c>
      <c r="D6922" s="194" t="inlineStr">
        <is>
          <t>configuração</t>
        </is>
      </c>
    </row>
    <row r="6923">
      <c r="A6923" s="194" t="inlineStr">
        <is>
          <t>custom.melhoria.6.requisitos</t>
        </is>
      </c>
      <c r="B6923" s="194">
        <f>IF(ISBLANK('CONFIGURAÇÃO'!$J$1074),"",'CONFIGURAÇÃO'!$J$1074&amp;"")</f>
        <v/>
      </c>
      <c r="C6923" s="194">
        <f>"'CONFIGURAÇÃO'!J1074"</f>
        <v/>
      </c>
      <c r="D6923" s="194" t="inlineStr">
        <is>
          <t>configuração</t>
        </is>
      </c>
    </row>
    <row r="6924">
      <c r="A6924" s="194" t="inlineStr">
        <is>
          <t>custom.melhoria.6.efeito</t>
        </is>
      </c>
      <c r="B6924" s="194">
        <f>IF(ISBLANK('CONFIGURAÇÃO'!$J$1080),"",'CONFIGURAÇÃO'!$J$1080&amp;"")</f>
        <v/>
      </c>
      <c r="C6924" s="194">
        <f>"'CONFIGURAÇÃO'!J1080"</f>
        <v/>
      </c>
      <c r="D6924" s="194" t="inlineStr">
        <is>
          <t>configuração</t>
        </is>
      </c>
    </row>
    <row r="6925">
      <c r="A6925" s="194" t="inlineStr">
        <is>
          <t>custom.melhoria.6.mestre_viu</t>
        </is>
      </c>
      <c r="B6925" s="194">
        <f>N('CONFIGURAÇÃO'!$N$1065)&amp;""</f>
        <v/>
      </c>
      <c r="C6925" s="194">
        <f>"'CONFIGURAÇÃO'!N1065"</f>
        <v/>
      </c>
      <c r="D6925" s="194" t="inlineStr">
        <is>
          <t>configuração</t>
        </is>
      </c>
    </row>
    <row r="6926">
      <c r="A6926" s="194" t="inlineStr">
        <is>
          <t>custom.melhoria.7.nome</t>
        </is>
      </c>
      <c r="B6926" s="194">
        <f>IF(ISBLANK('CONFIGURAÇÃO'!$B$1093),"",'CONFIGURAÇÃO'!$B$1093&amp;"")</f>
        <v/>
      </c>
      <c r="C6926" s="194">
        <f>"'CONFIGURAÇÃO'!B1093"</f>
        <v/>
      </c>
      <c r="D6926" s="194" t="inlineStr">
        <is>
          <t>configuração</t>
        </is>
      </c>
    </row>
    <row r="6927">
      <c r="A6927" s="194" t="inlineStr">
        <is>
          <t>custom.melhoria.7.base</t>
        </is>
      </c>
      <c r="B6927" s="194">
        <f>IF(ISBLANK('CONFIGURAÇÃO'!$E$1094),"",'CONFIGURAÇÃO'!$E$1094&amp;"")</f>
        <v/>
      </c>
      <c r="C6927" s="194">
        <f>"'CONFIGURAÇÃO'!E1094"</f>
        <v/>
      </c>
      <c r="D6927" s="194" t="inlineStr">
        <is>
          <t>configuração</t>
        </is>
      </c>
    </row>
    <row r="6928">
      <c r="A6928" s="194" t="inlineStr">
        <is>
          <t>custom.melhoria.7.familia</t>
        </is>
      </c>
      <c r="B6928" s="194">
        <f>IF(ISBLANK('CONFIGURAÇÃO'!$E$1095),"",'CONFIGURAÇÃO'!$E$1095&amp;"")</f>
        <v/>
      </c>
      <c r="C6928" s="194">
        <f>"'CONFIGURAÇÃO'!E1095"</f>
        <v/>
      </c>
      <c r="D6928" s="194" t="inlineStr">
        <is>
          <t>configuração</t>
        </is>
      </c>
    </row>
    <row r="6929">
      <c r="A6929" s="194" t="inlineStr">
        <is>
          <t>custom.melhoria.7.peso</t>
        </is>
      </c>
      <c r="B6929" s="194">
        <f>IF(ISBLANK('CONFIGURAÇÃO'!$E$1096),"",'CONFIGURAÇÃO'!$E$1096&amp;"")</f>
        <v/>
      </c>
      <c r="C6929" s="194">
        <f>"'CONFIGURAÇÃO'!E1096"</f>
        <v/>
      </c>
      <c r="D6929" s="194" t="inlineStr">
        <is>
          <t>configuração</t>
        </is>
      </c>
    </row>
    <row r="6930">
      <c r="A6930" s="194" t="inlineStr">
        <is>
          <t>custom.melhoria.7.exige_tr</t>
        </is>
      </c>
      <c r="B6930" s="194">
        <f>IF(ISBLANK('CONFIGURAÇÃO'!$E$1097),"",'CONFIGURAÇÃO'!$E$1097&amp;"")</f>
        <v/>
      </c>
      <c r="C6930" s="194">
        <f>"'CONFIGURAÇÃO'!E1097"</f>
        <v/>
      </c>
      <c r="D6930" s="194" t="inlineStr">
        <is>
          <t>configuração</t>
        </is>
      </c>
    </row>
    <row r="6931">
      <c r="A6931" s="194" t="inlineStr">
        <is>
          <t>custom.melhoria.7.requisitos</t>
        </is>
      </c>
      <c r="B6931" s="194">
        <f>IF(ISBLANK('CONFIGURAÇÃO'!$B$1100),"",'CONFIGURAÇÃO'!$B$1100&amp;"")</f>
        <v/>
      </c>
      <c r="C6931" s="194">
        <f>"'CONFIGURAÇÃO'!B1100"</f>
        <v/>
      </c>
      <c r="D6931" s="194" t="inlineStr">
        <is>
          <t>configuração</t>
        </is>
      </c>
    </row>
    <row r="6932">
      <c r="A6932" s="194" t="inlineStr">
        <is>
          <t>custom.melhoria.7.efeito</t>
        </is>
      </c>
      <c r="B6932" s="194">
        <f>IF(ISBLANK('CONFIGURAÇÃO'!$B$1106),"",'CONFIGURAÇÃO'!$B$1106&amp;"")</f>
        <v/>
      </c>
      <c r="C6932" s="194">
        <f>"'CONFIGURAÇÃO'!B1106"</f>
        <v/>
      </c>
      <c r="D6932" s="194" t="inlineStr">
        <is>
          <t>configuração</t>
        </is>
      </c>
    </row>
    <row r="6933">
      <c r="A6933" s="194" t="inlineStr">
        <is>
          <t>custom.melhoria.7.mestre_viu</t>
        </is>
      </c>
      <c r="B6933" s="194">
        <f>N('CONFIGURAÇÃO'!$F$1091)&amp;""</f>
        <v/>
      </c>
      <c r="C6933" s="194">
        <f>"'CONFIGURAÇÃO'!F1091"</f>
        <v/>
      </c>
      <c r="D6933" s="194" t="inlineStr">
        <is>
          <t>configuração</t>
        </is>
      </c>
    </row>
    <row r="6934">
      <c r="A6934" s="194" t="inlineStr">
        <is>
          <t>custom.melhoria.8.nome</t>
        </is>
      </c>
      <c r="B6934" s="194">
        <f>IF(ISBLANK('CONFIGURAÇÃO'!$J$1093),"",'CONFIGURAÇÃO'!$J$1093&amp;"")</f>
        <v/>
      </c>
      <c r="C6934" s="194">
        <f>"'CONFIGURAÇÃO'!J1093"</f>
        <v/>
      </c>
      <c r="D6934" s="194" t="inlineStr">
        <is>
          <t>configuração</t>
        </is>
      </c>
    </row>
    <row r="6935">
      <c r="A6935" s="194" t="inlineStr">
        <is>
          <t>custom.melhoria.8.base</t>
        </is>
      </c>
      <c r="B6935" s="194">
        <f>IF(ISBLANK('CONFIGURAÇÃO'!$M$1094),"",'CONFIGURAÇÃO'!$M$1094&amp;"")</f>
        <v/>
      </c>
      <c r="C6935" s="194">
        <f>"'CONFIGURAÇÃO'!M1094"</f>
        <v/>
      </c>
      <c r="D6935" s="194" t="inlineStr">
        <is>
          <t>configuração</t>
        </is>
      </c>
    </row>
    <row r="6936">
      <c r="A6936" s="194" t="inlineStr">
        <is>
          <t>custom.melhoria.8.familia</t>
        </is>
      </c>
      <c r="B6936" s="194">
        <f>IF(ISBLANK('CONFIGURAÇÃO'!$M$1095),"",'CONFIGURAÇÃO'!$M$1095&amp;"")</f>
        <v/>
      </c>
      <c r="C6936" s="194">
        <f>"'CONFIGURAÇÃO'!M1095"</f>
        <v/>
      </c>
      <c r="D6936" s="194" t="inlineStr">
        <is>
          <t>configuração</t>
        </is>
      </c>
    </row>
    <row r="6937">
      <c r="A6937" s="194" t="inlineStr">
        <is>
          <t>custom.melhoria.8.peso</t>
        </is>
      </c>
      <c r="B6937" s="194">
        <f>IF(ISBLANK('CONFIGURAÇÃO'!$M$1096),"",'CONFIGURAÇÃO'!$M$1096&amp;"")</f>
        <v/>
      </c>
      <c r="C6937" s="194">
        <f>"'CONFIGURAÇÃO'!M1096"</f>
        <v/>
      </c>
      <c r="D6937" s="194" t="inlineStr">
        <is>
          <t>configuração</t>
        </is>
      </c>
    </row>
    <row r="6938">
      <c r="A6938" s="194" t="inlineStr">
        <is>
          <t>custom.melhoria.8.exige_tr</t>
        </is>
      </c>
      <c r="B6938" s="194">
        <f>IF(ISBLANK('CONFIGURAÇÃO'!$M$1097),"",'CONFIGURAÇÃO'!$M$1097&amp;"")</f>
        <v/>
      </c>
      <c r="C6938" s="194">
        <f>"'CONFIGURAÇÃO'!M1097"</f>
        <v/>
      </c>
      <c r="D6938" s="194" t="inlineStr">
        <is>
          <t>configuração</t>
        </is>
      </c>
    </row>
    <row r="6939">
      <c r="A6939" s="194" t="inlineStr">
        <is>
          <t>custom.melhoria.8.requisitos</t>
        </is>
      </c>
      <c r="B6939" s="194">
        <f>IF(ISBLANK('CONFIGURAÇÃO'!$J$1100),"",'CONFIGURAÇÃO'!$J$1100&amp;"")</f>
        <v/>
      </c>
      <c r="C6939" s="194">
        <f>"'CONFIGURAÇÃO'!J1100"</f>
        <v/>
      </c>
      <c r="D6939" s="194" t="inlineStr">
        <is>
          <t>configuração</t>
        </is>
      </c>
    </row>
    <row r="6940">
      <c r="A6940" s="194" t="inlineStr">
        <is>
          <t>custom.melhoria.8.efeito</t>
        </is>
      </c>
      <c r="B6940" s="194">
        <f>IF(ISBLANK('CONFIGURAÇÃO'!$J$1106),"",'CONFIGURAÇÃO'!$J$1106&amp;"")</f>
        <v/>
      </c>
      <c r="C6940" s="194">
        <f>"'CONFIGURAÇÃO'!J1106"</f>
        <v/>
      </c>
      <c r="D6940" s="194" t="inlineStr">
        <is>
          <t>configuração</t>
        </is>
      </c>
    </row>
    <row r="6941">
      <c r="A6941" s="194" t="inlineStr">
        <is>
          <t>custom.melhoria.8.mestre_viu</t>
        </is>
      </c>
      <c r="B6941" s="194">
        <f>N('CONFIGURAÇÃO'!$N$1091)&amp;""</f>
        <v/>
      </c>
      <c r="C6941" s="194">
        <f>"'CONFIGURAÇÃO'!N1091"</f>
        <v/>
      </c>
      <c r="D6941" s="194" t="inlineStr">
        <is>
          <t>configuração</t>
        </is>
      </c>
    </row>
    <row r="6942">
      <c r="A6942" s="194" t="inlineStr">
        <is>
          <t>custom.melhoria.9.nome</t>
        </is>
      </c>
      <c r="B6942" s="194">
        <f>IF(ISBLANK('CONFIGURAÇÃO'!$B$1119),"",'CONFIGURAÇÃO'!$B$1119&amp;"")</f>
        <v/>
      </c>
      <c r="C6942" s="194">
        <f>"'CONFIGURAÇÃO'!B1119"</f>
        <v/>
      </c>
      <c r="D6942" s="194" t="inlineStr">
        <is>
          <t>configuração</t>
        </is>
      </c>
    </row>
    <row r="6943">
      <c r="A6943" s="194" t="inlineStr">
        <is>
          <t>custom.melhoria.9.base</t>
        </is>
      </c>
      <c r="B6943" s="194">
        <f>IF(ISBLANK('CONFIGURAÇÃO'!$E$1120),"",'CONFIGURAÇÃO'!$E$1120&amp;"")</f>
        <v/>
      </c>
      <c r="C6943" s="194">
        <f>"'CONFIGURAÇÃO'!E1120"</f>
        <v/>
      </c>
      <c r="D6943" s="194" t="inlineStr">
        <is>
          <t>configuração</t>
        </is>
      </c>
    </row>
    <row r="6944">
      <c r="A6944" s="194" t="inlineStr">
        <is>
          <t>custom.melhoria.9.familia</t>
        </is>
      </c>
      <c r="B6944" s="194">
        <f>IF(ISBLANK('CONFIGURAÇÃO'!$E$1121),"",'CONFIGURAÇÃO'!$E$1121&amp;"")</f>
        <v/>
      </c>
      <c r="C6944" s="194">
        <f>"'CONFIGURAÇÃO'!E1121"</f>
        <v/>
      </c>
      <c r="D6944" s="194" t="inlineStr">
        <is>
          <t>configuração</t>
        </is>
      </c>
    </row>
    <row r="6945">
      <c r="A6945" s="194" t="inlineStr">
        <is>
          <t>custom.melhoria.9.peso</t>
        </is>
      </c>
      <c r="B6945" s="194">
        <f>IF(ISBLANK('CONFIGURAÇÃO'!$E$1122),"",'CONFIGURAÇÃO'!$E$1122&amp;"")</f>
        <v/>
      </c>
      <c r="C6945" s="194">
        <f>"'CONFIGURAÇÃO'!E1122"</f>
        <v/>
      </c>
      <c r="D6945" s="194" t="inlineStr">
        <is>
          <t>configuração</t>
        </is>
      </c>
    </row>
    <row r="6946">
      <c r="A6946" s="194" t="inlineStr">
        <is>
          <t>custom.melhoria.9.exige_tr</t>
        </is>
      </c>
      <c r="B6946" s="194">
        <f>IF(ISBLANK('CONFIGURAÇÃO'!$E$1123),"",'CONFIGURAÇÃO'!$E$1123&amp;"")</f>
        <v/>
      </c>
      <c r="C6946" s="194">
        <f>"'CONFIGURAÇÃO'!E1123"</f>
        <v/>
      </c>
      <c r="D6946" s="194" t="inlineStr">
        <is>
          <t>configuração</t>
        </is>
      </c>
    </row>
    <row r="6947">
      <c r="A6947" s="194" t="inlineStr">
        <is>
          <t>custom.melhoria.9.requisitos</t>
        </is>
      </c>
      <c r="B6947" s="194">
        <f>IF(ISBLANK('CONFIGURAÇÃO'!$B$1126),"",'CONFIGURAÇÃO'!$B$1126&amp;"")</f>
        <v/>
      </c>
      <c r="C6947" s="194">
        <f>"'CONFIGURAÇÃO'!B1126"</f>
        <v/>
      </c>
      <c r="D6947" s="194" t="inlineStr">
        <is>
          <t>configuração</t>
        </is>
      </c>
    </row>
    <row r="6948">
      <c r="A6948" s="194" t="inlineStr">
        <is>
          <t>custom.melhoria.9.efeito</t>
        </is>
      </c>
      <c r="B6948" s="194">
        <f>IF(ISBLANK('CONFIGURAÇÃO'!$B$1132),"",'CONFIGURAÇÃO'!$B$1132&amp;"")</f>
        <v/>
      </c>
      <c r="C6948" s="194">
        <f>"'CONFIGURAÇÃO'!B1132"</f>
        <v/>
      </c>
      <c r="D6948" s="194" t="inlineStr">
        <is>
          <t>configuração</t>
        </is>
      </c>
    </row>
    <row r="6949">
      <c r="A6949" s="194" t="inlineStr">
        <is>
          <t>custom.melhoria.9.mestre_viu</t>
        </is>
      </c>
      <c r="B6949" s="194">
        <f>N('CONFIGURAÇÃO'!$F$1117)&amp;""</f>
        <v/>
      </c>
      <c r="C6949" s="194">
        <f>"'CONFIGURAÇÃO'!F1117"</f>
        <v/>
      </c>
      <c r="D6949" s="194" t="inlineStr">
        <is>
          <t>configuração</t>
        </is>
      </c>
    </row>
    <row r="6950">
      <c r="A6950" s="194" t="inlineStr">
        <is>
          <t>custom.melhoria.10.nome</t>
        </is>
      </c>
      <c r="B6950" s="194">
        <f>IF(ISBLANK('CONFIGURAÇÃO'!$J$1119),"",'CONFIGURAÇÃO'!$J$1119&amp;"")</f>
        <v/>
      </c>
      <c r="C6950" s="194">
        <f>"'CONFIGURAÇÃO'!J1119"</f>
        <v/>
      </c>
      <c r="D6950" s="194" t="inlineStr">
        <is>
          <t>configuração</t>
        </is>
      </c>
    </row>
    <row r="6951">
      <c r="A6951" s="194" t="inlineStr">
        <is>
          <t>custom.melhoria.10.base</t>
        </is>
      </c>
      <c r="B6951" s="194">
        <f>IF(ISBLANK('CONFIGURAÇÃO'!$M$1120),"",'CONFIGURAÇÃO'!$M$1120&amp;"")</f>
        <v/>
      </c>
      <c r="C6951" s="194">
        <f>"'CONFIGURAÇÃO'!M1120"</f>
        <v/>
      </c>
      <c r="D6951" s="194" t="inlineStr">
        <is>
          <t>configuração</t>
        </is>
      </c>
    </row>
    <row r="6952">
      <c r="A6952" s="194" t="inlineStr">
        <is>
          <t>custom.melhoria.10.familia</t>
        </is>
      </c>
      <c r="B6952" s="194">
        <f>IF(ISBLANK('CONFIGURAÇÃO'!$M$1121),"",'CONFIGURAÇÃO'!$M$1121&amp;"")</f>
        <v/>
      </c>
      <c r="C6952" s="194">
        <f>"'CONFIGURAÇÃO'!M1121"</f>
        <v/>
      </c>
      <c r="D6952" s="194" t="inlineStr">
        <is>
          <t>configuração</t>
        </is>
      </c>
    </row>
    <row r="6953">
      <c r="A6953" s="194" t="inlineStr">
        <is>
          <t>custom.melhoria.10.peso</t>
        </is>
      </c>
      <c r="B6953" s="194">
        <f>IF(ISBLANK('CONFIGURAÇÃO'!$M$1122),"",'CONFIGURAÇÃO'!$M$1122&amp;"")</f>
        <v/>
      </c>
      <c r="C6953" s="194">
        <f>"'CONFIGURAÇÃO'!M1122"</f>
        <v/>
      </c>
      <c r="D6953" s="194" t="inlineStr">
        <is>
          <t>configuração</t>
        </is>
      </c>
    </row>
    <row r="6954">
      <c r="A6954" s="194" t="inlineStr">
        <is>
          <t>custom.melhoria.10.exige_tr</t>
        </is>
      </c>
      <c r="B6954" s="194">
        <f>IF(ISBLANK('CONFIGURAÇÃO'!$M$1123),"",'CONFIGURAÇÃO'!$M$1123&amp;"")</f>
        <v/>
      </c>
      <c r="C6954" s="194">
        <f>"'CONFIGURAÇÃO'!M1123"</f>
        <v/>
      </c>
      <c r="D6954" s="194" t="inlineStr">
        <is>
          <t>configuração</t>
        </is>
      </c>
    </row>
    <row r="6955">
      <c r="A6955" s="194" t="inlineStr">
        <is>
          <t>custom.melhoria.10.requisitos</t>
        </is>
      </c>
      <c r="B6955" s="194">
        <f>IF(ISBLANK('CONFIGURAÇÃO'!$J$1126),"",'CONFIGURAÇÃO'!$J$1126&amp;"")</f>
        <v/>
      </c>
      <c r="C6955" s="194">
        <f>"'CONFIGURAÇÃO'!J1126"</f>
        <v/>
      </c>
      <c r="D6955" s="194" t="inlineStr">
        <is>
          <t>configuração</t>
        </is>
      </c>
    </row>
    <row r="6956">
      <c r="A6956" s="194" t="inlineStr">
        <is>
          <t>custom.melhoria.10.efeito</t>
        </is>
      </c>
      <c r="B6956" s="194">
        <f>IF(ISBLANK('CONFIGURAÇÃO'!$J$1132),"",'CONFIGURAÇÃO'!$J$1132&amp;"")</f>
        <v/>
      </c>
      <c r="C6956" s="194">
        <f>"'CONFIGURAÇÃO'!J1132"</f>
        <v/>
      </c>
      <c r="D6956" s="194" t="inlineStr">
        <is>
          <t>configuração</t>
        </is>
      </c>
    </row>
    <row r="6957">
      <c r="A6957" s="194" t="inlineStr">
        <is>
          <t>custom.melhoria.10.mestre_viu</t>
        </is>
      </c>
      <c r="B6957" s="194">
        <f>N('CONFIGURAÇÃO'!$N$1117)&amp;""</f>
        <v/>
      </c>
      <c r="C6957" s="194">
        <f>"'CONFIGURAÇÃO'!N1117"</f>
        <v/>
      </c>
      <c r="D6957" s="194" t="inlineStr">
        <is>
          <t>configuração</t>
        </is>
      </c>
    </row>
    <row r="6958">
      <c r="A6958" s="194" t="inlineStr">
        <is>
          <t>custom.melhoria.11.nome</t>
        </is>
      </c>
      <c r="B6958" s="194">
        <f>IF(ISBLANK('CONFIGURAÇÃO'!$B$1145),"",'CONFIGURAÇÃO'!$B$1145&amp;"")</f>
        <v/>
      </c>
      <c r="C6958" s="194">
        <f>"'CONFIGURAÇÃO'!B1145"</f>
        <v/>
      </c>
      <c r="D6958" s="194" t="inlineStr">
        <is>
          <t>configuração</t>
        </is>
      </c>
    </row>
    <row r="6959">
      <c r="A6959" s="194" t="inlineStr">
        <is>
          <t>custom.melhoria.11.base</t>
        </is>
      </c>
      <c r="B6959" s="194">
        <f>IF(ISBLANK('CONFIGURAÇÃO'!$E$1146),"",'CONFIGURAÇÃO'!$E$1146&amp;"")</f>
        <v/>
      </c>
      <c r="C6959" s="194">
        <f>"'CONFIGURAÇÃO'!E1146"</f>
        <v/>
      </c>
      <c r="D6959" s="194" t="inlineStr">
        <is>
          <t>configuração</t>
        </is>
      </c>
    </row>
    <row r="6960">
      <c r="A6960" s="194" t="inlineStr">
        <is>
          <t>custom.melhoria.11.familia</t>
        </is>
      </c>
      <c r="B6960" s="194">
        <f>IF(ISBLANK('CONFIGURAÇÃO'!$E$1147),"",'CONFIGURAÇÃO'!$E$1147&amp;"")</f>
        <v/>
      </c>
      <c r="C6960" s="194">
        <f>"'CONFIGURAÇÃO'!E1147"</f>
        <v/>
      </c>
      <c r="D6960" s="194" t="inlineStr">
        <is>
          <t>configuração</t>
        </is>
      </c>
    </row>
    <row r="6961">
      <c r="A6961" s="194" t="inlineStr">
        <is>
          <t>custom.melhoria.11.peso</t>
        </is>
      </c>
      <c r="B6961" s="194">
        <f>IF(ISBLANK('CONFIGURAÇÃO'!$E$1148),"",'CONFIGURAÇÃO'!$E$1148&amp;"")</f>
        <v/>
      </c>
      <c r="C6961" s="194">
        <f>"'CONFIGURAÇÃO'!E1148"</f>
        <v/>
      </c>
      <c r="D6961" s="194" t="inlineStr">
        <is>
          <t>configuração</t>
        </is>
      </c>
    </row>
    <row r="6962">
      <c r="A6962" s="194" t="inlineStr">
        <is>
          <t>custom.melhoria.11.exige_tr</t>
        </is>
      </c>
      <c r="B6962" s="194">
        <f>IF(ISBLANK('CONFIGURAÇÃO'!$E$1149),"",'CONFIGURAÇÃO'!$E$1149&amp;"")</f>
        <v/>
      </c>
      <c r="C6962" s="194">
        <f>"'CONFIGURAÇÃO'!E1149"</f>
        <v/>
      </c>
      <c r="D6962" s="194" t="inlineStr">
        <is>
          <t>configuração</t>
        </is>
      </c>
    </row>
    <row r="6963">
      <c r="A6963" s="194" t="inlineStr">
        <is>
          <t>custom.melhoria.11.requisitos</t>
        </is>
      </c>
      <c r="B6963" s="194">
        <f>IF(ISBLANK('CONFIGURAÇÃO'!$B$1152),"",'CONFIGURAÇÃO'!$B$1152&amp;"")</f>
        <v/>
      </c>
      <c r="C6963" s="194">
        <f>"'CONFIGURAÇÃO'!B1152"</f>
        <v/>
      </c>
      <c r="D6963" s="194" t="inlineStr">
        <is>
          <t>configuração</t>
        </is>
      </c>
    </row>
    <row r="6964">
      <c r="A6964" s="194" t="inlineStr">
        <is>
          <t>custom.melhoria.11.efeito</t>
        </is>
      </c>
      <c r="B6964" s="194">
        <f>IF(ISBLANK('CONFIGURAÇÃO'!$B$1158),"",'CONFIGURAÇÃO'!$B$1158&amp;"")</f>
        <v/>
      </c>
      <c r="C6964" s="194">
        <f>"'CONFIGURAÇÃO'!B1158"</f>
        <v/>
      </c>
      <c r="D6964" s="194" t="inlineStr">
        <is>
          <t>configuração</t>
        </is>
      </c>
    </row>
    <row r="6965">
      <c r="A6965" s="194" t="inlineStr">
        <is>
          <t>custom.melhoria.11.mestre_viu</t>
        </is>
      </c>
      <c r="B6965" s="194">
        <f>N('CONFIGURAÇÃO'!$F$1143)&amp;""</f>
        <v/>
      </c>
      <c r="C6965" s="194">
        <f>"'CONFIGURAÇÃO'!F1143"</f>
        <v/>
      </c>
      <c r="D6965" s="194" t="inlineStr">
        <is>
          <t>configuração</t>
        </is>
      </c>
    </row>
    <row r="6966">
      <c r="A6966" s="194" t="inlineStr">
        <is>
          <t>custom.melhoria.12.nome</t>
        </is>
      </c>
      <c r="B6966" s="194">
        <f>IF(ISBLANK('CONFIGURAÇÃO'!$J$1145),"",'CONFIGURAÇÃO'!$J$1145&amp;"")</f>
        <v/>
      </c>
      <c r="C6966" s="194">
        <f>"'CONFIGURAÇÃO'!J1145"</f>
        <v/>
      </c>
      <c r="D6966" s="194" t="inlineStr">
        <is>
          <t>configuração</t>
        </is>
      </c>
    </row>
    <row r="6967">
      <c r="A6967" s="194" t="inlineStr">
        <is>
          <t>custom.melhoria.12.base</t>
        </is>
      </c>
      <c r="B6967" s="194">
        <f>IF(ISBLANK('CONFIGURAÇÃO'!$M$1146),"",'CONFIGURAÇÃO'!$M$1146&amp;"")</f>
        <v/>
      </c>
      <c r="C6967" s="194">
        <f>"'CONFIGURAÇÃO'!M1146"</f>
        <v/>
      </c>
      <c r="D6967" s="194" t="inlineStr">
        <is>
          <t>configuração</t>
        </is>
      </c>
    </row>
    <row r="6968">
      <c r="A6968" s="194" t="inlineStr">
        <is>
          <t>custom.melhoria.12.familia</t>
        </is>
      </c>
      <c r="B6968" s="194">
        <f>IF(ISBLANK('CONFIGURAÇÃO'!$M$1147),"",'CONFIGURAÇÃO'!$M$1147&amp;"")</f>
        <v/>
      </c>
      <c r="C6968" s="194">
        <f>"'CONFIGURAÇÃO'!M1147"</f>
        <v/>
      </c>
      <c r="D6968" s="194" t="inlineStr">
        <is>
          <t>configuração</t>
        </is>
      </c>
    </row>
    <row r="6969">
      <c r="A6969" s="194" t="inlineStr">
        <is>
          <t>custom.melhoria.12.peso</t>
        </is>
      </c>
      <c r="B6969" s="194">
        <f>IF(ISBLANK('CONFIGURAÇÃO'!$M$1148),"",'CONFIGURAÇÃO'!$M$1148&amp;"")</f>
        <v/>
      </c>
      <c r="C6969" s="194">
        <f>"'CONFIGURAÇÃO'!M1148"</f>
        <v/>
      </c>
      <c r="D6969" s="194" t="inlineStr">
        <is>
          <t>configuração</t>
        </is>
      </c>
    </row>
    <row r="6970">
      <c r="A6970" s="194" t="inlineStr">
        <is>
          <t>custom.melhoria.12.exige_tr</t>
        </is>
      </c>
      <c r="B6970" s="194">
        <f>IF(ISBLANK('CONFIGURAÇÃO'!$M$1149),"",'CONFIGURAÇÃO'!$M$1149&amp;"")</f>
        <v/>
      </c>
      <c r="C6970" s="194">
        <f>"'CONFIGURAÇÃO'!M1149"</f>
        <v/>
      </c>
      <c r="D6970" s="194" t="inlineStr">
        <is>
          <t>configuração</t>
        </is>
      </c>
    </row>
    <row r="6971">
      <c r="A6971" s="194" t="inlineStr">
        <is>
          <t>custom.melhoria.12.requisitos</t>
        </is>
      </c>
      <c r="B6971" s="194">
        <f>IF(ISBLANK('CONFIGURAÇÃO'!$J$1152),"",'CONFIGURAÇÃO'!$J$1152&amp;"")</f>
        <v/>
      </c>
      <c r="C6971" s="194">
        <f>"'CONFIGURAÇÃO'!J1152"</f>
        <v/>
      </c>
      <c r="D6971" s="194" t="inlineStr">
        <is>
          <t>configuração</t>
        </is>
      </c>
    </row>
    <row r="6972">
      <c r="A6972" s="194" t="inlineStr">
        <is>
          <t>custom.melhoria.12.efeito</t>
        </is>
      </c>
      <c r="B6972" s="194">
        <f>IF(ISBLANK('CONFIGURAÇÃO'!$J$1158),"",'CONFIGURAÇÃO'!$J$1158&amp;"")</f>
        <v/>
      </c>
      <c r="C6972" s="194">
        <f>"'CONFIGURAÇÃO'!J1158"</f>
        <v/>
      </c>
      <c r="D6972" s="194" t="inlineStr">
        <is>
          <t>configuração</t>
        </is>
      </c>
    </row>
    <row r="6973">
      <c r="A6973" s="194" t="inlineStr">
        <is>
          <t>custom.melhoria.12.mestre_viu</t>
        </is>
      </c>
      <c r="B6973" s="194">
        <f>N('CONFIGURAÇÃO'!$N$1143)&amp;""</f>
        <v/>
      </c>
      <c r="C6973" s="194">
        <f>"'CONFIGURAÇÃO'!N1143"</f>
        <v/>
      </c>
      <c r="D6973" s="194" t="inlineStr">
        <is>
          <t>configuração</t>
        </is>
      </c>
    </row>
    <row r="6974">
      <c r="A6974" s="194" t="inlineStr">
        <is>
          <t>custom.melhoria.13.nome</t>
        </is>
      </c>
      <c r="B6974" s="194">
        <f>IF(ISBLANK('CONFIGURAÇÃO'!$B$1171),"",'CONFIGURAÇÃO'!$B$1171&amp;"")</f>
        <v/>
      </c>
      <c r="C6974" s="194">
        <f>"'CONFIGURAÇÃO'!B1171"</f>
        <v/>
      </c>
      <c r="D6974" s="194" t="inlineStr">
        <is>
          <t>configuração</t>
        </is>
      </c>
    </row>
    <row r="6975">
      <c r="A6975" s="194" t="inlineStr">
        <is>
          <t>custom.melhoria.13.base</t>
        </is>
      </c>
      <c r="B6975" s="194">
        <f>IF(ISBLANK('CONFIGURAÇÃO'!$E$1172),"",'CONFIGURAÇÃO'!$E$1172&amp;"")</f>
        <v/>
      </c>
      <c r="C6975" s="194">
        <f>"'CONFIGURAÇÃO'!E1172"</f>
        <v/>
      </c>
      <c r="D6975" s="194" t="inlineStr">
        <is>
          <t>configuração</t>
        </is>
      </c>
    </row>
    <row r="6976">
      <c r="A6976" s="194" t="inlineStr">
        <is>
          <t>custom.melhoria.13.familia</t>
        </is>
      </c>
      <c r="B6976" s="194">
        <f>IF(ISBLANK('CONFIGURAÇÃO'!$E$1173),"",'CONFIGURAÇÃO'!$E$1173&amp;"")</f>
        <v/>
      </c>
      <c r="C6976" s="194">
        <f>"'CONFIGURAÇÃO'!E1173"</f>
        <v/>
      </c>
      <c r="D6976" s="194" t="inlineStr">
        <is>
          <t>configuração</t>
        </is>
      </c>
    </row>
    <row r="6977">
      <c r="A6977" s="194" t="inlineStr">
        <is>
          <t>custom.melhoria.13.peso</t>
        </is>
      </c>
      <c r="B6977" s="194">
        <f>IF(ISBLANK('CONFIGURAÇÃO'!$E$1174),"",'CONFIGURAÇÃO'!$E$1174&amp;"")</f>
        <v/>
      </c>
      <c r="C6977" s="194">
        <f>"'CONFIGURAÇÃO'!E1174"</f>
        <v/>
      </c>
      <c r="D6977" s="194" t="inlineStr">
        <is>
          <t>configuração</t>
        </is>
      </c>
    </row>
    <row r="6978">
      <c r="A6978" s="194" t="inlineStr">
        <is>
          <t>custom.melhoria.13.exige_tr</t>
        </is>
      </c>
      <c r="B6978" s="194">
        <f>IF(ISBLANK('CONFIGURAÇÃO'!$E$1175),"",'CONFIGURAÇÃO'!$E$1175&amp;"")</f>
        <v/>
      </c>
      <c r="C6978" s="194">
        <f>"'CONFIGURAÇÃO'!E1175"</f>
        <v/>
      </c>
      <c r="D6978" s="194" t="inlineStr">
        <is>
          <t>configuração</t>
        </is>
      </c>
    </row>
    <row r="6979">
      <c r="A6979" s="194" t="inlineStr">
        <is>
          <t>custom.melhoria.13.requisitos</t>
        </is>
      </c>
      <c r="B6979" s="194">
        <f>IF(ISBLANK('CONFIGURAÇÃO'!$B$1178),"",'CONFIGURAÇÃO'!$B$1178&amp;"")</f>
        <v/>
      </c>
      <c r="C6979" s="194">
        <f>"'CONFIGURAÇÃO'!B1178"</f>
        <v/>
      </c>
      <c r="D6979" s="194" t="inlineStr">
        <is>
          <t>configuração</t>
        </is>
      </c>
    </row>
    <row r="6980">
      <c r="A6980" s="194" t="inlineStr">
        <is>
          <t>custom.melhoria.13.efeito</t>
        </is>
      </c>
      <c r="B6980" s="194">
        <f>IF(ISBLANK('CONFIGURAÇÃO'!$B$1184),"",'CONFIGURAÇÃO'!$B$1184&amp;"")</f>
        <v/>
      </c>
      <c r="C6980" s="194">
        <f>"'CONFIGURAÇÃO'!B1184"</f>
        <v/>
      </c>
      <c r="D6980" s="194" t="inlineStr">
        <is>
          <t>configuração</t>
        </is>
      </c>
    </row>
    <row r="6981">
      <c r="A6981" s="194" t="inlineStr">
        <is>
          <t>custom.melhoria.13.mestre_viu</t>
        </is>
      </c>
      <c r="B6981" s="194">
        <f>N('CONFIGURAÇÃO'!$F$1169)&amp;""</f>
        <v/>
      </c>
      <c r="C6981" s="194">
        <f>"'CONFIGURAÇÃO'!F1169"</f>
        <v/>
      </c>
      <c r="D6981" s="194" t="inlineStr">
        <is>
          <t>configuração</t>
        </is>
      </c>
    </row>
    <row r="6982">
      <c r="A6982" s="194" t="inlineStr">
        <is>
          <t>custom.melhoria.14.nome</t>
        </is>
      </c>
      <c r="B6982" s="194">
        <f>IF(ISBLANK('CONFIGURAÇÃO'!$J$1171),"",'CONFIGURAÇÃO'!$J$1171&amp;"")</f>
        <v/>
      </c>
      <c r="C6982" s="194">
        <f>"'CONFIGURAÇÃO'!J1171"</f>
        <v/>
      </c>
      <c r="D6982" s="194" t="inlineStr">
        <is>
          <t>configuração</t>
        </is>
      </c>
    </row>
    <row r="6983">
      <c r="A6983" s="194" t="inlineStr">
        <is>
          <t>custom.melhoria.14.base</t>
        </is>
      </c>
      <c r="B6983" s="194">
        <f>IF(ISBLANK('CONFIGURAÇÃO'!$M$1172),"",'CONFIGURAÇÃO'!$M$1172&amp;"")</f>
        <v/>
      </c>
      <c r="C6983" s="194">
        <f>"'CONFIGURAÇÃO'!M1172"</f>
        <v/>
      </c>
      <c r="D6983" s="194" t="inlineStr">
        <is>
          <t>configuração</t>
        </is>
      </c>
    </row>
    <row r="6984">
      <c r="A6984" s="194" t="inlineStr">
        <is>
          <t>custom.melhoria.14.familia</t>
        </is>
      </c>
      <c r="B6984" s="194">
        <f>IF(ISBLANK('CONFIGURAÇÃO'!$M$1173),"",'CONFIGURAÇÃO'!$M$1173&amp;"")</f>
        <v/>
      </c>
      <c r="C6984" s="194">
        <f>"'CONFIGURAÇÃO'!M1173"</f>
        <v/>
      </c>
      <c r="D6984" s="194" t="inlineStr">
        <is>
          <t>configuração</t>
        </is>
      </c>
    </row>
    <row r="6985">
      <c r="A6985" s="194" t="inlineStr">
        <is>
          <t>custom.melhoria.14.peso</t>
        </is>
      </c>
      <c r="B6985" s="194">
        <f>IF(ISBLANK('CONFIGURAÇÃO'!$M$1174),"",'CONFIGURAÇÃO'!$M$1174&amp;"")</f>
        <v/>
      </c>
      <c r="C6985" s="194">
        <f>"'CONFIGURAÇÃO'!M1174"</f>
        <v/>
      </c>
      <c r="D6985" s="194" t="inlineStr">
        <is>
          <t>configuração</t>
        </is>
      </c>
    </row>
    <row r="6986">
      <c r="A6986" s="194" t="inlineStr">
        <is>
          <t>custom.melhoria.14.exige_tr</t>
        </is>
      </c>
      <c r="B6986" s="194">
        <f>IF(ISBLANK('CONFIGURAÇÃO'!$M$1175),"",'CONFIGURAÇÃO'!$M$1175&amp;"")</f>
        <v/>
      </c>
      <c r="C6986" s="194">
        <f>"'CONFIGURAÇÃO'!M1175"</f>
        <v/>
      </c>
      <c r="D6986" s="194" t="inlineStr">
        <is>
          <t>configuração</t>
        </is>
      </c>
    </row>
    <row r="6987">
      <c r="A6987" s="194" t="inlineStr">
        <is>
          <t>custom.melhoria.14.requisitos</t>
        </is>
      </c>
      <c r="B6987" s="194">
        <f>IF(ISBLANK('CONFIGURAÇÃO'!$J$1178),"",'CONFIGURAÇÃO'!$J$1178&amp;"")</f>
        <v/>
      </c>
      <c r="C6987" s="194">
        <f>"'CONFIGURAÇÃO'!J1178"</f>
        <v/>
      </c>
      <c r="D6987" s="194" t="inlineStr">
        <is>
          <t>configuração</t>
        </is>
      </c>
    </row>
    <row r="6988">
      <c r="A6988" s="194" t="inlineStr">
        <is>
          <t>custom.melhoria.14.efeito</t>
        </is>
      </c>
      <c r="B6988" s="194">
        <f>IF(ISBLANK('CONFIGURAÇÃO'!$J$1184),"",'CONFIGURAÇÃO'!$J$1184&amp;"")</f>
        <v/>
      </c>
      <c r="C6988" s="194">
        <f>"'CONFIGURAÇÃO'!J1184"</f>
        <v/>
      </c>
      <c r="D6988" s="194" t="inlineStr">
        <is>
          <t>configuração</t>
        </is>
      </c>
    </row>
    <row r="6989">
      <c r="A6989" s="194" t="inlineStr">
        <is>
          <t>custom.melhoria.14.mestre_viu</t>
        </is>
      </c>
      <c r="B6989" s="194">
        <f>N('CONFIGURAÇÃO'!$N$1169)&amp;""</f>
        <v/>
      </c>
      <c r="C6989" s="194">
        <f>"'CONFIGURAÇÃO'!N1169"</f>
        <v/>
      </c>
      <c r="D6989" s="194" t="inlineStr">
        <is>
          <t>configuração</t>
        </is>
      </c>
    </row>
    <row r="6990">
      <c r="A6990" s="194" t="inlineStr">
        <is>
          <t>custom.melhoria.15.nome</t>
        </is>
      </c>
      <c r="B6990" s="194">
        <f>IF(ISBLANK('CONFIGURAÇÃO'!$B$1197),"",'CONFIGURAÇÃO'!$B$1197&amp;"")</f>
        <v/>
      </c>
      <c r="C6990" s="194">
        <f>"'CONFIGURAÇÃO'!B1197"</f>
        <v/>
      </c>
      <c r="D6990" s="194" t="inlineStr">
        <is>
          <t>configuração</t>
        </is>
      </c>
    </row>
    <row r="6991">
      <c r="A6991" s="194" t="inlineStr">
        <is>
          <t>custom.melhoria.15.base</t>
        </is>
      </c>
      <c r="B6991" s="194">
        <f>IF(ISBLANK('CONFIGURAÇÃO'!$E$1198),"",'CONFIGURAÇÃO'!$E$1198&amp;"")</f>
        <v/>
      </c>
      <c r="C6991" s="194">
        <f>"'CONFIGURAÇÃO'!E1198"</f>
        <v/>
      </c>
      <c r="D6991" s="194" t="inlineStr">
        <is>
          <t>configuração</t>
        </is>
      </c>
    </row>
    <row r="6992">
      <c r="A6992" s="194" t="inlineStr">
        <is>
          <t>custom.melhoria.15.familia</t>
        </is>
      </c>
      <c r="B6992" s="194">
        <f>IF(ISBLANK('CONFIGURAÇÃO'!$E$1199),"",'CONFIGURAÇÃO'!$E$1199&amp;"")</f>
        <v/>
      </c>
      <c r="C6992" s="194">
        <f>"'CONFIGURAÇÃO'!E1199"</f>
        <v/>
      </c>
      <c r="D6992" s="194" t="inlineStr">
        <is>
          <t>configuração</t>
        </is>
      </c>
    </row>
    <row r="6993">
      <c r="A6993" s="194" t="inlineStr">
        <is>
          <t>custom.melhoria.15.peso</t>
        </is>
      </c>
      <c r="B6993" s="194">
        <f>IF(ISBLANK('CONFIGURAÇÃO'!$E$1200),"",'CONFIGURAÇÃO'!$E$1200&amp;"")</f>
        <v/>
      </c>
      <c r="C6993" s="194">
        <f>"'CONFIGURAÇÃO'!E1200"</f>
        <v/>
      </c>
      <c r="D6993" s="194" t="inlineStr">
        <is>
          <t>configuração</t>
        </is>
      </c>
    </row>
    <row r="6994">
      <c r="A6994" s="194" t="inlineStr">
        <is>
          <t>custom.melhoria.15.exige_tr</t>
        </is>
      </c>
      <c r="B6994" s="194">
        <f>IF(ISBLANK('CONFIGURAÇÃO'!$E$1201),"",'CONFIGURAÇÃO'!$E$1201&amp;"")</f>
        <v/>
      </c>
      <c r="C6994" s="194">
        <f>"'CONFIGURAÇÃO'!E1201"</f>
        <v/>
      </c>
      <c r="D6994" s="194" t="inlineStr">
        <is>
          <t>configuração</t>
        </is>
      </c>
    </row>
    <row r="6995">
      <c r="A6995" s="194" t="inlineStr">
        <is>
          <t>custom.melhoria.15.requisitos</t>
        </is>
      </c>
      <c r="B6995" s="194">
        <f>IF(ISBLANK('CONFIGURAÇÃO'!$B$1204),"",'CONFIGURAÇÃO'!$B$1204&amp;"")</f>
        <v/>
      </c>
      <c r="C6995" s="194">
        <f>"'CONFIGURAÇÃO'!B1204"</f>
        <v/>
      </c>
      <c r="D6995" s="194" t="inlineStr">
        <is>
          <t>configuração</t>
        </is>
      </c>
    </row>
    <row r="6996">
      <c r="A6996" s="194" t="inlineStr">
        <is>
          <t>custom.melhoria.15.efeito</t>
        </is>
      </c>
      <c r="B6996" s="194">
        <f>IF(ISBLANK('CONFIGURAÇÃO'!$B$1210),"",'CONFIGURAÇÃO'!$B$1210&amp;"")</f>
        <v/>
      </c>
      <c r="C6996" s="194">
        <f>"'CONFIGURAÇÃO'!B1210"</f>
        <v/>
      </c>
      <c r="D6996" s="194" t="inlineStr">
        <is>
          <t>configuração</t>
        </is>
      </c>
    </row>
    <row r="6997">
      <c r="A6997" s="194" t="inlineStr">
        <is>
          <t>custom.melhoria.15.mestre_viu</t>
        </is>
      </c>
      <c r="B6997" s="194">
        <f>N('CONFIGURAÇÃO'!$F$1195)&amp;""</f>
        <v/>
      </c>
      <c r="C6997" s="194">
        <f>"'CONFIGURAÇÃO'!F1195"</f>
        <v/>
      </c>
      <c r="D6997" s="194" t="inlineStr">
        <is>
          <t>configuração</t>
        </is>
      </c>
    </row>
    <row r="6998">
      <c r="A6998" s="194" t="inlineStr">
        <is>
          <t>custom.melhoria.16.nome</t>
        </is>
      </c>
      <c r="B6998" s="194">
        <f>IF(ISBLANK('CONFIGURAÇÃO'!$J$1197),"",'CONFIGURAÇÃO'!$J$1197&amp;"")</f>
        <v/>
      </c>
      <c r="C6998" s="194">
        <f>"'CONFIGURAÇÃO'!J1197"</f>
        <v/>
      </c>
      <c r="D6998" s="194" t="inlineStr">
        <is>
          <t>configuração</t>
        </is>
      </c>
    </row>
    <row r="6999">
      <c r="A6999" s="194" t="inlineStr">
        <is>
          <t>custom.melhoria.16.base</t>
        </is>
      </c>
      <c r="B6999" s="194">
        <f>IF(ISBLANK('CONFIGURAÇÃO'!$M$1198),"",'CONFIGURAÇÃO'!$M$1198&amp;"")</f>
        <v/>
      </c>
      <c r="C6999" s="194">
        <f>"'CONFIGURAÇÃO'!M1198"</f>
        <v/>
      </c>
      <c r="D6999" s="194" t="inlineStr">
        <is>
          <t>configuração</t>
        </is>
      </c>
    </row>
    <row r="7000">
      <c r="A7000" s="194" t="inlineStr">
        <is>
          <t>custom.melhoria.16.familia</t>
        </is>
      </c>
      <c r="B7000" s="194">
        <f>IF(ISBLANK('CONFIGURAÇÃO'!$M$1199),"",'CONFIGURAÇÃO'!$M$1199&amp;"")</f>
        <v/>
      </c>
      <c r="C7000" s="194">
        <f>"'CONFIGURAÇÃO'!M1199"</f>
        <v/>
      </c>
      <c r="D7000" s="194" t="inlineStr">
        <is>
          <t>configuração</t>
        </is>
      </c>
    </row>
    <row r="7001">
      <c r="A7001" s="194" t="inlineStr">
        <is>
          <t>custom.melhoria.16.peso</t>
        </is>
      </c>
      <c r="B7001" s="194">
        <f>IF(ISBLANK('CONFIGURAÇÃO'!$M$1200),"",'CONFIGURAÇÃO'!$M$1200&amp;"")</f>
        <v/>
      </c>
      <c r="C7001" s="194">
        <f>"'CONFIGURAÇÃO'!M1200"</f>
        <v/>
      </c>
      <c r="D7001" s="194" t="inlineStr">
        <is>
          <t>configuração</t>
        </is>
      </c>
    </row>
    <row r="7002">
      <c r="A7002" s="194" t="inlineStr">
        <is>
          <t>custom.melhoria.16.exige_tr</t>
        </is>
      </c>
      <c r="B7002" s="194">
        <f>IF(ISBLANK('CONFIGURAÇÃO'!$M$1201),"",'CONFIGURAÇÃO'!$M$1201&amp;"")</f>
        <v/>
      </c>
      <c r="C7002" s="194">
        <f>"'CONFIGURAÇÃO'!M1201"</f>
        <v/>
      </c>
      <c r="D7002" s="194" t="inlineStr">
        <is>
          <t>configuração</t>
        </is>
      </c>
    </row>
    <row r="7003">
      <c r="A7003" s="194" t="inlineStr">
        <is>
          <t>custom.melhoria.16.requisitos</t>
        </is>
      </c>
      <c r="B7003" s="194">
        <f>IF(ISBLANK('CONFIGURAÇÃO'!$J$1204),"",'CONFIGURAÇÃO'!$J$1204&amp;"")</f>
        <v/>
      </c>
      <c r="C7003" s="194">
        <f>"'CONFIGURAÇÃO'!J1204"</f>
        <v/>
      </c>
      <c r="D7003" s="194" t="inlineStr">
        <is>
          <t>configuração</t>
        </is>
      </c>
    </row>
    <row r="7004">
      <c r="A7004" s="194" t="inlineStr">
        <is>
          <t>custom.melhoria.16.efeito</t>
        </is>
      </c>
      <c r="B7004" s="194">
        <f>IF(ISBLANK('CONFIGURAÇÃO'!$J$1210),"",'CONFIGURAÇÃO'!$J$1210&amp;"")</f>
        <v/>
      </c>
      <c r="C7004" s="194">
        <f>"'CONFIGURAÇÃO'!J1210"</f>
        <v/>
      </c>
      <c r="D7004" s="194" t="inlineStr">
        <is>
          <t>configuração</t>
        </is>
      </c>
    </row>
    <row r="7005">
      <c r="A7005" s="194" t="inlineStr">
        <is>
          <t>custom.melhoria.16.mestre_viu</t>
        </is>
      </c>
      <c r="B7005" s="194">
        <f>N('CONFIGURAÇÃO'!$N$1195)&amp;""</f>
        <v/>
      </c>
      <c r="C7005" s="194">
        <f>"'CONFIGURAÇÃO'!N1195"</f>
        <v/>
      </c>
      <c r="D7005" s="194" t="inlineStr">
        <is>
          <t>configuração</t>
        </is>
      </c>
    </row>
    <row r="7006">
      <c r="A7006" s="194" t="inlineStr">
        <is>
          <t>custom.melhoria.17.nome</t>
        </is>
      </c>
      <c r="B7006" s="194">
        <f>IF(ISBLANK('CONFIGURAÇÃO'!$B$1223),"",'CONFIGURAÇÃO'!$B$1223&amp;"")</f>
        <v/>
      </c>
      <c r="C7006" s="194">
        <f>"'CONFIGURAÇÃO'!B1223"</f>
        <v/>
      </c>
      <c r="D7006" s="194" t="inlineStr">
        <is>
          <t>configuração</t>
        </is>
      </c>
    </row>
    <row r="7007">
      <c r="A7007" s="194" t="inlineStr">
        <is>
          <t>custom.melhoria.17.base</t>
        </is>
      </c>
      <c r="B7007" s="194">
        <f>IF(ISBLANK('CONFIGURAÇÃO'!$E$1224),"",'CONFIGURAÇÃO'!$E$1224&amp;"")</f>
        <v/>
      </c>
      <c r="C7007" s="194">
        <f>"'CONFIGURAÇÃO'!E1224"</f>
        <v/>
      </c>
      <c r="D7007" s="194" t="inlineStr">
        <is>
          <t>configuração</t>
        </is>
      </c>
    </row>
    <row r="7008">
      <c r="A7008" s="194" t="inlineStr">
        <is>
          <t>custom.melhoria.17.familia</t>
        </is>
      </c>
      <c r="B7008" s="194">
        <f>IF(ISBLANK('CONFIGURAÇÃO'!$E$1225),"",'CONFIGURAÇÃO'!$E$1225&amp;"")</f>
        <v/>
      </c>
      <c r="C7008" s="194">
        <f>"'CONFIGURAÇÃO'!E1225"</f>
        <v/>
      </c>
      <c r="D7008" s="194" t="inlineStr">
        <is>
          <t>configuração</t>
        </is>
      </c>
    </row>
    <row r="7009">
      <c r="A7009" s="194" t="inlineStr">
        <is>
          <t>custom.melhoria.17.peso</t>
        </is>
      </c>
      <c r="B7009" s="194">
        <f>IF(ISBLANK('CONFIGURAÇÃO'!$E$1226),"",'CONFIGURAÇÃO'!$E$1226&amp;"")</f>
        <v/>
      </c>
      <c r="C7009" s="194">
        <f>"'CONFIGURAÇÃO'!E1226"</f>
        <v/>
      </c>
      <c r="D7009" s="194" t="inlineStr">
        <is>
          <t>configuração</t>
        </is>
      </c>
    </row>
    <row r="7010">
      <c r="A7010" s="194" t="inlineStr">
        <is>
          <t>custom.melhoria.17.exige_tr</t>
        </is>
      </c>
      <c r="B7010" s="194">
        <f>IF(ISBLANK('CONFIGURAÇÃO'!$E$1227),"",'CONFIGURAÇÃO'!$E$1227&amp;"")</f>
        <v/>
      </c>
      <c r="C7010" s="194">
        <f>"'CONFIGURAÇÃO'!E1227"</f>
        <v/>
      </c>
      <c r="D7010" s="194" t="inlineStr">
        <is>
          <t>configuração</t>
        </is>
      </c>
    </row>
    <row r="7011">
      <c r="A7011" s="194" t="inlineStr">
        <is>
          <t>custom.melhoria.17.requisitos</t>
        </is>
      </c>
      <c r="B7011" s="194">
        <f>IF(ISBLANK('CONFIGURAÇÃO'!$B$1230),"",'CONFIGURAÇÃO'!$B$1230&amp;"")</f>
        <v/>
      </c>
      <c r="C7011" s="194">
        <f>"'CONFIGURAÇÃO'!B1230"</f>
        <v/>
      </c>
      <c r="D7011" s="194" t="inlineStr">
        <is>
          <t>configuração</t>
        </is>
      </c>
    </row>
    <row r="7012">
      <c r="A7012" s="194" t="inlineStr">
        <is>
          <t>custom.melhoria.17.efeito</t>
        </is>
      </c>
      <c r="B7012" s="194">
        <f>IF(ISBLANK('CONFIGURAÇÃO'!$B$1236),"",'CONFIGURAÇÃO'!$B$1236&amp;"")</f>
        <v/>
      </c>
      <c r="C7012" s="194">
        <f>"'CONFIGURAÇÃO'!B1236"</f>
        <v/>
      </c>
      <c r="D7012" s="194" t="inlineStr">
        <is>
          <t>configuração</t>
        </is>
      </c>
    </row>
    <row r="7013">
      <c r="A7013" s="194" t="inlineStr">
        <is>
          <t>custom.melhoria.17.mestre_viu</t>
        </is>
      </c>
      <c r="B7013" s="194">
        <f>N('CONFIGURAÇÃO'!$F$1221)&amp;""</f>
        <v/>
      </c>
      <c r="C7013" s="194">
        <f>"'CONFIGURAÇÃO'!F1221"</f>
        <v/>
      </c>
      <c r="D7013" s="194" t="inlineStr">
        <is>
          <t>configuração</t>
        </is>
      </c>
    </row>
    <row r="7014">
      <c r="A7014" s="194" t="inlineStr">
        <is>
          <t>custom.melhoria.18.nome</t>
        </is>
      </c>
      <c r="B7014" s="194">
        <f>IF(ISBLANK('CONFIGURAÇÃO'!$J$1223),"",'CONFIGURAÇÃO'!$J$1223&amp;"")</f>
        <v/>
      </c>
      <c r="C7014" s="194">
        <f>"'CONFIGURAÇÃO'!J1223"</f>
        <v/>
      </c>
      <c r="D7014" s="194" t="inlineStr">
        <is>
          <t>configuração</t>
        </is>
      </c>
    </row>
    <row r="7015">
      <c r="A7015" s="194" t="inlineStr">
        <is>
          <t>custom.melhoria.18.base</t>
        </is>
      </c>
      <c r="B7015" s="194">
        <f>IF(ISBLANK('CONFIGURAÇÃO'!$M$1224),"",'CONFIGURAÇÃO'!$M$1224&amp;"")</f>
        <v/>
      </c>
      <c r="C7015" s="194">
        <f>"'CONFIGURAÇÃO'!M1224"</f>
        <v/>
      </c>
      <c r="D7015" s="194" t="inlineStr">
        <is>
          <t>configuração</t>
        </is>
      </c>
    </row>
    <row r="7016">
      <c r="A7016" s="194" t="inlineStr">
        <is>
          <t>custom.melhoria.18.familia</t>
        </is>
      </c>
      <c r="B7016" s="194">
        <f>IF(ISBLANK('CONFIGURAÇÃO'!$M$1225),"",'CONFIGURAÇÃO'!$M$1225&amp;"")</f>
        <v/>
      </c>
      <c r="C7016" s="194">
        <f>"'CONFIGURAÇÃO'!M1225"</f>
        <v/>
      </c>
      <c r="D7016" s="194" t="inlineStr">
        <is>
          <t>configuração</t>
        </is>
      </c>
    </row>
    <row r="7017">
      <c r="A7017" s="194" t="inlineStr">
        <is>
          <t>custom.melhoria.18.peso</t>
        </is>
      </c>
      <c r="B7017" s="194">
        <f>IF(ISBLANK('CONFIGURAÇÃO'!$M$1226),"",'CONFIGURAÇÃO'!$M$1226&amp;"")</f>
        <v/>
      </c>
      <c r="C7017" s="194">
        <f>"'CONFIGURAÇÃO'!M1226"</f>
        <v/>
      </c>
      <c r="D7017" s="194" t="inlineStr">
        <is>
          <t>configuração</t>
        </is>
      </c>
    </row>
    <row r="7018">
      <c r="A7018" s="194" t="inlineStr">
        <is>
          <t>custom.melhoria.18.exige_tr</t>
        </is>
      </c>
      <c r="B7018" s="194">
        <f>IF(ISBLANK('CONFIGURAÇÃO'!$M$1227),"",'CONFIGURAÇÃO'!$M$1227&amp;"")</f>
        <v/>
      </c>
      <c r="C7018" s="194">
        <f>"'CONFIGURAÇÃO'!M1227"</f>
        <v/>
      </c>
      <c r="D7018" s="194" t="inlineStr">
        <is>
          <t>configuração</t>
        </is>
      </c>
    </row>
    <row r="7019">
      <c r="A7019" s="194" t="inlineStr">
        <is>
          <t>custom.melhoria.18.requisitos</t>
        </is>
      </c>
      <c r="B7019" s="194">
        <f>IF(ISBLANK('CONFIGURAÇÃO'!$J$1230),"",'CONFIGURAÇÃO'!$J$1230&amp;"")</f>
        <v/>
      </c>
      <c r="C7019" s="194">
        <f>"'CONFIGURAÇÃO'!J1230"</f>
        <v/>
      </c>
      <c r="D7019" s="194" t="inlineStr">
        <is>
          <t>configuração</t>
        </is>
      </c>
    </row>
    <row r="7020">
      <c r="A7020" s="194" t="inlineStr">
        <is>
          <t>custom.melhoria.18.efeito</t>
        </is>
      </c>
      <c r="B7020" s="194">
        <f>IF(ISBLANK('CONFIGURAÇÃO'!$J$1236),"",'CONFIGURAÇÃO'!$J$1236&amp;"")</f>
        <v/>
      </c>
      <c r="C7020" s="194">
        <f>"'CONFIGURAÇÃO'!J1236"</f>
        <v/>
      </c>
      <c r="D7020" s="194" t="inlineStr">
        <is>
          <t>configuração</t>
        </is>
      </c>
    </row>
    <row r="7021">
      <c r="A7021" s="194" t="inlineStr">
        <is>
          <t>custom.melhoria.18.mestre_viu</t>
        </is>
      </c>
      <c r="B7021" s="194">
        <f>N('CONFIGURAÇÃO'!$N$1221)&amp;""</f>
        <v/>
      </c>
      <c r="C7021" s="194">
        <f>"'CONFIGURAÇÃO'!N1221"</f>
        <v/>
      </c>
      <c r="D7021" s="194" t="inlineStr">
        <is>
          <t>configuração</t>
        </is>
      </c>
    </row>
    <row r="7022">
      <c r="A7022" s="194" t="inlineStr">
        <is>
          <t>custom.melhoria.19.nome</t>
        </is>
      </c>
      <c r="B7022" s="194">
        <f>IF(ISBLANK('CONFIGURAÇÃO'!$B$1249),"",'CONFIGURAÇÃO'!$B$1249&amp;"")</f>
        <v/>
      </c>
      <c r="C7022" s="194">
        <f>"'CONFIGURAÇÃO'!B1249"</f>
        <v/>
      </c>
      <c r="D7022" s="194" t="inlineStr">
        <is>
          <t>configuração</t>
        </is>
      </c>
    </row>
    <row r="7023">
      <c r="A7023" s="194" t="inlineStr">
        <is>
          <t>custom.melhoria.19.base</t>
        </is>
      </c>
      <c r="B7023" s="194">
        <f>IF(ISBLANK('CONFIGURAÇÃO'!$E$1250),"",'CONFIGURAÇÃO'!$E$1250&amp;"")</f>
        <v/>
      </c>
      <c r="C7023" s="194">
        <f>"'CONFIGURAÇÃO'!E1250"</f>
        <v/>
      </c>
      <c r="D7023" s="194" t="inlineStr">
        <is>
          <t>configuração</t>
        </is>
      </c>
    </row>
    <row r="7024">
      <c r="A7024" s="194" t="inlineStr">
        <is>
          <t>custom.melhoria.19.familia</t>
        </is>
      </c>
      <c r="B7024" s="194">
        <f>IF(ISBLANK('CONFIGURAÇÃO'!$E$1251),"",'CONFIGURAÇÃO'!$E$1251&amp;"")</f>
        <v/>
      </c>
      <c r="C7024" s="194">
        <f>"'CONFIGURAÇÃO'!E1251"</f>
        <v/>
      </c>
      <c r="D7024" s="194" t="inlineStr">
        <is>
          <t>configuração</t>
        </is>
      </c>
    </row>
    <row r="7025">
      <c r="A7025" s="194" t="inlineStr">
        <is>
          <t>custom.melhoria.19.peso</t>
        </is>
      </c>
      <c r="B7025" s="194">
        <f>IF(ISBLANK('CONFIGURAÇÃO'!$E$1252),"",'CONFIGURAÇÃO'!$E$1252&amp;"")</f>
        <v/>
      </c>
      <c r="C7025" s="194">
        <f>"'CONFIGURAÇÃO'!E1252"</f>
        <v/>
      </c>
      <c r="D7025" s="194" t="inlineStr">
        <is>
          <t>configuração</t>
        </is>
      </c>
    </row>
    <row r="7026">
      <c r="A7026" s="194" t="inlineStr">
        <is>
          <t>custom.melhoria.19.exige_tr</t>
        </is>
      </c>
      <c r="B7026" s="194">
        <f>IF(ISBLANK('CONFIGURAÇÃO'!$E$1253),"",'CONFIGURAÇÃO'!$E$1253&amp;"")</f>
        <v/>
      </c>
      <c r="C7026" s="194">
        <f>"'CONFIGURAÇÃO'!E1253"</f>
        <v/>
      </c>
      <c r="D7026" s="194" t="inlineStr">
        <is>
          <t>configuração</t>
        </is>
      </c>
    </row>
    <row r="7027">
      <c r="A7027" s="194" t="inlineStr">
        <is>
          <t>custom.melhoria.19.requisitos</t>
        </is>
      </c>
      <c r="B7027" s="194">
        <f>IF(ISBLANK('CONFIGURAÇÃO'!$B$1256),"",'CONFIGURAÇÃO'!$B$1256&amp;"")</f>
        <v/>
      </c>
      <c r="C7027" s="194">
        <f>"'CONFIGURAÇÃO'!B1256"</f>
        <v/>
      </c>
      <c r="D7027" s="194" t="inlineStr">
        <is>
          <t>configuração</t>
        </is>
      </c>
    </row>
    <row r="7028">
      <c r="A7028" s="194" t="inlineStr">
        <is>
          <t>custom.melhoria.19.efeito</t>
        </is>
      </c>
      <c r="B7028" s="194">
        <f>IF(ISBLANK('CONFIGURAÇÃO'!$B$1262),"",'CONFIGURAÇÃO'!$B$1262&amp;"")</f>
        <v/>
      </c>
      <c r="C7028" s="194">
        <f>"'CONFIGURAÇÃO'!B1262"</f>
        <v/>
      </c>
      <c r="D7028" s="194" t="inlineStr">
        <is>
          <t>configuração</t>
        </is>
      </c>
    </row>
    <row r="7029">
      <c r="A7029" s="194" t="inlineStr">
        <is>
          <t>custom.melhoria.19.mestre_viu</t>
        </is>
      </c>
      <c r="B7029" s="194">
        <f>N('CONFIGURAÇÃO'!$F$1247)&amp;""</f>
        <v/>
      </c>
      <c r="C7029" s="194">
        <f>"'CONFIGURAÇÃO'!F1247"</f>
        <v/>
      </c>
      <c r="D7029" s="194" t="inlineStr">
        <is>
          <t>configuração</t>
        </is>
      </c>
    </row>
    <row r="7030">
      <c r="A7030" s="194" t="inlineStr">
        <is>
          <t>custom.melhoria.20.nome</t>
        </is>
      </c>
      <c r="B7030" s="194">
        <f>IF(ISBLANK('CONFIGURAÇÃO'!$J$1249),"",'CONFIGURAÇÃO'!$J$1249&amp;"")</f>
        <v/>
      </c>
      <c r="C7030" s="194">
        <f>"'CONFIGURAÇÃO'!J1249"</f>
        <v/>
      </c>
      <c r="D7030" s="194" t="inlineStr">
        <is>
          <t>configuração</t>
        </is>
      </c>
    </row>
    <row r="7031">
      <c r="A7031" s="194" t="inlineStr">
        <is>
          <t>custom.melhoria.20.base</t>
        </is>
      </c>
      <c r="B7031" s="194">
        <f>IF(ISBLANK('CONFIGURAÇÃO'!$M$1250),"",'CONFIGURAÇÃO'!$M$1250&amp;"")</f>
        <v/>
      </c>
      <c r="C7031" s="194">
        <f>"'CONFIGURAÇÃO'!M1250"</f>
        <v/>
      </c>
      <c r="D7031" s="194" t="inlineStr">
        <is>
          <t>configuração</t>
        </is>
      </c>
    </row>
    <row r="7032">
      <c r="A7032" s="194" t="inlineStr">
        <is>
          <t>custom.melhoria.20.familia</t>
        </is>
      </c>
      <c r="B7032" s="194">
        <f>IF(ISBLANK('CONFIGURAÇÃO'!$M$1251),"",'CONFIGURAÇÃO'!$M$1251&amp;"")</f>
        <v/>
      </c>
      <c r="C7032" s="194">
        <f>"'CONFIGURAÇÃO'!M1251"</f>
        <v/>
      </c>
      <c r="D7032" s="194" t="inlineStr">
        <is>
          <t>configuração</t>
        </is>
      </c>
    </row>
    <row r="7033">
      <c r="A7033" s="194" t="inlineStr">
        <is>
          <t>custom.melhoria.20.peso</t>
        </is>
      </c>
      <c r="B7033" s="194">
        <f>IF(ISBLANK('CONFIGURAÇÃO'!$M$1252),"",'CONFIGURAÇÃO'!$M$1252&amp;"")</f>
        <v/>
      </c>
      <c r="C7033" s="194">
        <f>"'CONFIGURAÇÃO'!M1252"</f>
        <v/>
      </c>
      <c r="D7033" s="194" t="inlineStr">
        <is>
          <t>configuração</t>
        </is>
      </c>
    </row>
    <row r="7034">
      <c r="A7034" s="194" t="inlineStr">
        <is>
          <t>custom.melhoria.20.exige_tr</t>
        </is>
      </c>
      <c r="B7034" s="194">
        <f>IF(ISBLANK('CONFIGURAÇÃO'!$M$1253),"",'CONFIGURAÇÃO'!$M$1253&amp;"")</f>
        <v/>
      </c>
      <c r="C7034" s="194">
        <f>"'CONFIGURAÇÃO'!M1253"</f>
        <v/>
      </c>
      <c r="D7034" s="194" t="inlineStr">
        <is>
          <t>configuração</t>
        </is>
      </c>
    </row>
    <row r="7035">
      <c r="A7035" s="194" t="inlineStr">
        <is>
          <t>custom.melhoria.20.requisitos</t>
        </is>
      </c>
      <c r="B7035" s="194">
        <f>IF(ISBLANK('CONFIGURAÇÃO'!$J$1256),"",'CONFIGURAÇÃO'!$J$1256&amp;"")</f>
        <v/>
      </c>
      <c r="C7035" s="194">
        <f>"'CONFIGURAÇÃO'!J1256"</f>
        <v/>
      </c>
      <c r="D7035" s="194" t="inlineStr">
        <is>
          <t>configuração</t>
        </is>
      </c>
    </row>
    <row r="7036">
      <c r="A7036" s="194" t="inlineStr">
        <is>
          <t>custom.melhoria.20.efeito</t>
        </is>
      </c>
      <c r="B7036" s="194">
        <f>IF(ISBLANK('CONFIGURAÇÃO'!$J$1262),"",'CONFIGURAÇÃO'!$J$1262&amp;"")</f>
        <v/>
      </c>
      <c r="C7036" s="194">
        <f>"'CONFIGURAÇÃO'!J1262"</f>
        <v/>
      </c>
      <c r="D7036" s="194" t="inlineStr">
        <is>
          <t>configuração</t>
        </is>
      </c>
    </row>
    <row r="7037">
      <c r="A7037" s="194" t="inlineStr">
        <is>
          <t>custom.melhoria.20.mestre_viu</t>
        </is>
      </c>
      <c r="B7037" s="194">
        <f>N('CONFIGURAÇÃO'!$N$1247)&amp;""</f>
        <v/>
      </c>
      <c r="C7037" s="194">
        <f>"'CONFIGURAÇÃO'!N1247"</f>
        <v/>
      </c>
      <c r="D7037" s="194" t="inlineStr">
        <is>
          <t>configuração</t>
        </is>
      </c>
    </row>
    <row r="7038">
      <c r="A7038" s="194" t="inlineStr">
        <is>
          <t>custom.melhoria.21.nome</t>
        </is>
      </c>
      <c r="B7038" s="194">
        <f>IF(ISBLANK('CONFIGURAÇÃO'!$B$1275),"",'CONFIGURAÇÃO'!$B$1275&amp;"")</f>
        <v/>
      </c>
      <c r="C7038" s="194">
        <f>"'CONFIGURAÇÃO'!B1275"</f>
        <v/>
      </c>
      <c r="D7038" s="194" t="inlineStr">
        <is>
          <t>configuração</t>
        </is>
      </c>
    </row>
    <row r="7039">
      <c r="A7039" s="194" t="inlineStr">
        <is>
          <t>custom.melhoria.21.base</t>
        </is>
      </c>
      <c r="B7039" s="194">
        <f>IF(ISBLANK('CONFIGURAÇÃO'!$E$1276),"",'CONFIGURAÇÃO'!$E$1276&amp;"")</f>
        <v/>
      </c>
      <c r="C7039" s="194">
        <f>"'CONFIGURAÇÃO'!E1276"</f>
        <v/>
      </c>
      <c r="D7039" s="194" t="inlineStr">
        <is>
          <t>configuração</t>
        </is>
      </c>
    </row>
    <row r="7040">
      <c r="A7040" s="194" t="inlineStr">
        <is>
          <t>custom.melhoria.21.familia</t>
        </is>
      </c>
      <c r="B7040" s="194">
        <f>IF(ISBLANK('CONFIGURAÇÃO'!$E$1277),"",'CONFIGURAÇÃO'!$E$1277&amp;"")</f>
        <v/>
      </c>
      <c r="C7040" s="194">
        <f>"'CONFIGURAÇÃO'!E1277"</f>
        <v/>
      </c>
      <c r="D7040" s="194" t="inlineStr">
        <is>
          <t>configuração</t>
        </is>
      </c>
    </row>
    <row r="7041">
      <c r="A7041" s="194" t="inlineStr">
        <is>
          <t>custom.melhoria.21.peso</t>
        </is>
      </c>
      <c r="B7041" s="194">
        <f>IF(ISBLANK('CONFIGURAÇÃO'!$E$1278),"",'CONFIGURAÇÃO'!$E$1278&amp;"")</f>
        <v/>
      </c>
      <c r="C7041" s="194">
        <f>"'CONFIGURAÇÃO'!E1278"</f>
        <v/>
      </c>
      <c r="D7041" s="194" t="inlineStr">
        <is>
          <t>configuração</t>
        </is>
      </c>
    </row>
    <row r="7042">
      <c r="A7042" s="194" t="inlineStr">
        <is>
          <t>custom.melhoria.21.exige_tr</t>
        </is>
      </c>
      <c r="B7042" s="194">
        <f>IF(ISBLANK('CONFIGURAÇÃO'!$E$1279),"",'CONFIGURAÇÃO'!$E$1279&amp;"")</f>
        <v/>
      </c>
      <c r="C7042" s="194">
        <f>"'CONFIGURAÇÃO'!E1279"</f>
        <v/>
      </c>
      <c r="D7042" s="194" t="inlineStr">
        <is>
          <t>configuração</t>
        </is>
      </c>
    </row>
    <row r="7043">
      <c r="A7043" s="194" t="inlineStr">
        <is>
          <t>custom.melhoria.21.requisitos</t>
        </is>
      </c>
      <c r="B7043" s="194">
        <f>IF(ISBLANK('CONFIGURAÇÃO'!$B$1282),"",'CONFIGURAÇÃO'!$B$1282&amp;"")</f>
        <v/>
      </c>
      <c r="C7043" s="194">
        <f>"'CONFIGURAÇÃO'!B1282"</f>
        <v/>
      </c>
      <c r="D7043" s="194" t="inlineStr">
        <is>
          <t>configuração</t>
        </is>
      </c>
    </row>
    <row r="7044">
      <c r="A7044" s="194" t="inlineStr">
        <is>
          <t>custom.melhoria.21.efeito</t>
        </is>
      </c>
      <c r="B7044" s="194">
        <f>IF(ISBLANK('CONFIGURAÇÃO'!$B$1288),"",'CONFIGURAÇÃO'!$B$1288&amp;"")</f>
        <v/>
      </c>
      <c r="C7044" s="194">
        <f>"'CONFIGURAÇÃO'!B1288"</f>
        <v/>
      </c>
      <c r="D7044" s="194" t="inlineStr">
        <is>
          <t>configuração</t>
        </is>
      </c>
    </row>
    <row r="7045">
      <c r="A7045" s="194" t="inlineStr">
        <is>
          <t>custom.melhoria.21.mestre_viu</t>
        </is>
      </c>
      <c r="B7045" s="194">
        <f>N('CONFIGURAÇÃO'!$F$1273)&amp;""</f>
        <v/>
      </c>
      <c r="C7045" s="194">
        <f>"'CONFIGURAÇÃO'!F1273"</f>
        <v/>
      </c>
      <c r="D7045" s="194" t="inlineStr">
        <is>
          <t>configuração</t>
        </is>
      </c>
    </row>
    <row r="7046">
      <c r="A7046" s="194" t="inlineStr">
        <is>
          <t>custom.melhoria.22.nome</t>
        </is>
      </c>
      <c r="B7046" s="194">
        <f>IF(ISBLANK('CONFIGURAÇÃO'!$J$1275),"",'CONFIGURAÇÃO'!$J$1275&amp;"")</f>
        <v/>
      </c>
      <c r="C7046" s="194">
        <f>"'CONFIGURAÇÃO'!J1275"</f>
        <v/>
      </c>
      <c r="D7046" s="194" t="inlineStr">
        <is>
          <t>configuração</t>
        </is>
      </c>
    </row>
    <row r="7047">
      <c r="A7047" s="194" t="inlineStr">
        <is>
          <t>custom.melhoria.22.base</t>
        </is>
      </c>
      <c r="B7047" s="194">
        <f>IF(ISBLANK('CONFIGURAÇÃO'!$M$1276),"",'CONFIGURAÇÃO'!$M$1276&amp;"")</f>
        <v/>
      </c>
      <c r="C7047" s="194">
        <f>"'CONFIGURAÇÃO'!M1276"</f>
        <v/>
      </c>
      <c r="D7047" s="194" t="inlineStr">
        <is>
          <t>configuração</t>
        </is>
      </c>
    </row>
    <row r="7048">
      <c r="A7048" s="194" t="inlineStr">
        <is>
          <t>custom.melhoria.22.familia</t>
        </is>
      </c>
      <c r="B7048" s="194">
        <f>IF(ISBLANK('CONFIGURAÇÃO'!$M$1277),"",'CONFIGURAÇÃO'!$M$1277&amp;"")</f>
        <v/>
      </c>
      <c r="C7048" s="194">
        <f>"'CONFIGURAÇÃO'!M1277"</f>
        <v/>
      </c>
      <c r="D7048" s="194" t="inlineStr">
        <is>
          <t>configuração</t>
        </is>
      </c>
    </row>
    <row r="7049">
      <c r="A7049" s="194" t="inlineStr">
        <is>
          <t>custom.melhoria.22.peso</t>
        </is>
      </c>
      <c r="B7049" s="194">
        <f>IF(ISBLANK('CONFIGURAÇÃO'!$M$1278),"",'CONFIGURAÇÃO'!$M$1278&amp;"")</f>
        <v/>
      </c>
      <c r="C7049" s="194">
        <f>"'CONFIGURAÇÃO'!M1278"</f>
        <v/>
      </c>
      <c r="D7049" s="194" t="inlineStr">
        <is>
          <t>configuração</t>
        </is>
      </c>
    </row>
    <row r="7050">
      <c r="A7050" s="194" t="inlineStr">
        <is>
          <t>custom.melhoria.22.exige_tr</t>
        </is>
      </c>
      <c r="B7050" s="194">
        <f>IF(ISBLANK('CONFIGURAÇÃO'!$M$1279),"",'CONFIGURAÇÃO'!$M$1279&amp;"")</f>
        <v/>
      </c>
      <c r="C7050" s="194">
        <f>"'CONFIGURAÇÃO'!M1279"</f>
        <v/>
      </c>
      <c r="D7050" s="194" t="inlineStr">
        <is>
          <t>configuração</t>
        </is>
      </c>
    </row>
    <row r="7051">
      <c r="A7051" s="194" t="inlineStr">
        <is>
          <t>custom.melhoria.22.requisitos</t>
        </is>
      </c>
      <c r="B7051" s="194">
        <f>IF(ISBLANK('CONFIGURAÇÃO'!$J$1282),"",'CONFIGURAÇÃO'!$J$1282&amp;"")</f>
        <v/>
      </c>
      <c r="C7051" s="194">
        <f>"'CONFIGURAÇÃO'!J1282"</f>
        <v/>
      </c>
      <c r="D7051" s="194" t="inlineStr">
        <is>
          <t>configuração</t>
        </is>
      </c>
    </row>
    <row r="7052">
      <c r="A7052" s="194" t="inlineStr">
        <is>
          <t>custom.melhoria.22.efeito</t>
        </is>
      </c>
      <c r="B7052" s="194">
        <f>IF(ISBLANK('CONFIGURAÇÃO'!$J$1288),"",'CONFIGURAÇÃO'!$J$1288&amp;"")</f>
        <v/>
      </c>
      <c r="C7052" s="194">
        <f>"'CONFIGURAÇÃO'!J1288"</f>
        <v/>
      </c>
      <c r="D7052" s="194" t="inlineStr">
        <is>
          <t>configuração</t>
        </is>
      </c>
    </row>
    <row r="7053">
      <c r="A7053" s="194" t="inlineStr">
        <is>
          <t>custom.melhoria.22.mestre_viu</t>
        </is>
      </c>
      <c r="B7053" s="194">
        <f>N('CONFIGURAÇÃO'!$N$1273)&amp;""</f>
        <v/>
      </c>
      <c r="C7053" s="194">
        <f>"'CONFIGURAÇÃO'!N1273"</f>
        <v/>
      </c>
      <c r="D7053" s="194" t="inlineStr">
        <is>
          <t>configuração</t>
        </is>
      </c>
    </row>
    <row r="7054">
      <c r="A7054" s="194" t="inlineStr">
        <is>
          <t>custom.melhoria.23.nome</t>
        </is>
      </c>
      <c r="B7054" s="194">
        <f>IF(ISBLANK('CONFIGURAÇÃO'!$B$1301),"",'CONFIGURAÇÃO'!$B$1301&amp;"")</f>
        <v/>
      </c>
      <c r="C7054" s="194">
        <f>"'CONFIGURAÇÃO'!B1301"</f>
        <v/>
      </c>
      <c r="D7054" s="194" t="inlineStr">
        <is>
          <t>configuração</t>
        </is>
      </c>
    </row>
    <row r="7055">
      <c r="A7055" s="194" t="inlineStr">
        <is>
          <t>custom.melhoria.23.base</t>
        </is>
      </c>
      <c r="B7055" s="194">
        <f>IF(ISBLANK('CONFIGURAÇÃO'!$E$1302),"",'CONFIGURAÇÃO'!$E$1302&amp;"")</f>
        <v/>
      </c>
      <c r="C7055" s="194">
        <f>"'CONFIGURAÇÃO'!E1302"</f>
        <v/>
      </c>
      <c r="D7055" s="194" t="inlineStr">
        <is>
          <t>configuração</t>
        </is>
      </c>
    </row>
    <row r="7056">
      <c r="A7056" s="194" t="inlineStr">
        <is>
          <t>custom.melhoria.23.familia</t>
        </is>
      </c>
      <c r="B7056" s="194">
        <f>IF(ISBLANK('CONFIGURAÇÃO'!$E$1303),"",'CONFIGURAÇÃO'!$E$1303&amp;"")</f>
        <v/>
      </c>
      <c r="C7056" s="194">
        <f>"'CONFIGURAÇÃO'!E1303"</f>
        <v/>
      </c>
      <c r="D7056" s="194" t="inlineStr">
        <is>
          <t>configuração</t>
        </is>
      </c>
    </row>
    <row r="7057">
      <c r="A7057" s="194" t="inlineStr">
        <is>
          <t>custom.melhoria.23.peso</t>
        </is>
      </c>
      <c r="B7057" s="194">
        <f>IF(ISBLANK('CONFIGURAÇÃO'!$E$1304),"",'CONFIGURAÇÃO'!$E$1304&amp;"")</f>
        <v/>
      </c>
      <c r="C7057" s="194">
        <f>"'CONFIGURAÇÃO'!E1304"</f>
        <v/>
      </c>
      <c r="D7057" s="194" t="inlineStr">
        <is>
          <t>configuração</t>
        </is>
      </c>
    </row>
    <row r="7058">
      <c r="A7058" s="194" t="inlineStr">
        <is>
          <t>custom.melhoria.23.exige_tr</t>
        </is>
      </c>
      <c r="B7058" s="194">
        <f>IF(ISBLANK('CONFIGURAÇÃO'!$E$1305),"",'CONFIGURAÇÃO'!$E$1305&amp;"")</f>
        <v/>
      </c>
      <c r="C7058" s="194">
        <f>"'CONFIGURAÇÃO'!E1305"</f>
        <v/>
      </c>
      <c r="D7058" s="194" t="inlineStr">
        <is>
          <t>configuração</t>
        </is>
      </c>
    </row>
    <row r="7059">
      <c r="A7059" s="194" t="inlineStr">
        <is>
          <t>custom.melhoria.23.requisitos</t>
        </is>
      </c>
      <c r="B7059" s="194">
        <f>IF(ISBLANK('CONFIGURAÇÃO'!$B$1308),"",'CONFIGURAÇÃO'!$B$1308&amp;"")</f>
        <v/>
      </c>
      <c r="C7059" s="194">
        <f>"'CONFIGURAÇÃO'!B1308"</f>
        <v/>
      </c>
      <c r="D7059" s="194" t="inlineStr">
        <is>
          <t>configuração</t>
        </is>
      </c>
    </row>
    <row r="7060">
      <c r="A7060" s="194" t="inlineStr">
        <is>
          <t>custom.melhoria.23.efeito</t>
        </is>
      </c>
      <c r="B7060" s="194">
        <f>IF(ISBLANK('CONFIGURAÇÃO'!$B$1314),"",'CONFIGURAÇÃO'!$B$1314&amp;"")</f>
        <v/>
      </c>
      <c r="C7060" s="194">
        <f>"'CONFIGURAÇÃO'!B1314"</f>
        <v/>
      </c>
      <c r="D7060" s="194" t="inlineStr">
        <is>
          <t>configuração</t>
        </is>
      </c>
    </row>
    <row r="7061">
      <c r="A7061" s="194" t="inlineStr">
        <is>
          <t>custom.melhoria.23.mestre_viu</t>
        </is>
      </c>
      <c r="B7061" s="194">
        <f>N('CONFIGURAÇÃO'!$F$1299)&amp;""</f>
        <v/>
      </c>
      <c r="C7061" s="194">
        <f>"'CONFIGURAÇÃO'!F1299"</f>
        <v/>
      </c>
      <c r="D7061" s="194" t="inlineStr">
        <is>
          <t>configuração</t>
        </is>
      </c>
    </row>
    <row r="7062">
      <c r="A7062" s="194" t="inlineStr">
        <is>
          <t>custom.melhoria.24.nome</t>
        </is>
      </c>
      <c r="B7062" s="194">
        <f>IF(ISBLANK('CONFIGURAÇÃO'!$J$1301),"",'CONFIGURAÇÃO'!$J$1301&amp;"")</f>
        <v/>
      </c>
      <c r="C7062" s="194">
        <f>"'CONFIGURAÇÃO'!J1301"</f>
        <v/>
      </c>
      <c r="D7062" s="194" t="inlineStr">
        <is>
          <t>configuração</t>
        </is>
      </c>
    </row>
    <row r="7063">
      <c r="A7063" s="194" t="inlineStr">
        <is>
          <t>custom.melhoria.24.base</t>
        </is>
      </c>
      <c r="B7063" s="194">
        <f>IF(ISBLANK('CONFIGURAÇÃO'!$M$1302),"",'CONFIGURAÇÃO'!$M$1302&amp;"")</f>
        <v/>
      </c>
      <c r="C7063" s="194">
        <f>"'CONFIGURAÇÃO'!M1302"</f>
        <v/>
      </c>
      <c r="D7063" s="194" t="inlineStr">
        <is>
          <t>configuração</t>
        </is>
      </c>
    </row>
    <row r="7064">
      <c r="A7064" s="194" t="inlineStr">
        <is>
          <t>custom.melhoria.24.familia</t>
        </is>
      </c>
      <c r="B7064" s="194">
        <f>IF(ISBLANK('CONFIGURAÇÃO'!$M$1303),"",'CONFIGURAÇÃO'!$M$1303&amp;"")</f>
        <v/>
      </c>
      <c r="C7064" s="194">
        <f>"'CONFIGURAÇÃO'!M1303"</f>
        <v/>
      </c>
      <c r="D7064" s="194" t="inlineStr">
        <is>
          <t>configuração</t>
        </is>
      </c>
    </row>
    <row r="7065">
      <c r="A7065" s="194" t="inlineStr">
        <is>
          <t>custom.melhoria.24.peso</t>
        </is>
      </c>
      <c r="B7065" s="194">
        <f>IF(ISBLANK('CONFIGURAÇÃO'!$M$1304),"",'CONFIGURAÇÃO'!$M$1304&amp;"")</f>
        <v/>
      </c>
      <c r="C7065" s="194">
        <f>"'CONFIGURAÇÃO'!M1304"</f>
        <v/>
      </c>
      <c r="D7065" s="194" t="inlineStr">
        <is>
          <t>configuração</t>
        </is>
      </c>
    </row>
    <row r="7066">
      <c r="A7066" s="194" t="inlineStr">
        <is>
          <t>custom.melhoria.24.exige_tr</t>
        </is>
      </c>
      <c r="B7066" s="194">
        <f>IF(ISBLANK('CONFIGURAÇÃO'!$M$1305),"",'CONFIGURAÇÃO'!$M$1305&amp;"")</f>
        <v/>
      </c>
      <c r="C7066" s="194">
        <f>"'CONFIGURAÇÃO'!M1305"</f>
        <v/>
      </c>
      <c r="D7066" s="194" t="inlineStr">
        <is>
          <t>configuração</t>
        </is>
      </c>
    </row>
    <row r="7067">
      <c r="A7067" s="194" t="inlineStr">
        <is>
          <t>custom.melhoria.24.requisitos</t>
        </is>
      </c>
      <c r="B7067" s="194">
        <f>IF(ISBLANK('CONFIGURAÇÃO'!$J$1308),"",'CONFIGURAÇÃO'!$J$1308&amp;"")</f>
        <v/>
      </c>
      <c r="C7067" s="194">
        <f>"'CONFIGURAÇÃO'!J1308"</f>
        <v/>
      </c>
      <c r="D7067" s="194" t="inlineStr">
        <is>
          <t>configuração</t>
        </is>
      </c>
    </row>
    <row r="7068">
      <c r="A7068" s="194" t="inlineStr">
        <is>
          <t>custom.melhoria.24.efeito</t>
        </is>
      </c>
      <c r="B7068" s="194">
        <f>IF(ISBLANK('CONFIGURAÇÃO'!$J$1314),"",'CONFIGURAÇÃO'!$J$1314&amp;"")</f>
        <v/>
      </c>
      <c r="C7068" s="194">
        <f>"'CONFIGURAÇÃO'!J1314"</f>
        <v/>
      </c>
      <c r="D7068" s="194" t="inlineStr">
        <is>
          <t>configuração</t>
        </is>
      </c>
    </row>
    <row r="7069">
      <c r="A7069" s="194" t="inlineStr">
        <is>
          <t>custom.melhoria.24.mestre_viu</t>
        </is>
      </c>
      <c r="B7069" s="194">
        <f>N('CONFIGURAÇÃO'!$N$1299)&amp;""</f>
        <v/>
      </c>
      <c r="C7069" s="194">
        <f>"'CONFIGURAÇÃO'!N1299"</f>
        <v/>
      </c>
      <c r="D7069" s="194" t="inlineStr">
        <is>
          <t>configuração</t>
        </is>
      </c>
    </row>
    <row r="7070">
      <c r="A7070" s="194" t="inlineStr">
        <is>
          <t>custom.melhoria.25.nome</t>
        </is>
      </c>
      <c r="B7070" s="194">
        <f>IF(ISBLANK('CONFIGURAÇÃO'!$B$1327),"",'CONFIGURAÇÃO'!$B$1327&amp;"")</f>
        <v/>
      </c>
      <c r="C7070" s="194">
        <f>"'CONFIGURAÇÃO'!B1327"</f>
        <v/>
      </c>
      <c r="D7070" s="194" t="inlineStr">
        <is>
          <t>configuração</t>
        </is>
      </c>
    </row>
    <row r="7071">
      <c r="A7071" s="194" t="inlineStr">
        <is>
          <t>custom.melhoria.25.base</t>
        </is>
      </c>
      <c r="B7071" s="194">
        <f>IF(ISBLANK('CONFIGURAÇÃO'!$E$1328),"",'CONFIGURAÇÃO'!$E$1328&amp;"")</f>
        <v/>
      </c>
      <c r="C7071" s="194">
        <f>"'CONFIGURAÇÃO'!E1328"</f>
        <v/>
      </c>
      <c r="D7071" s="194" t="inlineStr">
        <is>
          <t>configuração</t>
        </is>
      </c>
    </row>
    <row r="7072">
      <c r="A7072" s="194" t="inlineStr">
        <is>
          <t>custom.melhoria.25.familia</t>
        </is>
      </c>
      <c r="B7072" s="194">
        <f>IF(ISBLANK('CONFIGURAÇÃO'!$E$1329),"",'CONFIGURAÇÃO'!$E$1329&amp;"")</f>
        <v/>
      </c>
      <c r="C7072" s="194">
        <f>"'CONFIGURAÇÃO'!E1329"</f>
        <v/>
      </c>
      <c r="D7072" s="194" t="inlineStr">
        <is>
          <t>configuração</t>
        </is>
      </c>
    </row>
    <row r="7073">
      <c r="A7073" s="194" t="inlineStr">
        <is>
          <t>custom.melhoria.25.peso</t>
        </is>
      </c>
      <c r="B7073" s="194">
        <f>IF(ISBLANK('CONFIGURAÇÃO'!$E$1330),"",'CONFIGURAÇÃO'!$E$1330&amp;"")</f>
        <v/>
      </c>
      <c r="C7073" s="194">
        <f>"'CONFIGURAÇÃO'!E1330"</f>
        <v/>
      </c>
      <c r="D7073" s="194" t="inlineStr">
        <is>
          <t>configuração</t>
        </is>
      </c>
    </row>
    <row r="7074">
      <c r="A7074" s="194" t="inlineStr">
        <is>
          <t>custom.melhoria.25.exige_tr</t>
        </is>
      </c>
      <c r="B7074" s="194">
        <f>IF(ISBLANK('CONFIGURAÇÃO'!$E$1331),"",'CONFIGURAÇÃO'!$E$1331&amp;"")</f>
        <v/>
      </c>
      <c r="C7074" s="194">
        <f>"'CONFIGURAÇÃO'!E1331"</f>
        <v/>
      </c>
      <c r="D7074" s="194" t="inlineStr">
        <is>
          <t>configuração</t>
        </is>
      </c>
    </row>
    <row r="7075">
      <c r="A7075" s="194" t="inlineStr">
        <is>
          <t>custom.melhoria.25.requisitos</t>
        </is>
      </c>
      <c r="B7075" s="194">
        <f>IF(ISBLANK('CONFIGURAÇÃO'!$B$1334),"",'CONFIGURAÇÃO'!$B$1334&amp;"")</f>
        <v/>
      </c>
      <c r="C7075" s="194">
        <f>"'CONFIGURAÇÃO'!B1334"</f>
        <v/>
      </c>
      <c r="D7075" s="194" t="inlineStr">
        <is>
          <t>configuração</t>
        </is>
      </c>
    </row>
    <row r="7076">
      <c r="A7076" s="194" t="inlineStr">
        <is>
          <t>custom.melhoria.25.efeito</t>
        </is>
      </c>
      <c r="B7076" s="194">
        <f>IF(ISBLANK('CONFIGURAÇÃO'!$B$1340),"",'CONFIGURAÇÃO'!$B$1340&amp;"")</f>
        <v/>
      </c>
      <c r="C7076" s="194">
        <f>"'CONFIGURAÇÃO'!B1340"</f>
        <v/>
      </c>
      <c r="D7076" s="194" t="inlineStr">
        <is>
          <t>configuração</t>
        </is>
      </c>
    </row>
    <row r="7077">
      <c r="A7077" s="194" t="inlineStr">
        <is>
          <t>custom.melhoria.25.mestre_viu</t>
        </is>
      </c>
      <c r="B7077" s="194">
        <f>N('CONFIGURAÇÃO'!$F$1325)&amp;""</f>
        <v/>
      </c>
      <c r="C7077" s="194">
        <f>"'CONFIGURAÇÃO'!F1325"</f>
        <v/>
      </c>
      <c r="D7077" s="194" t="inlineStr">
        <is>
          <t>configuração</t>
        </is>
      </c>
    </row>
    <row r="7078">
      <c r="A7078" s="194" t="inlineStr">
        <is>
          <t>custom.melhoria.26.nome</t>
        </is>
      </c>
      <c r="B7078" s="194">
        <f>IF(ISBLANK('CONFIGURAÇÃO'!$J$1327),"",'CONFIGURAÇÃO'!$J$1327&amp;"")</f>
        <v/>
      </c>
      <c r="C7078" s="194">
        <f>"'CONFIGURAÇÃO'!J1327"</f>
        <v/>
      </c>
      <c r="D7078" s="194" t="inlineStr">
        <is>
          <t>configuração</t>
        </is>
      </c>
    </row>
    <row r="7079">
      <c r="A7079" s="194" t="inlineStr">
        <is>
          <t>custom.melhoria.26.base</t>
        </is>
      </c>
      <c r="B7079" s="194">
        <f>IF(ISBLANK('CONFIGURAÇÃO'!$M$1328),"",'CONFIGURAÇÃO'!$M$1328&amp;"")</f>
        <v/>
      </c>
      <c r="C7079" s="194">
        <f>"'CONFIGURAÇÃO'!M1328"</f>
        <v/>
      </c>
      <c r="D7079" s="194" t="inlineStr">
        <is>
          <t>configuração</t>
        </is>
      </c>
    </row>
    <row r="7080">
      <c r="A7080" s="194" t="inlineStr">
        <is>
          <t>custom.melhoria.26.familia</t>
        </is>
      </c>
      <c r="B7080" s="194">
        <f>IF(ISBLANK('CONFIGURAÇÃO'!$M$1329),"",'CONFIGURAÇÃO'!$M$1329&amp;"")</f>
        <v/>
      </c>
      <c r="C7080" s="194">
        <f>"'CONFIGURAÇÃO'!M1329"</f>
        <v/>
      </c>
      <c r="D7080" s="194" t="inlineStr">
        <is>
          <t>configuração</t>
        </is>
      </c>
    </row>
    <row r="7081">
      <c r="A7081" s="194" t="inlineStr">
        <is>
          <t>custom.melhoria.26.peso</t>
        </is>
      </c>
      <c r="B7081" s="194">
        <f>IF(ISBLANK('CONFIGURAÇÃO'!$M$1330),"",'CONFIGURAÇÃO'!$M$1330&amp;"")</f>
        <v/>
      </c>
      <c r="C7081" s="194">
        <f>"'CONFIGURAÇÃO'!M1330"</f>
        <v/>
      </c>
      <c r="D7081" s="194" t="inlineStr">
        <is>
          <t>configuração</t>
        </is>
      </c>
    </row>
    <row r="7082">
      <c r="A7082" s="194" t="inlineStr">
        <is>
          <t>custom.melhoria.26.exige_tr</t>
        </is>
      </c>
      <c r="B7082" s="194">
        <f>IF(ISBLANK('CONFIGURAÇÃO'!$M$1331),"",'CONFIGURAÇÃO'!$M$1331&amp;"")</f>
        <v/>
      </c>
      <c r="C7082" s="194">
        <f>"'CONFIGURAÇÃO'!M1331"</f>
        <v/>
      </c>
      <c r="D7082" s="194" t="inlineStr">
        <is>
          <t>configuração</t>
        </is>
      </c>
    </row>
    <row r="7083">
      <c r="A7083" s="194" t="inlineStr">
        <is>
          <t>custom.melhoria.26.requisitos</t>
        </is>
      </c>
      <c r="B7083" s="194">
        <f>IF(ISBLANK('CONFIGURAÇÃO'!$J$1334),"",'CONFIGURAÇÃO'!$J$1334&amp;"")</f>
        <v/>
      </c>
      <c r="C7083" s="194">
        <f>"'CONFIGURAÇÃO'!J1334"</f>
        <v/>
      </c>
      <c r="D7083" s="194" t="inlineStr">
        <is>
          <t>configuração</t>
        </is>
      </c>
    </row>
    <row r="7084">
      <c r="A7084" s="194" t="inlineStr">
        <is>
          <t>custom.melhoria.26.efeito</t>
        </is>
      </c>
      <c r="B7084" s="194">
        <f>IF(ISBLANK('CONFIGURAÇÃO'!$J$1340),"",'CONFIGURAÇÃO'!$J$1340&amp;"")</f>
        <v/>
      </c>
      <c r="C7084" s="194">
        <f>"'CONFIGURAÇÃO'!J1340"</f>
        <v/>
      </c>
      <c r="D7084" s="194" t="inlineStr">
        <is>
          <t>configuração</t>
        </is>
      </c>
    </row>
    <row r="7085">
      <c r="A7085" s="194" t="inlineStr">
        <is>
          <t>custom.melhoria.26.mestre_viu</t>
        </is>
      </c>
      <c r="B7085" s="194">
        <f>N('CONFIGURAÇÃO'!$N$1325)&amp;""</f>
        <v/>
      </c>
      <c r="C7085" s="194">
        <f>"'CONFIGURAÇÃO'!N1325"</f>
        <v/>
      </c>
      <c r="D7085" s="194" t="inlineStr">
        <is>
          <t>configuração</t>
        </is>
      </c>
    </row>
    <row r="7086">
      <c r="A7086" s="194" t="inlineStr">
        <is>
          <t>custom.melhoria.27.nome</t>
        </is>
      </c>
      <c r="B7086" s="194">
        <f>IF(ISBLANK('CONFIGURAÇÃO'!$B$1353),"",'CONFIGURAÇÃO'!$B$1353&amp;"")</f>
        <v/>
      </c>
      <c r="C7086" s="194">
        <f>"'CONFIGURAÇÃO'!B1353"</f>
        <v/>
      </c>
      <c r="D7086" s="194" t="inlineStr">
        <is>
          <t>configuração</t>
        </is>
      </c>
    </row>
    <row r="7087">
      <c r="A7087" s="194" t="inlineStr">
        <is>
          <t>custom.melhoria.27.base</t>
        </is>
      </c>
      <c r="B7087" s="194">
        <f>IF(ISBLANK('CONFIGURAÇÃO'!$E$1354),"",'CONFIGURAÇÃO'!$E$1354&amp;"")</f>
        <v/>
      </c>
      <c r="C7087" s="194">
        <f>"'CONFIGURAÇÃO'!E1354"</f>
        <v/>
      </c>
      <c r="D7087" s="194" t="inlineStr">
        <is>
          <t>configuração</t>
        </is>
      </c>
    </row>
    <row r="7088">
      <c r="A7088" s="194" t="inlineStr">
        <is>
          <t>custom.melhoria.27.familia</t>
        </is>
      </c>
      <c r="B7088" s="194">
        <f>IF(ISBLANK('CONFIGURAÇÃO'!$E$1355),"",'CONFIGURAÇÃO'!$E$1355&amp;"")</f>
        <v/>
      </c>
      <c r="C7088" s="194">
        <f>"'CONFIGURAÇÃO'!E1355"</f>
        <v/>
      </c>
      <c r="D7088" s="194" t="inlineStr">
        <is>
          <t>configuração</t>
        </is>
      </c>
    </row>
    <row r="7089">
      <c r="A7089" s="194" t="inlineStr">
        <is>
          <t>custom.melhoria.27.peso</t>
        </is>
      </c>
      <c r="B7089" s="194">
        <f>IF(ISBLANK('CONFIGURAÇÃO'!$E$1356),"",'CONFIGURAÇÃO'!$E$1356&amp;"")</f>
        <v/>
      </c>
      <c r="C7089" s="194">
        <f>"'CONFIGURAÇÃO'!E1356"</f>
        <v/>
      </c>
      <c r="D7089" s="194" t="inlineStr">
        <is>
          <t>configuração</t>
        </is>
      </c>
    </row>
    <row r="7090">
      <c r="A7090" s="194" t="inlineStr">
        <is>
          <t>custom.melhoria.27.exige_tr</t>
        </is>
      </c>
      <c r="B7090" s="194">
        <f>IF(ISBLANK('CONFIGURAÇÃO'!$E$1357),"",'CONFIGURAÇÃO'!$E$1357&amp;"")</f>
        <v/>
      </c>
      <c r="C7090" s="194">
        <f>"'CONFIGURAÇÃO'!E1357"</f>
        <v/>
      </c>
      <c r="D7090" s="194" t="inlineStr">
        <is>
          <t>configuração</t>
        </is>
      </c>
    </row>
    <row r="7091">
      <c r="A7091" s="194" t="inlineStr">
        <is>
          <t>custom.melhoria.27.requisitos</t>
        </is>
      </c>
      <c r="B7091" s="194">
        <f>IF(ISBLANK('CONFIGURAÇÃO'!$B$1360),"",'CONFIGURAÇÃO'!$B$1360&amp;"")</f>
        <v/>
      </c>
      <c r="C7091" s="194">
        <f>"'CONFIGURAÇÃO'!B1360"</f>
        <v/>
      </c>
      <c r="D7091" s="194" t="inlineStr">
        <is>
          <t>configuração</t>
        </is>
      </c>
    </row>
    <row r="7092">
      <c r="A7092" s="194" t="inlineStr">
        <is>
          <t>custom.melhoria.27.efeito</t>
        </is>
      </c>
      <c r="B7092" s="194">
        <f>IF(ISBLANK('CONFIGURAÇÃO'!$B$1366),"",'CONFIGURAÇÃO'!$B$1366&amp;"")</f>
        <v/>
      </c>
      <c r="C7092" s="194">
        <f>"'CONFIGURAÇÃO'!B1366"</f>
        <v/>
      </c>
      <c r="D7092" s="194" t="inlineStr">
        <is>
          <t>configuração</t>
        </is>
      </c>
    </row>
    <row r="7093">
      <c r="A7093" s="194" t="inlineStr">
        <is>
          <t>custom.melhoria.27.mestre_viu</t>
        </is>
      </c>
      <c r="B7093" s="194">
        <f>N('CONFIGURAÇÃO'!$F$1351)&amp;""</f>
        <v/>
      </c>
      <c r="C7093" s="194">
        <f>"'CONFIGURAÇÃO'!F1351"</f>
        <v/>
      </c>
      <c r="D7093" s="194" t="inlineStr">
        <is>
          <t>configuração</t>
        </is>
      </c>
    </row>
    <row r="7094">
      <c r="A7094" s="194" t="inlineStr">
        <is>
          <t>custom.melhoria.28.nome</t>
        </is>
      </c>
      <c r="B7094" s="194">
        <f>IF(ISBLANK('CONFIGURAÇÃO'!$J$1353),"",'CONFIGURAÇÃO'!$J$1353&amp;"")</f>
        <v/>
      </c>
      <c r="C7094" s="194">
        <f>"'CONFIGURAÇÃO'!J1353"</f>
        <v/>
      </c>
      <c r="D7094" s="194" t="inlineStr">
        <is>
          <t>configuração</t>
        </is>
      </c>
    </row>
    <row r="7095">
      <c r="A7095" s="194" t="inlineStr">
        <is>
          <t>custom.melhoria.28.base</t>
        </is>
      </c>
      <c r="B7095" s="194">
        <f>IF(ISBLANK('CONFIGURAÇÃO'!$M$1354),"",'CONFIGURAÇÃO'!$M$1354&amp;"")</f>
        <v/>
      </c>
      <c r="C7095" s="194">
        <f>"'CONFIGURAÇÃO'!M1354"</f>
        <v/>
      </c>
      <c r="D7095" s="194" t="inlineStr">
        <is>
          <t>configuração</t>
        </is>
      </c>
    </row>
    <row r="7096">
      <c r="A7096" s="194" t="inlineStr">
        <is>
          <t>custom.melhoria.28.familia</t>
        </is>
      </c>
      <c r="B7096" s="194">
        <f>IF(ISBLANK('CONFIGURAÇÃO'!$M$1355),"",'CONFIGURAÇÃO'!$M$1355&amp;"")</f>
        <v/>
      </c>
      <c r="C7096" s="194">
        <f>"'CONFIGURAÇÃO'!M1355"</f>
        <v/>
      </c>
      <c r="D7096" s="194" t="inlineStr">
        <is>
          <t>configuração</t>
        </is>
      </c>
    </row>
    <row r="7097">
      <c r="A7097" s="194" t="inlineStr">
        <is>
          <t>custom.melhoria.28.peso</t>
        </is>
      </c>
      <c r="B7097" s="194">
        <f>IF(ISBLANK('CONFIGURAÇÃO'!$M$1356),"",'CONFIGURAÇÃO'!$M$1356&amp;"")</f>
        <v/>
      </c>
      <c r="C7097" s="194">
        <f>"'CONFIGURAÇÃO'!M1356"</f>
        <v/>
      </c>
      <c r="D7097" s="194" t="inlineStr">
        <is>
          <t>configuração</t>
        </is>
      </c>
    </row>
    <row r="7098">
      <c r="A7098" s="194" t="inlineStr">
        <is>
          <t>custom.melhoria.28.exige_tr</t>
        </is>
      </c>
      <c r="B7098" s="194">
        <f>IF(ISBLANK('CONFIGURAÇÃO'!$M$1357),"",'CONFIGURAÇÃO'!$M$1357&amp;"")</f>
        <v/>
      </c>
      <c r="C7098" s="194">
        <f>"'CONFIGURAÇÃO'!M1357"</f>
        <v/>
      </c>
      <c r="D7098" s="194" t="inlineStr">
        <is>
          <t>configuração</t>
        </is>
      </c>
    </row>
    <row r="7099">
      <c r="A7099" s="194" t="inlineStr">
        <is>
          <t>custom.melhoria.28.requisitos</t>
        </is>
      </c>
      <c r="B7099" s="194">
        <f>IF(ISBLANK('CONFIGURAÇÃO'!$J$1360),"",'CONFIGURAÇÃO'!$J$1360&amp;"")</f>
        <v/>
      </c>
      <c r="C7099" s="194">
        <f>"'CONFIGURAÇÃO'!J1360"</f>
        <v/>
      </c>
      <c r="D7099" s="194" t="inlineStr">
        <is>
          <t>configuração</t>
        </is>
      </c>
    </row>
    <row r="7100">
      <c r="A7100" s="194" t="inlineStr">
        <is>
          <t>custom.melhoria.28.efeito</t>
        </is>
      </c>
      <c r="B7100" s="194">
        <f>IF(ISBLANK('CONFIGURAÇÃO'!$J$1366),"",'CONFIGURAÇÃO'!$J$1366&amp;"")</f>
        <v/>
      </c>
      <c r="C7100" s="194">
        <f>"'CONFIGURAÇÃO'!J1366"</f>
        <v/>
      </c>
      <c r="D7100" s="194" t="inlineStr">
        <is>
          <t>configuração</t>
        </is>
      </c>
    </row>
    <row r="7101">
      <c r="A7101" s="194" t="inlineStr">
        <is>
          <t>custom.melhoria.28.mestre_viu</t>
        </is>
      </c>
      <c r="B7101" s="194">
        <f>N('CONFIGURAÇÃO'!$N$1351)&amp;""</f>
        <v/>
      </c>
      <c r="C7101" s="194">
        <f>"'CONFIGURAÇÃO'!N1351"</f>
        <v/>
      </c>
      <c r="D7101" s="194" t="inlineStr">
        <is>
          <t>configuração</t>
        </is>
      </c>
    </row>
    <row r="7102">
      <c r="A7102" s="194" t="inlineStr">
        <is>
          <t>custom.melhoria.29.nome</t>
        </is>
      </c>
      <c r="B7102" s="194">
        <f>IF(ISBLANK('CONFIGURAÇÃO'!$B$1379),"",'CONFIGURAÇÃO'!$B$1379&amp;"")</f>
        <v/>
      </c>
      <c r="C7102" s="194">
        <f>"'CONFIGURAÇÃO'!B1379"</f>
        <v/>
      </c>
      <c r="D7102" s="194" t="inlineStr">
        <is>
          <t>configuração</t>
        </is>
      </c>
    </row>
    <row r="7103">
      <c r="A7103" s="194" t="inlineStr">
        <is>
          <t>custom.melhoria.29.base</t>
        </is>
      </c>
      <c r="B7103" s="194">
        <f>IF(ISBLANK('CONFIGURAÇÃO'!$E$1380),"",'CONFIGURAÇÃO'!$E$1380&amp;"")</f>
        <v/>
      </c>
      <c r="C7103" s="194">
        <f>"'CONFIGURAÇÃO'!E1380"</f>
        <v/>
      </c>
      <c r="D7103" s="194" t="inlineStr">
        <is>
          <t>configuração</t>
        </is>
      </c>
    </row>
    <row r="7104">
      <c r="A7104" s="194" t="inlineStr">
        <is>
          <t>custom.melhoria.29.familia</t>
        </is>
      </c>
      <c r="B7104" s="194">
        <f>IF(ISBLANK('CONFIGURAÇÃO'!$E$1381),"",'CONFIGURAÇÃO'!$E$1381&amp;"")</f>
        <v/>
      </c>
      <c r="C7104" s="194">
        <f>"'CONFIGURAÇÃO'!E1381"</f>
        <v/>
      </c>
      <c r="D7104" s="194" t="inlineStr">
        <is>
          <t>configuração</t>
        </is>
      </c>
    </row>
    <row r="7105">
      <c r="A7105" s="194" t="inlineStr">
        <is>
          <t>custom.melhoria.29.peso</t>
        </is>
      </c>
      <c r="B7105" s="194">
        <f>IF(ISBLANK('CONFIGURAÇÃO'!$E$1382),"",'CONFIGURAÇÃO'!$E$1382&amp;"")</f>
        <v/>
      </c>
      <c r="C7105" s="194">
        <f>"'CONFIGURAÇÃO'!E1382"</f>
        <v/>
      </c>
      <c r="D7105" s="194" t="inlineStr">
        <is>
          <t>configuração</t>
        </is>
      </c>
    </row>
    <row r="7106">
      <c r="A7106" s="194" t="inlineStr">
        <is>
          <t>custom.melhoria.29.exige_tr</t>
        </is>
      </c>
      <c r="B7106" s="194">
        <f>IF(ISBLANK('CONFIGURAÇÃO'!$E$1383),"",'CONFIGURAÇÃO'!$E$1383&amp;"")</f>
        <v/>
      </c>
      <c r="C7106" s="194">
        <f>"'CONFIGURAÇÃO'!E1383"</f>
        <v/>
      </c>
      <c r="D7106" s="194" t="inlineStr">
        <is>
          <t>configuração</t>
        </is>
      </c>
    </row>
    <row r="7107">
      <c r="A7107" s="194" t="inlineStr">
        <is>
          <t>custom.melhoria.29.requisitos</t>
        </is>
      </c>
      <c r="B7107" s="194">
        <f>IF(ISBLANK('CONFIGURAÇÃO'!$B$1386),"",'CONFIGURAÇÃO'!$B$1386&amp;"")</f>
        <v/>
      </c>
      <c r="C7107" s="194">
        <f>"'CONFIGURAÇÃO'!B1386"</f>
        <v/>
      </c>
      <c r="D7107" s="194" t="inlineStr">
        <is>
          <t>configuração</t>
        </is>
      </c>
    </row>
    <row r="7108">
      <c r="A7108" s="194" t="inlineStr">
        <is>
          <t>custom.melhoria.29.efeito</t>
        </is>
      </c>
      <c r="B7108" s="194">
        <f>IF(ISBLANK('CONFIGURAÇÃO'!$B$1392),"",'CONFIGURAÇÃO'!$B$1392&amp;"")</f>
        <v/>
      </c>
      <c r="C7108" s="194">
        <f>"'CONFIGURAÇÃO'!B1392"</f>
        <v/>
      </c>
      <c r="D7108" s="194" t="inlineStr">
        <is>
          <t>configuração</t>
        </is>
      </c>
    </row>
    <row r="7109">
      <c r="A7109" s="194" t="inlineStr">
        <is>
          <t>custom.melhoria.29.mestre_viu</t>
        </is>
      </c>
      <c r="B7109" s="194">
        <f>N('CONFIGURAÇÃO'!$F$1377)&amp;""</f>
        <v/>
      </c>
      <c r="C7109" s="194">
        <f>"'CONFIGURAÇÃO'!F1377"</f>
        <v/>
      </c>
      <c r="D7109" s="194" t="inlineStr">
        <is>
          <t>configuração</t>
        </is>
      </c>
    </row>
    <row r="7110">
      <c r="A7110" s="194" t="inlineStr">
        <is>
          <t>custom.melhoria.30.nome</t>
        </is>
      </c>
      <c r="B7110" s="194">
        <f>IF(ISBLANK('CONFIGURAÇÃO'!$J$1379),"",'CONFIGURAÇÃO'!$J$1379&amp;"")</f>
        <v/>
      </c>
      <c r="C7110" s="194">
        <f>"'CONFIGURAÇÃO'!J1379"</f>
        <v/>
      </c>
      <c r="D7110" s="194" t="inlineStr">
        <is>
          <t>configuração</t>
        </is>
      </c>
    </row>
    <row r="7111">
      <c r="A7111" s="194" t="inlineStr">
        <is>
          <t>custom.melhoria.30.base</t>
        </is>
      </c>
      <c r="B7111" s="194">
        <f>IF(ISBLANK('CONFIGURAÇÃO'!$M$1380),"",'CONFIGURAÇÃO'!$M$1380&amp;"")</f>
        <v/>
      </c>
      <c r="C7111" s="194">
        <f>"'CONFIGURAÇÃO'!M1380"</f>
        <v/>
      </c>
      <c r="D7111" s="194" t="inlineStr">
        <is>
          <t>configuração</t>
        </is>
      </c>
    </row>
    <row r="7112">
      <c r="A7112" s="194" t="inlineStr">
        <is>
          <t>custom.melhoria.30.familia</t>
        </is>
      </c>
      <c r="B7112" s="194">
        <f>IF(ISBLANK('CONFIGURAÇÃO'!$M$1381),"",'CONFIGURAÇÃO'!$M$1381&amp;"")</f>
        <v/>
      </c>
      <c r="C7112" s="194">
        <f>"'CONFIGURAÇÃO'!M1381"</f>
        <v/>
      </c>
      <c r="D7112" s="194" t="inlineStr">
        <is>
          <t>configuração</t>
        </is>
      </c>
    </row>
    <row r="7113">
      <c r="A7113" s="194" t="inlineStr">
        <is>
          <t>custom.melhoria.30.peso</t>
        </is>
      </c>
      <c r="B7113" s="194">
        <f>IF(ISBLANK('CONFIGURAÇÃO'!$M$1382),"",'CONFIGURAÇÃO'!$M$1382&amp;"")</f>
        <v/>
      </c>
      <c r="C7113" s="194">
        <f>"'CONFIGURAÇÃO'!M1382"</f>
        <v/>
      </c>
      <c r="D7113" s="194" t="inlineStr">
        <is>
          <t>configuração</t>
        </is>
      </c>
    </row>
    <row r="7114">
      <c r="A7114" s="194" t="inlineStr">
        <is>
          <t>custom.melhoria.30.exige_tr</t>
        </is>
      </c>
      <c r="B7114" s="194">
        <f>IF(ISBLANK('CONFIGURAÇÃO'!$M$1383),"",'CONFIGURAÇÃO'!$M$1383&amp;"")</f>
        <v/>
      </c>
      <c r="C7114" s="194">
        <f>"'CONFIGURAÇÃO'!M1383"</f>
        <v/>
      </c>
      <c r="D7114" s="194" t="inlineStr">
        <is>
          <t>configuração</t>
        </is>
      </c>
    </row>
    <row r="7115">
      <c r="A7115" s="194" t="inlineStr">
        <is>
          <t>custom.melhoria.30.requisitos</t>
        </is>
      </c>
      <c r="B7115" s="194">
        <f>IF(ISBLANK('CONFIGURAÇÃO'!$J$1386),"",'CONFIGURAÇÃO'!$J$1386&amp;"")</f>
        <v/>
      </c>
      <c r="C7115" s="194">
        <f>"'CONFIGURAÇÃO'!J1386"</f>
        <v/>
      </c>
      <c r="D7115" s="194" t="inlineStr">
        <is>
          <t>configuração</t>
        </is>
      </c>
    </row>
    <row r="7116">
      <c r="A7116" s="194" t="inlineStr">
        <is>
          <t>custom.melhoria.30.efeito</t>
        </is>
      </c>
      <c r="B7116" s="194">
        <f>IF(ISBLANK('CONFIGURAÇÃO'!$J$1392),"",'CONFIGURAÇÃO'!$J$1392&amp;"")</f>
        <v/>
      </c>
      <c r="C7116" s="194">
        <f>"'CONFIGURAÇÃO'!J1392"</f>
        <v/>
      </c>
      <c r="D7116" s="194" t="inlineStr">
        <is>
          <t>configuração</t>
        </is>
      </c>
    </row>
    <row r="7117">
      <c r="A7117" s="194" t="inlineStr">
        <is>
          <t>custom.melhoria.30.mestre_viu</t>
        </is>
      </c>
      <c r="B7117" s="194">
        <f>N('CONFIGURAÇÃO'!$N$1377)&amp;""</f>
        <v/>
      </c>
      <c r="C7117" s="194">
        <f>"'CONFIGURAÇÃO'!N1377"</f>
        <v/>
      </c>
      <c r="D7117" s="194" t="inlineStr">
        <is>
          <t>configuração</t>
        </is>
      </c>
    </row>
    <row r="7118">
      <c r="A7118" s="194" t="inlineStr">
        <is>
          <t>custom.restricao.1.nome</t>
        </is>
      </c>
      <c r="B7118" s="194">
        <f>IF(ISBLANK('CONFIGURAÇÃO'!$B$1408),"",'CONFIGURAÇÃO'!$B$1408&amp;"")</f>
        <v/>
      </c>
      <c r="C7118" s="194">
        <f>"'CONFIGURAÇÃO'!B1408"</f>
        <v/>
      </c>
      <c r="D7118" s="194" t="inlineStr">
        <is>
          <t>configuração</t>
        </is>
      </c>
    </row>
    <row r="7119">
      <c r="A7119" s="194" t="inlineStr">
        <is>
          <t>custom.restricao.1.base</t>
        </is>
      </c>
      <c r="B7119" s="194">
        <f>IF(ISBLANK('CONFIGURAÇÃO'!$E$1409),"",'CONFIGURAÇÃO'!$E$1409&amp;"")</f>
        <v/>
      </c>
      <c r="C7119" s="194">
        <f>"'CONFIGURAÇÃO'!E1409"</f>
        <v/>
      </c>
      <c r="D7119" s="194" t="inlineStr">
        <is>
          <t>configuração</t>
        </is>
      </c>
    </row>
    <row r="7120">
      <c r="A7120" s="194" t="inlineStr">
        <is>
          <t>custom.restricao.1.devolucao</t>
        </is>
      </c>
      <c r="B7120" s="194">
        <f>IF(ISBLANK('CONFIGURAÇÃO'!$E$1410),"",'CONFIGURAÇÃO'!$E$1410&amp;"")</f>
        <v/>
      </c>
      <c r="C7120" s="194">
        <f>"'CONFIGURAÇÃO'!E1410"</f>
        <v/>
      </c>
      <c r="D7120" s="194" t="inlineStr">
        <is>
          <t>configuração</t>
        </is>
      </c>
    </row>
    <row r="7121">
      <c r="A7121" s="194" t="inlineStr">
        <is>
          <t>custom.restricao.1.frequencia</t>
        </is>
      </c>
      <c r="B7121" s="194">
        <f>IF(ISBLANK('CONFIGURAÇÃO'!$E$1411),"",'CONFIGURAÇÃO'!$E$1411&amp;"")</f>
        <v/>
      </c>
      <c r="C7121" s="194">
        <f>"'CONFIGURAÇÃO'!E1411"</f>
        <v/>
      </c>
      <c r="D7121" s="194" t="inlineStr">
        <is>
          <t>configuração</t>
        </is>
      </c>
    </row>
    <row r="7122">
      <c r="A7122" s="194" t="inlineStr">
        <is>
          <t>custom.restricao.1.efeito</t>
        </is>
      </c>
      <c r="B7122" s="194">
        <f>IF(ISBLANK('CONFIGURAÇÃO'!$B$1414),"",'CONFIGURAÇÃO'!$B$1414&amp;"")</f>
        <v/>
      </c>
      <c r="C7122" s="194">
        <f>"'CONFIGURAÇÃO'!B1414"</f>
        <v/>
      </c>
      <c r="D7122" s="194" t="inlineStr">
        <is>
          <t>configuração</t>
        </is>
      </c>
    </row>
    <row r="7123">
      <c r="A7123" s="194" t="inlineStr">
        <is>
          <t>custom.restricao.1.mestre_viu</t>
        </is>
      </c>
      <c r="B7123" s="194">
        <f>N('CONFIGURAÇÃO'!$F$1406)&amp;""</f>
        <v/>
      </c>
      <c r="C7123" s="194">
        <f>"'CONFIGURAÇÃO'!F1406"</f>
        <v/>
      </c>
      <c r="D7123" s="194" t="inlineStr">
        <is>
          <t>configuração</t>
        </is>
      </c>
    </row>
    <row r="7124">
      <c r="A7124" s="194" t="inlineStr">
        <is>
          <t>custom.restricao.2.nome</t>
        </is>
      </c>
      <c r="B7124" s="194">
        <f>IF(ISBLANK('CONFIGURAÇÃO'!$J$1408),"",'CONFIGURAÇÃO'!$J$1408&amp;"")</f>
        <v/>
      </c>
      <c r="C7124" s="194">
        <f>"'CONFIGURAÇÃO'!J1408"</f>
        <v/>
      </c>
      <c r="D7124" s="194" t="inlineStr">
        <is>
          <t>configuração</t>
        </is>
      </c>
    </row>
    <row r="7125">
      <c r="A7125" s="194" t="inlineStr">
        <is>
          <t>custom.restricao.2.base</t>
        </is>
      </c>
      <c r="B7125" s="194">
        <f>IF(ISBLANK('CONFIGURAÇÃO'!$M$1409),"",'CONFIGURAÇÃO'!$M$1409&amp;"")</f>
        <v/>
      </c>
      <c r="C7125" s="194">
        <f>"'CONFIGURAÇÃO'!M1409"</f>
        <v/>
      </c>
      <c r="D7125" s="194" t="inlineStr">
        <is>
          <t>configuração</t>
        </is>
      </c>
    </row>
    <row r="7126">
      <c r="A7126" s="194" t="inlineStr">
        <is>
          <t>custom.restricao.2.devolucao</t>
        </is>
      </c>
      <c r="B7126" s="194">
        <f>IF(ISBLANK('CONFIGURAÇÃO'!$M$1410),"",'CONFIGURAÇÃO'!$M$1410&amp;"")</f>
        <v/>
      </c>
      <c r="C7126" s="194">
        <f>"'CONFIGURAÇÃO'!M1410"</f>
        <v/>
      </c>
      <c r="D7126" s="194" t="inlineStr">
        <is>
          <t>configuração</t>
        </is>
      </c>
    </row>
    <row r="7127">
      <c r="A7127" s="194" t="inlineStr">
        <is>
          <t>custom.restricao.2.frequencia</t>
        </is>
      </c>
      <c r="B7127" s="194">
        <f>IF(ISBLANK('CONFIGURAÇÃO'!$M$1411),"",'CONFIGURAÇÃO'!$M$1411&amp;"")</f>
        <v/>
      </c>
      <c r="C7127" s="194">
        <f>"'CONFIGURAÇÃO'!M1411"</f>
        <v/>
      </c>
      <c r="D7127" s="194" t="inlineStr">
        <is>
          <t>configuração</t>
        </is>
      </c>
    </row>
    <row r="7128">
      <c r="A7128" s="194" t="inlineStr">
        <is>
          <t>custom.restricao.2.efeito</t>
        </is>
      </c>
      <c r="B7128" s="194">
        <f>IF(ISBLANK('CONFIGURAÇÃO'!$J$1414),"",'CONFIGURAÇÃO'!$J$1414&amp;"")</f>
        <v/>
      </c>
      <c r="C7128" s="194">
        <f>"'CONFIGURAÇÃO'!J1414"</f>
        <v/>
      </c>
      <c r="D7128" s="194" t="inlineStr">
        <is>
          <t>configuração</t>
        </is>
      </c>
    </row>
    <row r="7129">
      <c r="A7129" s="194" t="inlineStr">
        <is>
          <t>custom.restricao.2.mestre_viu</t>
        </is>
      </c>
      <c r="B7129" s="194">
        <f>N('CONFIGURAÇÃO'!$N$1406)&amp;""</f>
        <v/>
      </c>
      <c r="C7129" s="194">
        <f>"'CONFIGURAÇÃO'!N1406"</f>
        <v/>
      </c>
      <c r="D7129" s="194" t="inlineStr">
        <is>
          <t>configuração</t>
        </is>
      </c>
    </row>
    <row r="7130">
      <c r="A7130" s="194" t="inlineStr">
        <is>
          <t>custom.restricao.3.nome</t>
        </is>
      </c>
      <c r="B7130" s="194">
        <f>IF(ISBLANK('CONFIGURAÇÃO'!$B$1430),"",'CONFIGURAÇÃO'!$B$1430&amp;"")</f>
        <v/>
      </c>
      <c r="C7130" s="194">
        <f>"'CONFIGURAÇÃO'!B1430"</f>
        <v/>
      </c>
      <c r="D7130" s="194" t="inlineStr">
        <is>
          <t>configuração</t>
        </is>
      </c>
    </row>
    <row r="7131">
      <c r="A7131" s="194" t="inlineStr">
        <is>
          <t>custom.restricao.3.base</t>
        </is>
      </c>
      <c r="B7131" s="194">
        <f>IF(ISBLANK('CONFIGURAÇÃO'!$E$1431),"",'CONFIGURAÇÃO'!$E$1431&amp;"")</f>
        <v/>
      </c>
      <c r="C7131" s="194">
        <f>"'CONFIGURAÇÃO'!E1431"</f>
        <v/>
      </c>
      <c r="D7131" s="194" t="inlineStr">
        <is>
          <t>configuração</t>
        </is>
      </c>
    </row>
    <row r="7132">
      <c r="A7132" s="194" t="inlineStr">
        <is>
          <t>custom.restricao.3.devolucao</t>
        </is>
      </c>
      <c r="B7132" s="194">
        <f>IF(ISBLANK('CONFIGURAÇÃO'!$E$1432),"",'CONFIGURAÇÃO'!$E$1432&amp;"")</f>
        <v/>
      </c>
      <c r="C7132" s="194">
        <f>"'CONFIGURAÇÃO'!E1432"</f>
        <v/>
      </c>
      <c r="D7132" s="194" t="inlineStr">
        <is>
          <t>configuração</t>
        </is>
      </c>
    </row>
    <row r="7133">
      <c r="A7133" s="194" t="inlineStr">
        <is>
          <t>custom.restricao.3.frequencia</t>
        </is>
      </c>
      <c r="B7133" s="194">
        <f>IF(ISBLANK('CONFIGURAÇÃO'!$E$1433),"",'CONFIGURAÇÃO'!$E$1433&amp;"")</f>
        <v/>
      </c>
      <c r="C7133" s="194">
        <f>"'CONFIGURAÇÃO'!E1433"</f>
        <v/>
      </c>
      <c r="D7133" s="194" t="inlineStr">
        <is>
          <t>configuração</t>
        </is>
      </c>
    </row>
    <row r="7134">
      <c r="A7134" s="194" t="inlineStr">
        <is>
          <t>custom.restricao.3.efeito</t>
        </is>
      </c>
      <c r="B7134" s="194">
        <f>IF(ISBLANK('CONFIGURAÇÃO'!$B$1436),"",'CONFIGURAÇÃO'!$B$1436&amp;"")</f>
        <v/>
      </c>
      <c r="C7134" s="194">
        <f>"'CONFIGURAÇÃO'!B1436"</f>
        <v/>
      </c>
      <c r="D7134" s="194" t="inlineStr">
        <is>
          <t>configuração</t>
        </is>
      </c>
    </row>
    <row r="7135">
      <c r="A7135" s="194" t="inlineStr">
        <is>
          <t>custom.restricao.3.mestre_viu</t>
        </is>
      </c>
      <c r="B7135" s="194">
        <f>N('CONFIGURAÇÃO'!$F$1428)&amp;""</f>
        <v/>
      </c>
      <c r="C7135" s="194">
        <f>"'CONFIGURAÇÃO'!F1428"</f>
        <v/>
      </c>
      <c r="D7135" s="194" t="inlineStr">
        <is>
          <t>configuração</t>
        </is>
      </c>
    </row>
    <row r="7136">
      <c r="A7136" s="194" t="inlineStr">
        <is>
          <t>custom.restricao.4.nome</t>
        </is>
      </c>
      <c r="B7136" s="194">
        <f>IF(ISBLANK('CONFIGURAÇÃO'!$J$1430),"",'CONFIGURAÇÃO'!$J$1430&amp;"")</f>
        <v/>
      </c>
      <c r="C7136" s="194">
        <f>"'CONFIGURAÇÃO'!J1430"</f>
        <v/>
      </c>
      <c r="D7136" s="194" t="inlineStr">
        <is>
          <t>configuração</t>
        </is>
      </c>
    </row>
    <row r="7137">
      <c r="A7137" s="194" t="inlineStr">
        <is>
          <t>custom.restricao.4.base</t>
        </is>
      </c>
      <c r="B7137" s="194">
        <f>IF(ISBLANK('CONFIGURAÇÃO'!$M$1431),"",'CONFIGURAÇÃO'!$M$1431&amp;"")</f>
        <v/>
      </c>
      <c r="C7137" s="194">
        <f>"'CONFIGURAÇÃO'!M1431"</f>
        <v/>
      </c>
      <c r="D7137" s="194" t="inlineStr">
        <is>
          <t>configuração</t>
        </is>
      </c>
    </row>
    <row r="7138">
      <c r="A7138" s="194" t="inlineStr">
        <is>
          <t>custom.restricao.4.devolucao</t>
        </is>
      </c>
      <c r="B7138" s="194">
        <f>IF(ISBLANK('CONFIGURAÇÃO'!$M$1432),"",'CONFIGURAÇÃO'!$M$1432&amp;"")</f>
        <v/>
      </c>
      <c r="C7138" s="194">
        <f>"'CONFIGURAÇÃO'!M1432"</f>
        <v/>
      </c>
      <c r="D7138" s="194" t="inlineStr">
        <is>
          <t>configuração</t>
        </is>
      </c>
    </row>
    <row r="7139">
      <c r="A7139" s="194" t="inlineStr">
        <is>
          <t>custom.restricao.4.frequencia</t>
        </is>
      </c>
      <c r="B7139" s="194">
        <f>IF(ISBLANK('CONFIGURAÇÃO'!$M$1433),"",'CONFIGURAÇÃO'!$M$1433&amp;"")</f>
        <v/>
      </c>
      <c r="C7139" s="194">
        <f>"'CONFIGURAÇÃO'!M1433"</f>
        <v/>
      </c>
      <c r="D7139" s="194" t="inlineStr">
        <is>
          <t>configuração</t>
        </is>
      </c>
    </row>
    <row r="7140">
      <c r="A7140" s="194" t="inlineStr">
        <is>
          <t>custom.restricao.4.efeito</t>
        </is>
      </c>
      <c r="B7140" s="194">
        <f>IF(ISBLANK('CONFIGURAÇÃO'!$J$1436),"",'CONFIGURAÇÃO'!$J$1436&amp;"")</f>
        <v/>
      </c>
      <c r="C7140" s="194">
        <f>"'CONFIGURAÇÃO'!J1436"</f>
        <v/>
      </c>
      <c r="D7140" s="194" t="inlineStr">
        <is>
          <t>configuração</t>
        </is>
      </c>
    </row>
    <row r="7141">
      <c r="A7141" s="194" t="inlineStr">
        <is>
          <t>custom.restricao.4.mestre_viu</t>
        </is>
      </c>
      <c r="B7141" s="194">
        <f>N('CONFIGURAÇÃO'!$N$1428)&amp;""</f>
        <v/>
      </c>
      <c r="C7141" s="194">
        <f>"'CONFIGURAÇÃO'!N1428"</f>
        <v/>
      </c>
      <c r="D7141" s="194" t="inlineStr">
        <is>
          <t>configuração</t>
        </is>
      </c>
    </row>
    <row r="7142">
      <c r="A7142" s="194" t="inlineStr">
        <is>
          <t>custom.restricao.5.nome</t>
        </is>
      </c>
      <c r="B7142" s="194">
        <f>IF(ISBLANK('CONFIGURAÇÃO'!$B$1452),"",'CONFIGURAÇÃO'!$B$1452&amp;"")</f>
        <v/>
      </c>
      <c r="C7142" s="194">
        <f>"'CONFIGURAÇÃO'!B1452"</f>
        <v/>
      </c>
      <c r="D7142" s="194" t="inlineStr">
        <is>
          <t>configuração</t>
        </is>
      </c>
    </row>
    <row r="7143">
      <c r="A7143" s="194" t="inlineStr">
        <is>
          <t>custom.restricao.5.base</t>
        </is>
      </c>
      <c r="B7143" s="194">
        <f>IF(ISBLANK('CONFIGURAÇÃO'!$E$1453),"",'CONFIGURAÇÃO'!$E$1453&amp;"")</f>
        <v/>
      </c>
      <c r="C7143" s="194">
        <f>"'CONFIGURAÇÃO'!E1453"</f>
        <v/>
      </c>
      <c r="D7143" s="194" t="inlineStr">
        <is>
          <t>configuração</t>
        </is>
      </c>
    </row>
    <row r="7144">
      <c r="A7144" s="194" t="inlineStr">
        <is>
          <t>custom.restricao.5.devolucao</t>
        </is>
      </c>
      <c r="B7144" s="194">
        <f>IF(ISBLANK('CONFIGURAÇÃO'!$E$1454),"",'CONFIGURAÇÃO'!$E$1454&amp;"")</f>
        <v/>
      </c>
      <c r="C7144" s="194">
        <f>"'CONFIGURAÇÃO'!E1454"</f>
        <v/>
      </c>
      <c r="D7144" s="194" t="inlineStr">
        <is>
          <t>configuração</t>
        </is>
      </c>
    </row>
    <row r="7145">
      <c r="A7145" s="194" t="inlineStr">
        <is>
          <t>custom.restricao.5.frequencia</t>
        </is>
      </c>
      <c r="B7145" s="194">
        <f>IF(ISBLANK('CONFIGURAÇÃO'!$E$1455),"",'CONFIGURAÇÃO'!$E$1455&amp;"")</f>
        <v/>
      </c>
      <c r="C7145" s="194">
        <f>"'CONFIGURAÇÃO'!E1455"</f>
        <v/>
      </c>
      <c r="D7145" s="194" t="inlineStr">
        <is>
          <t>configuração</t>
        </is>
      </c>
    </row>
    <row r="7146">
      <c r="A7146" s="194" t="inlineStr">
        <is>
          <t>custom.restricao.5.efeito</t>
        </is>
      </c>
      <c r="B7146" s="194">
        <f>IF(ISBLANK('CONFIGURAÇÃO'!$B$1458),"",'CONFIGURAÇÃO'!$B$1458&amp;"")</f>
        <v/>
      </c>
      <c r="C7146" s="194">
        <f>"'CONFIGURAÇÃO'!B1458"</f>
        <v/>
      </c>
      <c r="D7146" s="194" t="inlineStr">
        <is>
          <t>configuração</t>
        </is>
      </c>
    </row>
    <row r="7147">
      <c r="A7147" s="194" t="inlineStr">
        <is>
          <t>custom.restricao.5.mestre_viu</t>
        </is>
      </c>
      <c r="B7147" s="194">
        <f>N('CONFIGURAÇÃO'!$F$1450)&amp;""</f>
        <v/>
      </c>
      <c r="C7147" s="194">
        <f>"'CONFIGURAÇÃO'!F1450"</f>
        <v/>
      </c>
      <c r="D7147" s="194" t="inlineStr">
        <is>
          <t>configuração</t>
        </is>
      </c>
    </row>
    <row r="7148">
      <c r="A7148" s="194" t="inlineStr">
        <is>
          <t>custom.restricao.6.nome</t>
        </is>
      </c>
      <c r="B7148" s="194">
        <f>IF(ISBLANK('CONFIGURAÇÃO'!$J$1452),"",'CONFIGURAÇÃO'!$J$1452&amp;"")</f>
        <v/>
      </c>
      <c r="C7148" s="194">
        <f>"'CONFIGURAÇÃO'!J1452"</f>
        <v/>
      </c>
      <c r="D7148" s="194" t="inlineStr">
        <is>
          <t>configuração</t>
        </is>
      </c>
    </row>
    <row r="7149">
      <c r="A7149" s="194" t="inlineStr">
        <is>
          <t>custom.restricao.6.base</t>
        </is>
      </c>
      <c r="B7149" s="194">
        <f>IF(ISBLANK('CONFIGURAÇÃO'!$M$1453),"",'CONFIGURAÇÃO'!$M$1453&amp;"")</f>
        <v/>
      </c>
      <c r="C7149" s="194">
        <f>"'CONFIGURAÇÃO'!M1453"</f>
        <v/>
      </c>
      <c r="D7149" s="194" t="inlineStr">
        <is>
          <t>configuração</t>
        </is>
      </c>
    </row>
    <row r="7150">
      <c r="A7150" s="194" t="inlineStr">
        <is>
          <t>custom.restricao.6.devolucao</t>
        </is>
      </c>
      <c r="B7150" s="194">
        <f>IF(ISBLANK('CONFIGURAÇÃO'!$M$1454),"",'CONFIGURAÇÃO'!$M$1454&amp;"")</f>
        <v/>
      </c>
      <c r="C7150" s="194">
        <f>"'CONFIGURAÇÃO'!M1454"</f>
        <v/>
      </c>
      <c r="D7150" s="194" t="inlineStr">
        <is>
          <t>configuração</t>
        </is>
      </c>
    </row>
    <row r="7151">
      <c r="A7151" s="194" t="inlineStr">
        <is>
          <t>custom.restricao.6.frequencia</t>
        </is>
      </c>
      <c r="B7151" s="194">
        <f>IF(ISBLANK('CONFIGURAÇÃO'!$M$1455),"",'CONFIGURAÇÃO'!$M$1455&amp;"")</f>
        <v/>
      </c>
      <c r="C7151" s="194">
        <f>"'CONFIGURAÇÃO'!M1455"</f>
        <v/>
      </c>
      <c r="D7151" s="194" t="inlineStr">
        <is>
          <t>configuração</t>
        </is>
      </c>
    </row>
    <row r="7152">
      <c r="A7152" s="194" t="inlineStr">
        <is>
          <t>custom.restricao.6.efeito</t>
        </is>
      </c>
      <c r="B7152" s="194">
        <f>IF(ISBLANK('CONFIGURAÇÃO'!$J$1458),"",'CONFIGURAÇÃO'!$J$1458&amp;"")</f>
        <v/>
      </c>
      <c r="C7152" s="194">
        <f>"'CONFIGURAÇÃO'!J1458"</f>
        <v/>
      </c>
      <c r="D7152" s="194" t="inlineStr">
        <is>
          <t>configuração</t>
        </is>
      </c>
    </row>
    <row r="7153">
      <c r="A7153" s="194" t="inlineStr">
        <is>
          <t>custom.restricao.6.mestre_viu</t>
        </is>
      </c>
      <c r="B7153" s="194">
        <f>N('CONFIGURAÇÃO'!$N$1450)&amp;""</f>
        <v/>
      </c>
      <c r="C7153" s="194">
        <f>"'CONFIGURAÇÃO'!N1450"</f>
        <v/>
      </c>
      <c r="D7153" s="194" t="inlineStr">
        <is>
          <t>configuração</t>
        </is>
      </c>
    </row>
    <row r="7154">
      <c r="A7154" s="194" t="inlineStr">
        <is>
          <t>custom.restricao.7.nome</t>
        </is>
      </c>
      <c r="B7154" s="194">
        <f>IF(ISBLANK('CONFIGURAÇÃO'!$B$1474),"",'CONFIGURAÇÃO'!$B$1474&amp;"")</f>
        <v/>
      </c>
      <c r="C7154" s="194">
        <f>"'CONFIGURAÇÃO'!B1474"</f>
        <v/>
      </c>
      <c r="D7154" s="194" t="inlineStr">
        <is>
          <t>configuração</t>
        </is>
      </c>
    </row>
    <row r="7155">
      <c r="A7155" s="194" t="inlineStr">
        <is>
          <t>custom.restricao.7.base</t>
        </is>
      </c>
      <c r="B7155" s="194">
        <f>IF(ISBLANK('CONFIGURAÇÃO'!$E$1475),"",'CONFIGURAÇÃO'!$E$1475&amp;"")</f>
        <v/>
      </c>
      <c r="C7155" s="194">
        <f>"'CONFIGURAÇÃO'!E1475"</f>
        <v/>
      </c>
      <c r="D7155" s="194" t="inlineStr">
        <is>
          <t>configuração</t>
        </is>
      </c>
    </row>
    <row r="7156">
      <c r="A7156" s="194" t="inlineStr">
        <is>
          <t>custom.restricao.7.devolucao</t>
        </is>
      </c>
      <c r="B7156" s="194">
        <f>IF(ISBLANK('CONFIGURAÇÃO'!$E$1476),"",'CONFIGURAÇÃO'!$E$1476&amp;"")</f>
        <v/>
      </c>
      <c r="C7156" s="194">
        <f>"'CONFIGURAÇÃO'!E1476"</f>
        <v/>
      </c>
      <c r="D7156" s="194" t="inlineStr">
        <is>
          <t>configuração</t>
        </is>
      </c>
    </row>
    <row r="7157">
      <c r="A7157" s="194" t="inlineStr">
        <is>
          <t>custom.restricao.7.frequencia</t>
        </is>
      </c>
      <c r="B7157" s="194">
        <f>IF(ISBLANK('CONFIGURAÇÃO'!$E$1477),"",'CONFIGURAÇÃO'!$E$1477&amp;"")</f>
        <v/>
      </c>
      <c r="C7157" s="194">
        <f>"'CONFIGURAÇÃO'!E1477"</f>
        <v/>
      </c>
      <c r="D7157" s="194" t="inlineStr">
        <is>
          <t>configuração</t>
        </is>
      </c>
    </row>
    <row r="7158">
      <c r="A7158" s="194" t="inlineStr">
        <is>
          <t>custom.restricao.7.efeito</t>
        </is>
      </c>
      <c r="B7158" s="194">
        <f>IF(ISBLANK('CONFIGURAÇÃO'!$B$1480),"",'CONFIGURAÇÃO'!$B$1480&amp;"")</f>
        <v/>
      </c>
      <c r="C7158" s="194">
        <f>"'CONFIGURAÇÃO'!B1480"</f>
        <v/>
      </c>
      <c r="D7158" s="194" t="inlineStr">
        <is>
          <t>configuração</t>
        </is>
      </c>
    </row>
    <row r="7159">
      <c r="A7159" s="194" t="inlineStr">
        <is>
          <t>custom.restricao.7.mestre_viu</t>
        </is>
      </c>
      <c r="B7159" s="194">
        <f>N('CONFIGURAÇÃO'!$F$1472)&amp;""</f>
        <v/>
      </c>
      <c r="C7159" s="194">
        <f>"'CONFIGURAÇÃO'!F1472"</f>
        <v/>
      </c>
      <c r="D7159" s="194" t="inlineStr">
        <is>
          <t>configuração</t>
        </is>
      </c>
    </row>
    <row r="7160">
      <c r="A7160" s="194" t="inlineStr">
        <is>
          <t>custom.restricao.8.nome</t>
        </is>
      </c>
      <c r="B7160" s="194">
        <f>IF(ISBLANK('CONFIGURAÇÃO'!$J$1474),"",'CONFIGURAÇÃO'!$J$1474&amp;"")</f>
        <v/>
      </c>
      <c r="C7160" s="194">
        <f>"'CONFIGURAÇÃO'!J1474"</f>
        <v/>
      </c>
      <c r="D7160" s="194" t="inlineStr">
        <is>
          <t>configuração</t>
        </is>
      </c>
    </row>
    <row r="7161">
      <c r="A7161" s="194" t="inlineStr">
        <is>
          <t>custom.restricao.8.base</t>
        </is>
      </c>
      <c r="B7161" s="194">
        <f>IF(ISBLANK('CONFIGURAÇÃO'!$M$1475),"",'CONFIGURAÇÃO'!$M$1475&amp;"")</f>
        <v/>
      </c>
      <c r="C7161" s="194">
        <f>"'CONFIGURAÇÃO'!M1475"</f>
        <v/>
      </c>
      <c r="D7161" s="194" t="inlineStr">
        <is>
          <t>configuração</t>
        </is>
      </c>
    </row>
    <row r="7162">
      <c r="A7162" s="194" t="inlineStr">
        <is>
          <t>custom.restricao.8.devolucao</t>
        </is>
      </c>
      <c r="B7162" s="194">
        <f>IF(ISBLANK('CONFIGURAÇÃO'!$M$1476),"",'CONFIGURAÇÃO'!$M$1476&amp;"")</f>
        <v/>
      </c>
      <c r="C7162" s="194">
        <f>"'CONFIGURAÇÃO'!M1476"</f>
        <v/>
      </c>
      <c r="D7162" s="194" t="inlineStr">
        <is>
          <t>configuração</t>
        </is>
      </c>
    </row>
    <row r="7163">
      <c r="A7163" s="194" t="inlineStr">
        <is>
          <t>custom.restricao.8.frequencia</t>
        </is>
      </c>
      <c r="B7163" s="194">
        <f>IF(ISBLANK('CONFIGURAÇÃO'!$M$1477),"",'CONFIGURAÇÃO'!$M$1477&amp;"")</f>
        <v/>
      </c>
      <c r="C7163" s="194">
        <f>"'CONFIGURAÇÃO'!M1477"</f>
        <v/>
      </c>
      <c r="D7163" s="194" t="inlineStr">
        <is>
          <t>configuração</t>
        </is>
      </c>
    </row>
    <row r="7164">
      <c r="A7164" s="194" t="inlineStr">
        <is>
          <t>custom.restricao.8.efeito</t>
        </is>
      </c>
      <c r="B7164" s="194">
        <f>IF(ISBLANK('CONFIGURAÇÃO'!$J$1480),"",'CONFIGURAÇÃO'!$J$1480&amp;"")</f>
        <v/>
      </c>
      <c r="C7164" s="194">
        <f>"'CONFIGURAÇÃO'!J1480"</f>
        <v/>
      </c>
      <c r="D7164" s="194" t="inlineStr">
        <is>
          <t>configuração</t>
        </is>
      </c>
    </row>
    <row r="7165">
      <c r="A7165" s="194" t="inlineStr">
        <is>
          <t>custom.restricao.8.mestre_viu</t>
        </is>
      </c>
      <c r="B7165" s="194">
        <f>N('CONFIGURAÇÃO'!$N$1472)&amp;""</f>
        <v/>
      </c>
      <c r="C7165" s="194">
        <f>"'CONFIGURAÇÃO'!N1472"</f>
        <v/>
      </c>
      <c r="D7165" s="194" t="inlineStr">
        <is>
          <t>configuração</t>
        </is>
      </c>
    </row>
    <row r="7166">
      <c r="A7166" s="194" t="inlineStr">
        <is>
          <t>custom.restricao.9.nome</t>
        </is>
      </c>
      <c r="B7166" s="194">
        <f>IF(ISBLANK('CONFIGURAÇÃO'!$B$1496),"",'CONFIGURAÇÃO'!$B$1496&amp;"")</f>
        <v/>
      </c>
      <c r="C7166" s="194">
        <f>"'CONFIGURAÇÃO'!B1496"</f>
        <v/>
      </c>
      <c r="D7166" s="194" t="inlineStr">
        <is>
          <t>configuração</t>
        </is>
      </c>
    </row>
    <row r="7167">
      <c r="A7167" s="194" t="inlineStr">
        <is>
          <t>custom.restricao.9.base</t>
        </is>
      </c>
      <c r="B7167" s="194">
        <f>IF(ISBLANK('CONFIGURAÇÃO'!$E$1497),"",'CONFIGURAÇÃO'!$E$1497&amp;"")</f>
        <v/>
      </c>
      <c r="C7167" s="194">
        <f>"'CONFIGURAÇÃO'!E1497"</f>
        <v/>
      </c>
      <c r="D7167" s="194" t="inlineStr">
        <is>
          <t>configuração</t>
        </is>
      </c>
    </row>
    <row r="7168">
      <c r="A7168" s="194" t="inlineStr">
        <is>
          <t>custom.restricao.9.devolucao</t>
        </is>
      </c>
      <c r="B7168" s="194">
        <f>IF(ISBLANK('CONFIGURAÇÃO'!$E$1498),"",'CONFIGURAÇÃO'!$E$1498&amp;"")</f>
        <v/>
      </c>
      <c r="C7168" s="194">
        <f>"'CONFIGURAÇÃO'!E1498"</f>
        <v/>
      </c>
      <c r="D7168" s="194" t="inlineStr">
        <is>
          <t>configuração</t>
        </is>
      </c>
    </row>
    <row r="7169">
      <c r="A7169" s="194" t="inlineStr">
        <is>
          <t>custom.restricao.9.frequencia</t>
        </is>
      </c>
      <c r="B7169" s="194">
        <f>IF(ISBLANK('CONFIGURAÇÃO'!$E$1499),"",'CONFIGURAÇÃO'!$E$1499&amp;"")</f>
        <v/>
      </c>
      <c r="C7169" s="194">
        <f>"'CONFIGURAÇÃO'!E1499"</f>
        <v/>
      </c>
      <c r="D7169" s="194" t="inlineStr">
        <is>
          <t>configuração</t>
        </is>
      </c>
    </row>
    <row r="7170">
      <c r="A7170" s="194" t="inlineStr">
        <is>
          <t>custom.restricao.9.efeito</t>
        </is>
      </c>
      <c r="B7170" s="194">
        <f>IF(ISBLANK('CONFIGURAÇÃO'!$B$1502),"",'CONFIGURAÇÃO'!$B$1502&amp;"")</f>
        <v/>
      </c>
      <c r="C7170" s="194">
        <f>"'CONFIGURAÇÃO'!B1502"</f>
        <v/>
      </c>
      <c r="D7170" s="194" t="inlineStr">
        <is>
          <t>configuração</t>
        </is>
      </c>
    </row>
    <row r="7171">
      <c r="A7171" s="194" t="inlineStr">
        <is>
          <t>custom.restricao.9.mestre_viu</t>
        </is>
      </c>
      <c r="B7171" s="194">
        <f>N('CONFIGURAÇÃO'!$F$1494)&amp;""</f>
        <v/>
      </c>
      <c r="C7171" s="194">
        <f>"'CONFIGURAÇÃO'!F1494"</f>
        <v/>
      </c>
      <c r="D7171" s="194" t="inlineStr">
        <is>
          <t>configuração</t>
        </is>
      </c>
    </row>
    <row r="7172">
      <c r="A7172" s="194" t="inlineStr">
        <is>
          <t>custom.restricao.10.nome</t>
        </is>
      </c>
      <c r="B7172" s="194">
        <f>IF(ISBLANK('CONFIGURAÇÃO'!$J$1496),"",'CONFIGURAÇÃO'!$J$1496&amp;"")</f>
        <v/>
      </c>
      <c r="C7172" s="194">
        <f>"'CONFIGURAÇÃO'!J1496"</f>
        <v/>
      </c>
      <c r="D7172" s="194" t="inlineStr">
        <is>
          <t>configuração</t>
        </is>
      </c>
    </row>
    <row r="7173">
      <c r="A7173" s="194" t="inlineStr">
        <is>
          <t>custom.restricao.10.base</t>
        </is>
      </c>
      <c r="B7173" s="194">
        <f>IF(ISBLANK('CONFIGURAÇÃO'!$M$1497),"",'CONFIGURAÇÃO'!$M$1497&amp;"")</f>
        <v/>
      </c>
      <c r="C7173" s="194">
        <f>"'CONFIGURAÇÃO'!M1497"</f>
        <v/>
      </c>
      <c r="D7173" s="194" t="inlineStr">
        <is>
          <t>configuração</t>
        </is>
      </c>
    </row>
    <row r="7174">
      <c r="A7174" s="194" t="inlineStr">
        <is>
          <t>custom.restricao.10.devolucao</t>
        </is>
      </c>
      <c r="B7174" s="194">
        <f>IF(ISBLANK('CONFIGURAÇÃO'!$M$1498),"",'CONFIGURAÇÃO'!$M$1498&amp;"")</f>
        <v/>
      </c>
      <c r="C7174" s="194">
        <f>"'CONFIGURAÇÃO'!M1498"</f>
        <v/>
      </c>
      <c r="D7174" s="194" t="inlineStr">
        <is>
          <t>configuração</t>
        </is>
      </c>
    </row>
    <row r="7175">
      <c r="A7175" s="194" t="inlineStr">
        <is>
          <t>custom.restricao.10.frequencia</t>
        </is>
      </c>
      <c r="B7175" s="194">
        <f>IF(ISBLANK('CONFIGURAÇÃO'!$M$1499),"",'CONFIGURAÇÃO'!$M$1499&amp;"")</f>
        <v/>
      </c>
      <c r="C7175" s="194">
        <f>"'CONFIGURAÇÃO'!M1499"</f>
        <v/>
      </c>
      <c r="D7175" s="194" t="inlineStr">
        <is>
          <t>configuração</t>
        </is>
      </c>
    </row>
    <row r="7176">
      <c r="A7176" s="194" t="inlineStr">
        <is>
          <t>custom.restricao.10.efeito</t>
        </is>
      </c>
      <c r="B7176" s="194">
        <f>IF(ISBLANK('CONFIGURAÇÃO'!$J$1502),"",'CONFIGURAÇÃO'!$J$1502&amp;"")</f>
        <v/>
      </c>
      <c r="C7176" s="194">
        <f>"'CONFIGURAÇÃO'!J1502"</f>
        <v/>
      </c>
      <c r="D7176" s="194" t="inlineStr">
        <is>
          <t>configuração</t>
        </is>
      </c>
    </row>
    <row r="7177">
      <c r="A7177" s="194" t="inlineStr">
        <is>
          <t>custom.restricao.10.mestre_viu</t>
        </is>
      </c>
      <c r="B7177" s="194">
        <f>N('CONFIGURAÇÃO'!$N$1494)&amp;""</f>
        <v/>
      </c>
      <c r="C7177" s="194">
        <f>"'CONFIGURAÇÃO'!N1494"</f>
        <v/>
      </c>
      <c r="D7177" s="194" t="inlineStr">
        <is>
          <t>configuração</t>
        </is>
      </c>
    </row>
    <row r="7178">
      <c r="A7178" s="194" t="inlineStr">
        <is>
          <t>custom.restricao.11.nome</t>
        </is>
      </c>
      <c r="B7178" s="194">
        <f>IF(ISBLANK('CONFIGURAÇÃO'!$B$1518),"",'CONFIGURAÇÃO'!$B$1518&amp;"")</f>
        <v/>
      </c>
      <c r="C7178" s="194">
        <f>"'CONFIGURAÇÃO'!B1518"</f>
        <v/>
      </c>
      <c r="D7178" s="194" t="inlineStr">
        <is>
          <t>configuração</t>
        </is>
      </c>
    </row>
    <row r="7179">
      <c r="A7179" s="194" t="inlineStr">
        <is>
          <t>custom.restricao.11.base</t>
        </is>
      </c>
      <c r="B7179" s="194">
        <f>IF(ISBLANK('CONFIGURAÇÃO'!$E$1519),"",'CONFIGURAÇÃO'!$E$1519&amp;"")</f>
        <v/>
      </c>
      <c r="C7179" s="194">
        <f>"'CONFIGURAÇÃO'!E1519"</f>
        <v/>
      </c>
      <c r="D7179" s="194" t="inlineStr">
        <is>
          <t>configuração</t>
        </is>
      </c>
    </row>
    <row r="7180">
      <c r="A7180" s="194" t="inlineStr">
        <is>
          <t>custom.restricao.11.devolucao</t>
        </is>
      </c>
      <c r="B7180" s="194">
        <f>IF(ISBLANK('CONFIGURAÇÃO'!$E$1520),"",'CONFIGURAÇÃO'!$E$1520&amp;"")</f>
        <v/>
      </c>
      <c r="C7180" s="194">
        <f>"'CONFIGURAÇÃO'!E1520"</f>
        <v/>
      </c>
      <c r="D7180" s="194" t="inlineStr">
        <is>
          <t>configuração</t>
        </is>
      </c>
    </row>
    <row r="7181">
      <c r="A7181" s="194" t="inlineStr">
        <is>
          <t>custom.restricao.11.frequencia</t>
        </is>
      </c>
      <c r="B7181" s="194">
        <f>IF(ISBLANK('CONFIGURAÇÃO'!$E$1521),"",'CONFIGURAÇÃO'!$E$1521&amp;"")</f>
        <v/>
      </c>
      <c r="C7181" s="194">
        <f>"'CONFIGURAÇÃO'!E1521"</f>
        <v/>
      </c>
      <c r="D7181" s="194" t="inlineStr">
        <is>
          <t>configuração</t>
        </is>
      </c>
    </row>
    <row r="7182">
      <c r="A7182" s="194" t="inlineStr">
        <is>
          <t>custom.restricao.11.efeito</t>
        </is>
      </c>
      <c r="B7182" s="194">
        <f>IF(ISBLANK('CONFIGURAÇÃO'!$B$1524),"",'CONFIGURAÇÃO'!$B$1524&amp;"")</f>
        <v/>
      </c>
      <c r="C7182" s="194">
        <f>"'CONFIGURAÇÃO'!B1524"</f>
        <v/>
      </c>
      <c r="D7182" s="194" t="inlineStr">
        <is>
          <t>configuração</t>
        </is>
      </c>
    </row>
    <row r="7183">
      <c r="A7183" s="194" t="inlineStr">
        <is>
          <t>custom.restricao.11.mestre_viu</t>
        </is>
      </c>
      <c r="B7183" s="194">
        <f>N('CONFIGURAÇÃO'!$F$1516)&amp;""</f>
        <v/>
      </c>
      <c r="C7183" s="194">
        <f>"'CONFIGURAÇÃO'!F1516"</f>
        <v/>
      </c>
      <c r="D7183" s="194" t="inlineStr">
        <is>
          <t>configuração</t>
        </is>
      </c>
    </row>
    <row r="7184">
      <c r="A7184" s="194" t="inlineStr">
        <is>
          <t>custom.restricao.12.nome</t>
        </is>
      </c>
      <c r="B7184" s="194">
        <f>IF(ISBLANK('CONFIGURAÇÃO'!$J$1518),"",'CONFIGURAÇÃO'!$J$1518&amp;"")</f>
        <v/>
      </c>
      <c r="C7184" s="194">
        <f>"'CONFIGURAÇÃO'!J1518"</f>
        <v/>
      </c>
      <c r="D7184" s="194" t="inlineStr">
        <is>
          <t>configuração</t>
        </is>
      </c>
    </row>
    <row r="7185">
      <c r="A7185" s="194" t="inlineStr">
        <is>
          <t>custom.restricao.12.base</t>
        </is>
      </c>
      <c r="B7185" s="194">
        <f>IF(ISBLANK('CONFIGURAÇÃO'!$M$1519),"",'CONFIGURAÇÃO'!$M$1519&amp;"")</f>
        <v/>
      </c>
      <c r="C7185" s="194">
        <f>"'CONFIGURAÇÃO'!M1519"</f>
        <v/>
      </c>
      <c r="D7185" s="194" t="inlineStr">
        <is>
          <t>configuração</t>
        </is>
      </c>
    </row>
    <row r="7186">
      <c r="A7186" s="194" t="inlineStr">
        <is>
          <t>custom.restricao.12.devolucao</t>
        </is>
      </c>
      <c r="B7186" s="194">
        <f>IF(ISBLANK('CONFIGURAÇÃO'!$M$1520),"",'CONFIGURAÇÃO'!$M$1520&amp;"")</f>
        <v/>
      </c>
      <c r="C7186" s="194">
        <f>"'CONFIGURAÇÃO'!M1520"</f>
        <v/>
      </c>
      <c r="D7186" s="194" t="inlineStr">
        <is>
          <t>configuração</t>
        </is>
      </c>
    </row>
    <row r="7187">
      <c r="A7187" s="194" t="inlineStr">
        <is>
          <t>custom.restricao.12.frequencia</t>
        </is>
      </c>
      <c r="B7187" s="194">
        <f>IF(ISBLANK('CONFIGURAÇÃO'!$M$1521),"",'CONFIGURAÇÃO'!$M$1521&amp;"")</f>
        <v/>
      </c>
      <c r="C7187" s="194">
        <f>"'CONFIGURAÇÃO'!M1521"</f>
        <v/>
      </c>
      <c r="D7187" s="194" t="inlineStr">
        <is>
          <t>configuração</t>
        </is>
      </c>
    </row>
    <row r="7188">
      <c r="A7188" s="194" t="inlineStr">
        <is>
          <t>custom.restricao.12.efeito</t>
        </is>
      </c>
      <c r="B7188" s="194">
        <f>IF(ISBLANK('CONFIGURAÇÃO'!$J$1524),"",'CONFIGURAÇÃO'!$J$1524&amp;"")</f>
        <v/>
      </c>
      <c r="C7188" s="194">
        <f>"'CONFIGURAÇÃO'!J1524"</f>
        <v/>
      </c>
      <c r="D7188" s="194" t="inlineStr">
        <is>
          <t>configuração</t>
        </is>
      </c>
    </row>
    <row r="7189">
      <c r="A7189" s="194" t="inlineStr">
        <is>
          <t>custom.restricao.12.mestre_viu</t>
        </is>
      </c>
      <c r="B7189" s="194">
        <f>N('CONFIGURAÇÃO'!$N$1516)&amp;""</f>
        <v/>
      </c>
      <c r="C7189" s="194">
        <f>"'CONFIGURAÇÃO'!N1516"</f>
        <v/>
      </c>
      <c r="D7189" s="194" t="inlineStr">
        <is>
          <t>configuração</t>
        </is>
      </c>
    </row>
    <row r="7190">
      <c r="A7190" s="194" t="inlineStr">
        <is>
          <t>custom.restricao.13.nome</t>
        </is>
      </c>
      <c r="B7190" s="194">
        <f>IF(ISBLANK('CONFIGURAÇÃO'!$B$1540),"",'CONFIGURAÇÃO'!$B$1540&amp;"")</f>
        <v/>
      </c>
      <c r="C7190" s="194">
        <f>"'CONFIGURAÇÃO'!B1540"</f>
        <v/>
      </c>
      <c r="D7190" s="194" t="inlineStr">
        <is>
          <t>configuração</t>
        </is>
      </c>
    </row>
    <row r="7191">
      <c r="A7191" s="194" t="inlineStr">
        <is>
          <t>custom.restricao.13.base</t>
        </is>
      </c>
      <c r="B7191" s="194">
        <f>IF(ISBLANK('CONFIGURAÇÃO'!$E$1541),"",'CONFIGURAÇÃO'!$E$1541&amp;"")</f>
        <v/>
      </c>
      <c r="C7191" s="194">
        <f>"'CONFIGURAÇÃO'!E1541"</f>
        <v/>
      </c>
      <c r="D7191" s="194" t="inlineStr">
        <is>
          <t>configuração</t>
        </is>
      </c>
    </row>
    <row r="7192">
      <c r="A7192" s="194" t="inlineStr">
        <is>
          <t>custom.restricao.13.devolucao</t>
        </is>
      </c>
      <c r="B7192" s="194">
        <f>IF(ISBLANK('CONFIGURAÇÃO'!$E$1542),"",'CONFIGURAÇÃO'!$E$1542&amp;"")</f>
        <v/>
      </c>
      <c r="C7192" s="194">
        <f>"'CONFIGURAÇÃO'!E1542"</f>
        <v/>
      </c>
      <c r="D7192" s="194" t="inlineStr">
        <is>
          <t>configuração</t>
        </is>
      </c>
    </row>
    <row r="7193">
      <c r="A7193" s="194" t="inlineStr">
        <is>
          <t>custom.restricao.13.frequencia</t>
        </is>
      </c>
      <c r="B7193" s="194">
        <f>IF(ISBLANK('CONFIGURAÇÃO'!$E$1543),"",'CONFIGURAÇÃO'!$E$1543&amp;"")</f>
        <v/>
      </c>
      <c r="C7193" s="194">
        <f>"'CONFIGURAÇÃO'!E1543"</f>
        <v/>
      </c>
      <c r="D7193" s="194" t="inlineStr">
        <is>
          <t>configuração</t>
        </is>
      </c>
    </row>
    <row r="7194">
      <c r="A7194" s="194" t="inlineStr">
        <is>
          <t>custom.restricao.13.efeito</t>
        </is>
      </c>
      <c r="B7194" s="194">
        <f>IF(ISBLANK('CONFIGURAÇÃO'!$B$1546),"",'CONFIGURAÇÃO'!$B$1546&amp;"")</f>
        <v/>
      </c>
      <c r="C7194" s="194">
        <f>"'CONFIGURAÇÃO'!B1546"</f>
        <v/>
      </c>
      <c r="D7194" s="194" t="inlineStr">
        <is>
          <t>configuração</t>
        </is>
      </c>
    </row>
    <row r="7195">
      <c r="A7195" s="194" t="inlineStr">
        <is>
          <t>custom.restricao.13.mestre_viu</t>
        </is>
      </c>
      <c r="B7195" s="194">
        <f>N('CONFIGURAÇÃO'!$F$1538)&amp;""</f>
        <v/>
      </c>
      <c r="C7195" s="194">
        <f>"'CONFIGURAÇÃO'!F1538"</f>
        <v/>
      </c>
      <c r="D7195" s="194" t="inlineStr">
        <is>
          <t>configuração</t>
        </is>
      </c>
    </row>
    <row r="7196">
      <c r="A7196" s="194" t="inlineStr">
        <is>
          <t>custom.restricao.14.nome</t>
        </is>
      </c>
      <c r="B7196" s="194">
        <f>IF(ISBLANK('CONFIGURAÇÃO'!$J$1540),"",'CONFIGURAÇÃO'!$J$1540&amp;"")</f>
        <v/>
      </c>
      <c r="C7196" s="194">
        <f>"'CONFIGURAÇÃO'!J1540"</f>
        <v/>
      </c>
      <c r="D7196" s="194" t="inlineStr">
        <is>
          <t>configuração</t>
        </is>
      </c>
    </row>
    <row r="7197">
      <c r="A7197" s="194" t="inlineStr">
        <is>
          <t>custom.restricao.14.base</t>
        </is>
      </c>
      <c r="B7197" s="194">
        <f>IF(ISBLANK('CONFIGURAÇÃO'!$M$1541),"",'CONFIGURAÇÃO'!$M$1541&amp;"")</f>
        <v/>
      </c>
      <c r="C7197" s="194">
        <f>"'CONFIGURAÇÃO'!M1541"</f>
        <v/>
      </c>
      <c r="D7197" s="194" t="inlineStr">
        <is>
          <t>configuração</t>
        </is>
      </c>
    </row>
    <row r="7198">
      <c r="A7198" s="194" t="inlineStr">
        <is>
          <t>custom.restricao.14.devolucao</t>
        </is>
      </c>
      <c r="B7198" s="194">
        <f>IF(ISBLANK('CONFIGURAÇÃO'!$M$1542),"",'CONFIGURAÇÃO'!$M$1542&amp;"")</f>
        <v/>
      </c>
      <c r="C7198" s="194">
        <f>"'CONFIGURAÇÃO'!M1542"</f>
        <v/>
      </c>
      <c r="D7198" s="194" t="inlineStr">
        <is>
          <t>configuração</t>
        </is>
      </c>
    </row>
    <row r="7199">
      <c r="A7199" s="194" t="inlineStr">
        <is>
          <t>custom.restricao.14.frequencia</t>
        </is>
      </c>
      <c r="B7199" s="194">
        <f>IF(ISBLANK('CONFIGURAÇÃO'!$M$1543),"",'CONFIGURAÇÃO'!$M$1543&amp;"")</f>
        <v/>
      </c>
      <c r="C7199" s="194">
        <f>"'CONFIGURAÇÃO'!M1543"</f>
        <v/>
      </c>
      <c r="D7199" s="194" t="inlineStr">
        <is>
          <t>configuração</t>
        </is>
      </c>
    </row>
    <row r="7200">
      <c r="A7200" s="194" t="inlineStr">
        <is>
          <t>custom.restricao.14.efeito</t>
        </is>
      </c>
      <c r="B7200" s="194">
        <f>IF(ISBLANK('CONFIGURAÇÃO'!$J$1546),"",'CONFIGURAÇÃO'!$J$1546&amp;"")</f>
        <v/>
      </c>
      <c r="C7200" s="194">
        <f>"'CONFIGURAÇÃO'!J1546"</f>
        <v/>
      </c>
      <c r="D7200" s="194" t="inlineStr">
        <is>
          <t>configuração</t>
        </is>
      </c>
    </row>
    <row r="7201">
      <c r="A7201" s="194" t="inlineStr">
        <is>
          <t>custom.restricao.14.mestre_viu</t>
        </is>
      </c>
      <c r="B7201" s="194">
        <f>N('CONFIGURAÇÃO'!$N$1538)&amp;""</f>
        <v/>
      </c>
      <c r="C7201" s="194">
        <f>"'CONFIGURAÇÃO'!N1538"</f>
        <v/>
      </c>
      <c r="D7201" s="194" t="inlineStr">
        <is>
          <t>configuração</t>
        </is>
      </c>
    </row>
    <row r="7202">
      <c r="A7202" s="194" t="inlineStr">
        <is>
          <t>custom.restricao.15.nome</t>
        </is>
      </c>
      <c r="B7202" s="194">
        <f>IF(ISBLANK('CONFIGURAÇÃO'!$B$1562),"",'CONFIGURAÇÃO'!$B$1562&amp;"")</f>
        <v/>
      </c>
      <c r="C7202" s="194">
        <f>"'CONFIGURAÇÃO'!B1562"</f>
        <v/>
      </c>
      <c r="D7202" s="194" t="inlineStr">
        <is>
          <t>configuração</t>
        </is>
      </c>
    </row>
    <row r="7203">
      <c r="A7203" s="194" t="inlineStr">
        <is>
          <t>custom.restricao.15.base</t>
        </is>
      </c>
      <c r="B7203" s="194">
        <f>IF(ISBLANK('CONFIGURAÇÃO'!$E$1563),"",'CONFIGURAÇÃO'!$E$1563&amp;"")</f>
        <v/>
      </c>
      <c r="C7203" s="194">
        <f>"'CONFIGURAÇÃO'!E1563"</f>
        <v/>
      </c>
      <c r="D7203" s="194" t="inlineStr">
        <is>
          <t>configuração</t>
        </is>
      </c>
    </row>
    <row r="7204">
      <c r="A7204" s="194" t="inlineStr">
        <is>
          <t>custom.restricao.15.devolucao</t>
        </is>
      </c>
      <c r="B7204" s="194">
        <f>IF(ISBLANK('CONFIGURAÇÃO'!$E$1564),"",'CONFIGURAÇÃO'!$E$1564&amp;"")</f>
        <v/>
      </c>
      <c r="C7204" s="194">
        <f>"'CONFIGURAÇÃO'!E1564"</f>
        <v/>
      </c>
      <c r="D7204" s="194" t="inlineStr">
        <is>
          <t>configuração</t>
        </is>
      </c>
    </row>
    <row r="7205">
      <c r="A7205" s="194" t="inlineStr">
        <is>
          <t>custom.restricao.15.frequencia</t>
        </is>
      </c>
      <c r="B7205" s="194">
        <f>IF(ISBLANK('CONFIGURAÇÃO'!$E$1565),"",'CONFIGURAÇÃO'!$E$1565&amp;"")</f>
        <v/>
      </c>
      <c r="C7205" s="194">
        <f>"'CONFIGURAÇÃO'!E1565"</f>
        <v/>
      </c>
      <c r="D7205" s="194" t="inlineStr">
        <is>
          <t>configuração</t>
        </is>
      </c>
    </row>
    <row r="7206">
      <c r="A7206" s="194" t="inlineStr">
        <is>
          <t>custom.restricao.15.efeito</t>
        </is>
      </c>
      <c r="B7206" s="194">
        <f>IF(ISBLANK('CONFIGURAÇÃO'!$B$1568),"",'CONFIGURAÇÃO'!$B$1568&amp;"")</f>
        <v/>
      </c>
      <c r="C7206" s="194">
        <f>"'CONFIGURAÇÃO'!B1568"</f>
        <v/>
      </c>
      <c r="D7206" s="194" t="inlineStr">
        <is>
          <t>configuração</t>
        </is>
      </c>
    </row>
    <row r="7207">
      <c r="A7207" s="194" t="inlineStr">
        <is>
          <t>custom.restricao.15.mestre_viu</t>
        </is>
      </c>
      <c r="B7207" s="194">
        <f>N('CONFIGURAÇÃO'!$F$1560)&amp;""</f>
        <v/>
      </c>
      <c r="C7207" s="194">
        <f>"'CONFIGURAÇÃO'!F1560"</f>
        <v/>
      </c>
      <c r="D7207" s="194" t="inlineStr">
        <is>
          <t>configuração</t>
        </is>
      </c>
    </row>
    <row r="7208">
      <c r="A7208" s="194" t="inlineStr">
        <is>
          <t>custom.restricao.16.nome</t>
        </is>
      </c>
      <c r="B7208" s="194">
        <f>IF(ISBLANK('CONFIGURAÇÃO'!$J$1562),"",'CONFIGURAÇÃO'!$J$1562&amp;"")</f>
        <v/>
      </c>
      <c r="C7208" s="194">
        <f>"'CONFIGURAÇÃO'!J1562"</f>
        <v/>
      </c>
      <c r="D7208" s="194" t="inlineStr">
        <is>
          <t>configuração</t>
        </is>
      </c>
    </row>
    <row r="7209">
      <c r="A7209" s="194" t="inlineStr">
        <is>
          <t>custom.restricao.16.base</t>
        </is>
      </c>
      <c r="B7209" s="194">
        <f>IF(ISBLANK('CONFIGURAÇÃO'!$M$1563),"",'CONFIGURAÇÃO'!$M$1563&amp;"")</f>
        <v/>
      </c>
      <c r="C7209" s="194">
        <f>"'CONFIGURAÇÃO'!M1563"</f>
        <v/>
      </c>
      <c r="D7209" s="194" t="inlineStr">
        <is>
          <t>configuração</t>
        </is>
      </c>
    </row>
    <row r="7210">
      <c r="A7210" s="194" t="inlineStr">
        <is>
          <t>custom.restricao.16.devolucao</t>
        </is>
      </c>
      <c r="B7210" s="194">
        <f>IF(ISBLANK('CONFIGURAÇÃO'!$M$1564),"",'CONFIGURAÇÃO'!$M$1564&amp;"")</f>
        <v/>
      </c>
      <c r="C7210" s="194">
        <f>"'CONFIGURAÇÃO'!M1564"</f>
        <v/>
      </c>
      <c r="D7210" s="194" t="inlineStr">
        <is>
          <t>configuração</t>
        </is>
      </c>
    </row>
    <row r="7211">
      <c r="A7211" s="194" t="inlineStr">
        <is>
          <t>custom.restricao.16.frequencia</t>
        </is>
      </c>
      <c r="B7211" s="194">
        <f>IF(ISBLANK('CONFIGURAÇÃO'!$M$1565),"",'CONFIGURAÇÃO'!$M$1565&amp;"")</f>
        <v/>
      </c>
      <c r="C7211" s="194">
        <f>"'CONFIGURAÇÃO'!M1565"</f>
        <v/>
      </c>
      <c r="D7211" s="194" t="inlineStr">
        <is>
          <t>configuração</t>
        </is>
      </c>
    </row>
    <row r="7212">
      <c r="A7212" s="194" t="inlineStr">
        <is>
          <t>custom.restricao.16.efeito</t>
        </is>
      </c>
      <c r="B7212" s="194">
        <f>IF(ISBLANK('CONFIGURAÇÃO'!$J$1568),"",'CONFIGURAÇÃO'!$J$1568&amp;"")</f>
        <v/>
      </c>
      <c r="C7212" s="194">
        <f>"'CONFIGURAÇÃO'!J1568"</f>
        <v/>
      </c>
      <c r="D7212" s="194" t="inlineStr">
        <is>
          <t>configuração</t>
        </is>
      </c>
    </row>
    <row r="7213">
      <c r="A7213" s="194" t="inlineStr">
        <is>
          <t>custom.restricao.16.mestre_viu</t>
        </is>
      </c>
      <c r="B7213" s="194">
        <f>N('CONFIGURAÇÃO'!$N$1560)&amp;""</f>
        <v/>
      </c>
      <c r="C7213" s="194">
        <f>"'CONFIGURAÇÃO'!N1560"</f>
        <v/>
      </c>
      <c r="D7213" s="194" t="inlineStr">
        <is>
          <t>configuração</t>
        </is>
      </c>
    </row>
    <row r="7214">
      <c r="A7214" s="194" t="inlineStr">
        <is>
          <t>custom.restricao.17.nome</t>
        </is>
      </c>
      <c r="B7214" s="194">
        <f>IF(ISBLANK('CONFIGURAÇÃO'!$B$1584),"",'CONFIGURAÇÃO'!$B$1584&amp;"")</f>
        <v/>
      </c>
      <c r="C7214" s="194">
        <f>"'CONFIGURAÇÃO'!B1584"</f>
        <v/>
      </c>
      <c r="D7214" s="194" t="inlineStr">
        <is>
          <t>configuração</t>
        </is>
      </c>
    </row>
    <row r="7215">
      <c r="A7215" s="194" t="inlineStr">
        <is>
          <t>custom.restricao.17.base</t>
        </is>
      </c>
      <c r="B7215" s="194">
        <f>IF(ISBLANK('CONFIGURAÇÃO'!$E$1585),"",'CONFIGURAÇÃO'!$E$1585&amp;"")</f>
        <v/>
      </c>
      <c r="C7215" s="194">
        <f>"'CONFIGURAÇÃO'!E1585"</f>
        <v/>
      </c>
      <c r="D7215" s="194" t="inlineStr">
        <is>
          <t>configuração</t>
        </is>
      </c>
    </row>
    <row r="7216">
      <c r="A7216" s="194" t="inlineStr">
        <is>
          <t>custom.restricao.17.devolucao</t>
        </is>
      </c>
      <c r="B7216" s="194">
        <f>IF(ISBLANK('CONFIGURAÇÃO'!$E$1586),"",'CONFIGURAÇÃO'!$E$1586&amp;"")</f>
        <v/>
      </c>
      <c r="C7216" s="194">
        <f>"'CONFIGURAÇÃO'!E1586"</f>
        <v/>
      </c>
      <c r="D7216" s="194" t="inlineStr">
        <is>
          <t>configuração</t>
        </is>
      </c>
    </row>
    <row r="7217">
      <c r="A7217" s="194" t="inlineStr">
        <is>
          <t>custom.restricao.17.frequencia</t>
        </is>
      </c>
      <c r="B7217" s="194">
        <f>IF(ISBLANK('CONFIGURAÇÃO'!$E$1587),"",'CONFIGURAÇÃO'!$E$1587&amp;"")</f>
        <v/>
      </c>
      <c r="C7217" s="194">
        <f>"'CONFIGURAÇÃO'!E1587"</f>
        <v/>
      </c>
      <c r="D7217" s="194" t="inlineStr">
        <is>
          <t>configuração</t>
        </is>
      </c>
    </row>
    <row r="7218">
      <c r="A7218" s="194" t="inlineStr">
        <is>
          <t>custom.restricao.17.efeito</t>
        </is>
      </c>
      <c r="B7218" s="194">
        <f>IF(ISBLANK('CONFIGURAÇÃO'!$B$1590),"",'CONFIGURAÇÃO'!$B$1590&amp;"")</f>
        <v/>
      </c>
      <c r="C7218" s="194">
        <f>"'CONFIGURAÇÃO'!B1590"</f>
        <v/>
      </c>
      <c r="D7218" s="194" t="inlineStr">
        <is>
          <t>configuração</t>
        </is>
      </c>
    </row>
    <row r="7219">
      <c r="A7219" s="194" t="inlineStr">
        <is>
          <t>custom.restricao.17.mestre_viu</t>
        </is>
      </c>
      <c r="B7219" s="194">
        <f>N('CONFIGURAÇÃO'!$F$1582)&amp;""</f>
        <v/>
      </c>
      <c r="C7219" s="194">
        <f>"'CONFIGURAÇÃO'!F1582"</f>
        <v/>
      </c>
      <c r="D7219" s="194" t="inlineStr">
        <is>
          <t>configuração</t>
        </is>
      </c>
    </row>
    <row r="7220">
      <c r="A7220" s="194" t="inlineStr">
        <is>
          <t>custom.restricao.18.nome</t>
        </is>
      </c>
      <c r="B7220" s="194">
        <f>IF(ISBLANK('CONFIGURAÇÃO'!$J$1584),"",'CONFIGURAÇÃO'!$J$1584&amp;"")</f>
        <v/>
      </c>
      <c r="C7220" s="194">
        <f>"'CONFIGURAÇÃO'!J1584"</f>
        <v/>
      </c>
      <c r="D7220" s="194" t="inlineStr">
        <is>
          <t>configuração</t>
        </is>
      </c>
    </row>
    <row r="7221">
      <c r="A7221" s="194" t="inlineStr">
        <is>
          <t>custom.restricao.18.base</t>
        </is>
      </c>
      <c r="B7221" s="194">
        <f>IF(ISBLANK('CONFIGURAÇÃO'!$M$1585),"",'CONFIGURAÇÃO'!$M$1585&amp;"")</f>
        <v/>
      </c>
      <c r="C7221" s="194">
        <f>"'CONFIGURAÇÃO'!M1585"</f>
        <v/>
      </c>
      <c r="D7221" s="194" t="inlineStr">
        <is>
          <t>configuração</t>
        </is>
      </c>
    </row>
    <row r="7222">
      <c r="A7222" s="194" t="inlineStr">
        <is>
          <t>custom.restricao.18.devolucao</t>
        </is>
      </c>
      <c r="B7222" s="194">
        <f>IF(ISBLANK('CONFIGURAÇÃO'!$M$1586),"",'CONFIGURAÇÃO'!$M$1586&amp;"")</f>
        <v/>
      </c>
      <c r="C7222" s="194">
        <f>"'CONFIGURAÇÃO'!M1586"</f>
        <v/>
      </c>
      <c r="D7222" s="194" t="inlineStr">
        <is>
          <t>configuração</t>
        </is>
      </c>
    </row>
    <row r="7223">
      <c r="A7223" s="194" t="inlineStr">
        <is>
          <t>custom.restricao.18.frequencia</t>
        </is>
      </c>
      <c r="B7223" s="194">
        <f>IF(ISBLANK('CONFIGURAÇÃO'!$M$1587),"",'CONFIGURAÇÃO'!$M$1587&amp;"")</f>
        <v/>
      </c>
      <c r="C7223" s="194">
        <f>"'CONFIGURAÇÃO'!M1587"</f>
        <v/>
      </c>
      <c r="D7223" s="194" t="inlineStr">
        <is>
          <t>configuração</t>
        </is>
      </c>
    </row>
    <row r="7224">
      <c r="A7224" s="194" t="inlineStr">
        <is>
          <t>custom.restricao.18.efeito</t>
        </is>
      </c>
      <c r="B7224" s="194">
        <f>IF(ISBLANK('CONFIGURAÇÃO'!$J$1590),"",'CONFIGURAÇÃO'!$J$1590&amp;"")</f>
        <v/>
      </c>
      <c r="C7224" s="194">
        <f>"'CONFIGURAÇÃO'!J1590"</f>
        <v/>
      </c>
      <c r="D7224" s="194" t="inlineStr">
        <is>
          <t>configuração</t>
        </is>
      </c>
    </row>
    <row r="7225">
      <c r="A7225" s="194" t="inlineStr">
        <is>
          <t>custom.restricao.18.mestre_viu</t>
        </is>
      </c>
      <c r="B7225" s="194">
        <f>N('CONFIGURAÇÃO'!$N$1582)&amp;""</f>
        <v/>
      </c>
      <c r="C7225" s="194">
        <f>"'CONFIGURAÇÃO'!N1582"</f>
        <v/>
      </c>
      <c r="D7225" s="194" t="inlineStr">
        <is>
          <t>configuração</t>
        </is>
      </c>
    </row>
    <row r="7226">
      <c r="A7226" s="194" t="inlineStr">
        <is>
          <t>custom.restricao.19.nome</t>
        </is>
      </c>
      <c r="B7226" s="194">
        <f>IF(ISBLANK('CONFIGURAÇÃO'!$B$1606),"",'CONFIGURAÇÃO'!$B$1606&amp;"")</f>
        <v/>
      </c>
      <c r="C7226" s="194">
        <f>"'CONFIGURAÇÃO'!B1606"</f>
        <v/>
      </c>
      <c r="D7226" s="194" t="inlineStr">
        <is>
          <t>configuração</t>
        </is>
      </c>
    </row>
    <row r="7227">
      <c r="A7227" s="194" t="inlineStr">
        <is>
          <t>custom.restricao.19.base</t>
        </is>
      </c>
      <c r="B7227" s="194">
        <f>IF(ISBLANK('CONFIGURAÇÃO'!$E$1607),"",'CONFIGURAÇÃO'!$E$1607&amp;"")</f>
        <v/>
      </c>
      <c r="C7227" s="194">
        <f>"'CONFIGURAÇÃO'!E1607"</f>
        <v/>
      </c>
      <c r="D7227" s="194" t="inlineStr">
        <is>
          <t>configuração</t>
        </is>
      </c>
    </row>
    <row r="7228">
      <c r="A7228" s="194" t="inlineStr">
        <is>
          <t>custom.restricao.19.devolucao</t>
        </is>
      </c>
      <c r="B7228" s="194">
        <f>IF(ISBLANK('CONFIGURAÇÃO'!$E$1608),"",'CONFIGURAÇÃO'!$E$1608&amp;"")</f>
        <v/>
      </c>
      <c r="C7228" s="194">
        <f>"'CONFIGURAÇÃO'!E1608"</f>
        <v/>
      </c>
      <c r="D7228" s="194" t="inlineStr">
        <is>
          <t>configuração</t>
        </is>
      </c>
    </row>
    <row r="7229">
      <c r="A7229" s="194" t="inlineStr">
        <is>
          <t>custom.restricao.19.frequencia</t>
        </is>
      </c>
      <c r="B7229" s="194">
        <f>IF(ISBLANK('CONFIGURAÇÃO'!$E$1609),"",'CONFIGURAÇÃO'!$E$1609&amp;"")</f>
        <v/>
      </c>
      <c r="C7229" s="194">
        <f>"'CONFIGURAÇÃO'!E1609"</f>
        <v/>
      </c>
      <c r="D7229" s="194" t="inlineStr">
        <is>
          <t>configuração</t>
        </is>
      </c>
    </row>
    <row r="7230">
      <c r="A7230" s="194" t="inlineStr">
        <is>
          <t>custom.restricao.19.efeito</t>
        </is>
      </c>
      <c r="B7230" s="194">
        <f>IF(ISBLANK('CONFIGURAÇÃO'!$B$1612),"",'CONFIGURAÇÃO'!$B$1612&amp;"")</f>
        <v/>
      </c>
      <c r="C7230" s="194">
        <f>"'CONFIGURAÇÃO'!B1612"</f>
        <v/>
      </c>
      <c r="D7230" s="194" t="inlineStr">
        <is>
          <t>configuração</t>
        </is>
      </c>
    </row>
    <row r="7231">
      <c r="A7231" s="194" t="inlineStr">
        <is>
          <t>custom.restricao.19.mestre_viu</t>
        </is>
      </c>
      <c r="B7231" s="194">
        <f>N('CONFIGURAÇÃO'!$F$1604)&amp;""</f>
        <v/>
      </c>
      <c r="C7231" s="194">
        <f>"'CONFIGURAÇÃO'!F1604"</f>
        <v/>
      </c>
      <c r="D7231" s="194" t="inlineStr">
        <is>
          <t>configuração</t>
        </is>
      </c>
    </row>
    <row r="7232">
      <c r="A7232" s="194" t="inlineStr">
        <is>
          <t>custom.restricao.20.nome</t>
        </is>
      </c>
      <c r="B7232" s="194">
        <f>IF(ISBLANK('CONFIGURAÇÃO'!$J$1606),"",'CONFIGURAÇÃO'!$J$1606&amp;"")</f>
        <v/>
      </c>
      <c r="C7232" s="194">
        <f>"'CONFIGURAÇÃO'!J1606"</f>
        <v/>
      </c>
      <c r="D7232" s="194" t="inlineStr">
        <is>
          <t>configuração</t>
        </is>
      </c>
    </row>
    <row r="7233">
      <c r="A7233" s="194" t="inlineStr">
        <is>
          <t>custom.restricao.20.base</t>
        </is>
      </c>
      <c r="B7233" s="194">
        <f>IF(ISBLANK('CONFIGURAÇÃO'!$M$1607),"",'CONFIGURAÇÃO'!$M$1607&amp;"")</f>
        <v/>
      </c>
      <c r="C7233" s="194">
        <f>"'CONFIGURAÇÃO'!M1607"</f>
        <v/>
      </c>
      <c r="D7233" s="194" t="inlineStr">
        <is>
          <t>configuração</t>
        </is>
      </c>
    </row>
    <row r="7234">
      <c r="A7234" s="194" t="inlineStr">
        <is>
          <t>custom.restricao.20.devolucao</t>
        </is>
      </c>
      <c r="B7234" s="194">
        <f>IF(ISBLANK('CONFIGURAÇÃO'!$M$1608),"",'CONFIGURAÇÃO'!$M$1608&amp;"")</f>
        <v/>
      </c>
      <c r="C7234" s="194">
        <f>"'CONFIGURAÇÃO'!M1608"</f>
        <v/>
      </c>
      <c r="D7234" s="194" t="inlineStr">
        <is>
          <t>configuração</t>
        </is>
      </c>
    </row>
    <row r="7235">
      <c r="A7235" s="194" t="inlineStr">
        <is>
          <t>custom.restricao.20.frequencia</t>
        </is>
      </c>
      <c r="B7235" s="194">
        <f>IF(ISBLANK('CONFIGURAÇÃO'!$M$1609),"",'CONFIGURAÇÃO'!$M$1609&amp;"")</f>
        <v/>
      </c>
      <c r="C7235" s="194">
        <f>"'CONFIGURAÇÃO'!M1609"</f>
        <v/>
      </c>
      <c r="D7235" s="194" t="inlineStr">
        <is>
          <t>configuração</t>
        </is>
      </c>
    </row>
    <row r="7236">
      <c r="A7236" s="194" t="inlineStr">
        <is>
          <t>custom.restricao.20.efeito</t>
        </is>
      </c>
      <c r="B7236" s="194">
        <f>IF(ISBLANK('CONFIGURAÇÃO'!$J$1612),"",'CONFIGURAÇÃO'!$J$1612&amp;"")</f>
        <v/>
      </c>
      <c r="C7236" s="194">
        <f>"'CONFIGURAÇÃO'!J1612"</f>
        <v/>
      </c>
      <c r="D7236" s="194" t="inlineStr">
        <is>
          <t>configuração</t>
        </is>
      </c>
    </row>
    <row r="7237">
      <c r="A7237" s="194" t="inlineStr">
        <is>
          <t>custom.restricao.20.mestre_viu</t>
        </is>
      </c>
      <c r="B7237" s="194">
        <f>N('CONFIGURAÇÃO'!$N$1604)&amp;""</f>
        <v/>
      </c>
      <c r="C7237" s="194">
        <f>"'CONFIGURAÇÃO'!N1604"</f>
        <v/>
      </c>
      <c r="D7237" s="194" t="inlineStr">
        <is>
          <t>configuração</t>
        </is>
      </c>
    </row>
    <row r="7238">
      <c r="A7238" s="194" t="inlineStr">
        <is>
          <t>custom.restricao.21.nome</t>
        </is>
      </c>
      <c r="B7238" s="194">
        <f>IF(ISBLANK('CONFIGURAÇÃO'!$B$1628),"",'CONFIGURAÇÃO'!$B$1628&amp;"")</f>
        <v/>
      </c>
      <c r="C7238" s="194">
        <f>"'CONFIGURAÇÃO'!B1628"</f>
        <v/>
      </c>
      <c r="D7238" s="194" t="inlineStr">
        <is>
          <t>configuração</t>
        </is>
      </c>
    </row>
    <row r="7239">
      <c r="A7239" s="194" t="inlineStr">
        <is>
          <t>custom.restricao.21.base</t>
        </is>
      </c>
      <c r="B7239" s="194">
        <f>IF(ISBLANK('CONFIGURAÇÃO'!$E$1629),"",'CONFIGURAÇÃO'!$E$1629&amp;"")</f>
        <v/>
      </c>
      <c r="C7239" s="194">
        <f>"'CONFIGURAÇÃO'!E1629"</f>
        <v/>
      </c>
      <c r="D7239" s="194" t="inlineStr">
        <is>
          <t>configuração</t>
        </is>
      </c>
    </row>
    <row r="7240">
      <c r="A7240" s="194" t="inlineStr">
        <is>
          <t>custom.restricao.21.devolucao</t>
        </is>
      </c>
      <c r="B7240" s="194">
        <f>IF(ISBLANK('CONFIGURAÇÃO'!$E$1630),"",'CONFIGURAÇÃO'!$E$1630&amp;"")</f>
        <v/>
      </c>
      <c r="C7240" s="194">
        <f>"'CONFIGURAÇÃO'!E1630"</f>
        <v/>
      </c>
      <c r="D7240" s="194" t="inlineStr">
        <is>
          <t>configuração</t>
        </is>
      </c>
    </row>
    <row r="7241">
      <c r="A7241" s="194" t="inlineStr">
        <is>
          <t>custom.restricao.21.frequencia</t>
        </is>
      </c>
      <c r="B7241" s="194">
        <f>IF(ISBLANK('CONFIGURAÇÃO'!$E$1631),"",'CONFIGURAÇÃO'!$E$1631&amp;"")</f>
        <v/>
      </c>
      <c r="C7241" s="194">
        <f>"'CONFIGURAÇÃO'!E1631"</f>
        <v/>
      </c>
      <c r="D7241" s="194" t="inlineStr">
        <is>
          <t>configuração</t>
        </is>
      </c>
    </row>
    <row r="7242">
      <c r="A7242" s="194" t="inlineStr">
        <is>
          <t>custom.restricao.21.efeito</t>
        </is>
      </c>
      <c r="B7242" s="194">
        <f>IF(ISBLANK('CONFIGURAÇÃO'!$B$1634),"",'CONFIGURAÇÃO'!$B$1634&amp;"")</f>
        <v/>
      </c>
      <c r="C7242" s="194">
        <f>"'CONFIGURAÇÃO'!B1634"</f>
        <v/>
      </c>
      <c r="D7242" s="194" t="inlineStr">
        <is>
          <t>configuração</t>
        </is>
      </c>
    </row>
    <row r="7243">
      <c r="A7243" s="194" t="inlineStr">
        <is>
          <t>custom.restricao.21.mestre_viu</t>
        </is>
      </c>
      <c r="B7243" s="194">
        <f>N('CONFIGURAÇÃO'!$F$1626)&amp;""</f>
        <v/>
      </c>
      <c r="C7243" s="194">
        <f>"'CONFIGURAÇÃO'!F1626"</f>
        <v/>
      </c>
      <c r="D7243" s="194" t="inlineStr">
        <is>
          <t>configuração</t>
        </is>
      </c>
    </row>
    <row r="7244">
      <c r="A7244" s="194" t="inlineStr">
        <is>
          <t>custom.restricao.22.nome</t>
        </is>
      </c>
      <c r="B7244" s="194">
        <f>IF(ISBLANK('CONFIGURAÇÃO'!$J$1628),"",'CONFIGURAÇÃO'!$J$1628&amp;"")</f>
        <v/>
      </c>
      <c r="C7244" s="194">
        <f>"'CONFIGURAÇÃO'!J1628"</f>
        <v/>
      </c>
      <c r="D7244" s="194" t="inlineStr">
        <is>
          <t>configuração</t>
        </is>
      </c>
    </row>
    <row r="7245">
      <c r="A7245" s="194" t="inlineStr">
        <is>
          <t>custom.restricao.22.base</t>
        </is>
      </c>
      <c r="B7245" s="194">
        <f>IF(ISBLANK('CONFIGURAÇÃO'!$M$1629),"",'CONFIGURAÇÃO'!$M$1629&amp;"")</f>
        <v/>
      </c>
      <c r="C7245" s="194">
        <f>"'CONFIGURAÇÃO'!M1629"</f>
        <v/>
      </c>
      <c r="D7245" s="194" t="inlineStr">
        <is>
          <t>configuração</t>
        </is>
      </c>
    </row>
    <row r="7246">
      <c r="A7246" s="194" t="inlineStr">
        <is>
          <t>custom.restricao.22.devolucao</t>
        </is>
      </c>
      <c r="B7246" s="194">
        <f>IF(ISBLANK('CONFIGURAÇÃO'!$M$1630),"",'CONFIGURAÇÃO'!$M$1630&amp;"")</f>
        <v/>
      </c>
      <c r="C7246" s="194">
        <f>"'CONFIGURAÇÃO'!M1630"</f>
        <v/>
      </c>
      <c r="D7246" s="194" t="inlineStr">
        <is>
          <t>configuração</t>
        </is>
      </c>
    </row>
    <row r="7247">
      <c r="A7247" s="194" t="inlineStr">
        <is>
          <t>custom.restricao.22.frequencia</t>
        </is>
      </c>
      <c r="B7247" s="194">
        <f>IF(ISBLANK('CONFIGURAÇÃO'!$M$1631),"",'CONFIGURAÇÃO'!$M$1631&amp;"")</f>
        <v/>
      </c>
      <c r="C7247" s="194">
        <f>"'CONFIGURAÇÃO'!M1631"</f>
        <v/>
      </c>
      <c r="D7247" s="194" t="inlineStr">
        <is>
          <t>configuração</t>
        </is>
      </c>
    </row>
    <row r="7248">
      <c r="A7248" s="194" t="inlineStr">
        <is>
          <t>custom.restricao.22.efeito</t>
        </is>
      </c>
      <c r="B7248" s="194">
        <f>IF(ISBLANK('CONFIGURAÇÃO'!$J$1634),"",'CONFIGURAÇÃO'!$J$1634&amp;"")</f>
        <v/>
      </c>
      <c r="C7248" s="194">
        <f>"'CONFIGURAÇÃO'!J1634"</f>
        <v/>
      </c>
      <c r="D7248" s="194" t="inlineStr">
        <is>
          <t>configuração</t>
        </is>
      </c>
    </row>
    <row r="7249">
      <c r="A7249" s="194" t="inlineStr">
        <is>
          <t>custom.restricao.22.mestre_viu</t>
        </is>
      </c>
      <c r="B7249" s="194">
        <f>N('CONFIGURAÇÃO'!$N$1626)&amp;""</f>
        <v/>
      </c>
      <c r="C7249" s="194">
        <f>"'CONFIGURAÇÃO'!N1626"</f>
        <v/>
      </c>
      <c r="D7249" s="194" t="inlineStr">
        <is>
          <t>configuração</t>
        </is>
      </c>
    </row>
    <row r="7250">
      <c r="A7250" s="194" t="inlineStr">
        <is>
          <t>custom.restricao.23.nome</t>
        </is>
      </c>
      <c r="B7250" s="194">
        <f>IF(ISBLANK('CONFIGURAÇÃO'!$B$1650),"",'CONFIGURAÇÃO'!$B$1650&amp;"")</f>
        <v/>
      </c>
      <c r="C7250" s="194">
        <f>"'CONFIGURAÇÃO'!B1650"</f>
        <v/>
      </c>
      <c r="D7250" s="194" t="inlineStr">
        <is>
          <t>configuração</t>
        </is>
      </c>
    </row>
    <row r="7251">
      <c r="A7251" s="194" t="inlineStr">
        <is>
          <t>custom.restricao.23.base</t>
        </is>
      </c>
      <c r="B7251" s="194">
        <f>IF(ISBLANK('CONFIGURAÇÃO'!$E$1651),"",'CONFIGURAÇÃO'!$E$1651&amp;"")</f>
        <v/>
      </c>
      <c r="C7251" s="194">
        <f>"'CONFIGURAÇÃO'!E1651"</f>
        <v/>
      </c>
      <c r="D7251" s="194" t="inlineStr">
        <is>
          <t>configuração</t>
        </is>
      </c>
    </row>
    <row r="7252">
      <c r="A7252" s="194" t="inlineStr">
        <is>
          <t>custom.restricao.23.devolucao</t>
        </is>
      </c>
      <c r="B7252" s="194">
        <f>IF(ISBLANK('CONFIGURAÇÃO'!$E$1652),"",'CONFIGURAÇÃO'!$E$1652&amp;"")</f>
        <v/>
      </c>
      <c r="C7252" s="194">
        <f>"'CONFIGURAÇÃO'!E1652"</f>
        <v/>
      </c>
      <c r="D7252" s="194" t="inlineStr">
        <is>
          <t>configuração</t>
        </is>
      </c>
    </row>
    <row r="7253">
      <c r="A7253" s="194" t="inlineStr">
        <is>
          <t>custom.restricao.23.frequencia</t>
        </is>
      </c>
      <c r="B7253" s="194">
        <f>IF(ISBLANK('CONFIGURAÇÃO'!$E$1653),"",'CONFIGURAÇÃO'!$E$1653&amp;"")</f>
        <v/>
      </c>
      <c r="C7253" s="194">
        <f>"'CONFIGURAÇÃO'!E1653"</f>
        <v/>
      </c>
      <c r="D7253" s="194" t="inlineStr">
        <is>
          <t>configuração</t>
        </is>
      </c>
    </row>
    <row r="7254">
      <c r="A7254" s="194" t="inlineStr">
        <is>
          <t>custom.restricao.23.efeito</t>
        </is>
      </c>
      <c r="B7254" s="194">
        <f>IF(ISBLANK('CONFIGURAÇÃO'!$B$1656),"",'CONFIGURAÇÃO'!$B$1656&amp;"")</f>
        <v/>
      </c>
      <c r="C7254" s="194">
        <f>"'CONFIGURAÇÃO'!B1656"</f>
        <v/>
      </c>
      <c r="D7254" s="194" t="inlineStr">
        <is>
          <t>configuração</t>
        </is>
      </c>
    </row>
    <row r="7255">
      <c r="A7255" s="194" t="inlineStr">
        <is>
          <t>custom.restricao.23.mestre_viu</t>
        </is>
      </c>
      <c r="B7255" s="194">
        <f>N('CONFIGURAÇÃO'!$F$1648)&amp;""</f>
        <v/>
      </c>
      <c r="C7255" s="194">
        <f>"'CONFIGURAÇÃO'!F1648"</f>
        <v/>
      </c>
      <c r="D7255" s="194" t="inlineStr">
        <is>
          <t>configuração</t>
        </is>
      </c>
    </row>
    <row r="7256">
      <c r="A7256" s="194" t="inlineStr">
        <is>
          <t>custom.restricao.24.nome</t>
        </is>
      </c>
      <c r="B7256" s="194">
        <f>IF(ISBLANK('CONFIGURAÇÃO'!$J$1650),"",'CONFIGURAÇÃO'!$J$1650&amp;"")</f>
        <v/>
      </c>
      <c r="C7256" s="194">
        <f>"'CONFIGURAÇÃO'!J1650"</f>
        <v/>
      </c>
      <c r="D7256" s="194" t="inlineStr">
        <is>
          <t>configuração</t>
        </is>
      </c>
    </row>
    <row r="7257">
      <c r="A7257" s="194" t="inlineStr">
        <is>
          <t>custom.restricao.24.base</t>
        </is>
      </c>
      <c r="B7257" s="194">
        <f>IF(ISBLANK('CONFIGURAÇÃO'!$M$1651),"",'CONFIGURAÇÃO'!$M$1651&amp;"")</f>
        <v/>
      </c>
      <c r="C7257" s="194">
        <f>"'CONFIGURAÇÃO'!M1651"</f>
        <v/>
      </c>
      <c r="D7257" s="194" t="inlineStr">
        <is>
          <t>configuração</t>
        </is>
      </c>
    </row>
    <row r="7258">
      <c r="A7258" s="194" t="inlineStr">
        <is>
          <t>custom.restricao.24.devolucao</t>
        </is>
      </c>
      <c r="B7258" s="194">
        <f>IF(ISBLANK('CONFIGURAÇÃO'!$M$1652),"",'CONFIGURAÇÃO'!$M$1652&amp;"")</f>
        <v/>
      </c>
      <c r="C7258" s="194">
        <f>"'CONFIGURAÇÃO'!M1652"</f>
        <v/>
      </c>
      <c r="D7258" s="194" t="inlineStr">
        <is>
          <t>configuração</t>
        </is>
      </c>
    </row>
    <row r="7259">
      <c r="A7259" s="194" t="inlineStr">
        <is>
          <t>custom.restricao.24.frequencia</t>
        </is>
      </c>
      <c r="B7259" s="194">
        <f>IF(ISBLANK('CONFIGURAÇÃO'!$M$1653),"",'CONFIGURAÇÃO'!$M$1653&amp;"")</f>
        <v/>
      </c>
      <c r="C7259" s="194">
        <f>"'CONFIGURAÇÃO'!M1653"</f>
        <v/>
      </c>
      <c r="D7259" s="194" t="inlineStr">
        <is>
          <t>configuração</t>
        </is>
      </c>
    </row>
    <row r="7260">
      <c r="A7260" s="194" t="inlineStr">
        <is>
          <t>custom.restricao.24.efeito</t>
        </is>
      </c>
      <c r="B7260" s="194">
        <f>IF(ISBLANK('CONFIGURAÇÃO'!$J$1656),"",'CONFIGURAÇÃO'!$J$1656&amp;"")</f>
        <v/>
      </c>
      <c r="C7260" s="194">
        <f>"'CONFIGURAÇÃO'!J1656"</f>
        <v/>
      </c>
      <c r="D7260" s="194" t="inlineStr">
        <is>
          <t>configuração</t>
        </is>
      </c>
    </row>
    <row r="7261">
      <c r="A7261" s="194" t="inlineStr">
        <is>
          <t>custom.restricao.24.mestre_viu</t>
        </is>
      </c>
      <c r="B7261" s="194">
        <f>N('CONFIGURAÇÃO'!$N$1648)&amp;""</f>
        <v/>
      </c>
      <c r="C7261" s="194">
        <f>"'CONFIGURAÇÃO'!N1648"</f>
        <v/>
      </c>
      <c r="D7261" s="194" t="inlineStr">
        <is>
          <t>configuração</t>
        </is>
      </c>
    </row>
    <row r="7262">
      <c r="A7262" s="194" t="inlineStr">
        <is>
          <t>custom.restricao.25.nome</t>
        </is>
      </c>
      <c r="B7262" s="194">
        <f>IF(ISBLANK('CONFIGURAÇÃO'!$B$1672),"",'CONFIGURAÇÃO'!$B$1672&amp;"")</f>
        <v/>
      </c>
      <c r="C7262" s="194">
        <f>"'CONFIGURAÇÃO'!B1672"</f>
        <v/>
      </c>
      <c r="D7262" s="194" t="inlineStr">
        <is>
          <t>configuração</t>
        </is>
      </c>
    </row>
    <row r="7263">
      <c r="A7263" s="194" t="inlineStr">
        <is>
          <t>custom.restricao.25.base</t>
        </is>
      </c>
      <c r="B7263" s="194">
        <f>IF(ISBLANK('CONFIGURAÇÃO'!$E$1673),"",'CONFIGURAÇÃO'!$E$1673&amp;"")</f>
        <v/>
      </c>
      <c r="C7263" s="194">
        <f>"'CONFIGURAÇÃO'!E1673"</f>
        <v/>
      </c>
      <c r="D7263" s="194" t="inlineStr">
        <is>
          <t>configuração</t>
        </is>
      </c>
    </row>
    <row r="7264">
      <c r="A7264" s="194" t="inlineStr">
        <is>
          <t>custom.restricao.25.devolucao</t>
        </is>
      </c>
      <c r="B7264" s="194">
        <f>IF(ISBLANK('CONFIGURAÇÃO'!$E$1674),"",'CONFIGURAÇÃO'!$E$1674&amp;"")</f>
        <v/>
      </c>
      <c r="C7264" s="194">
        <f>"'CONFIGURAÇÃO'!E1674"</f>
        <v/>
      </c>
      <c r="D7264" s="194" t="inlineStr">
        <is>
          <t>configuração</t>
        </is>
      </c>
    </row>
    <row r="7265">
      <c r="A7265" s="194" t="inlineStr">
        <is>
          <t>custom.restricao.25.frequencia</t>
        </is>
      </c>
      <c r="B7265" s="194">
        <f>IF(ISBLANK('CONFIGURAÇÃO'!$E$1675),"",'CONFIGURAÇÃO'!$E$1675&amp;"")</f>
        <v/>
      </c>
      <c r="C7265" s="194">
        <f>"'CONFIGURAÇÃO'!E1675"</f>
        <v/>
      </c>
      <c r="D7265" s="194" t="inlineStr">
        <is>
          <t>configuração</t>
        </is>
      </c>
    </row>
    <row r="7266">
      <c r="A7266" s="194" t="inlineStr">
        <is>
          <t>custom.restricao.25.efeito</t>
        </is>
      </c>
      <c r="B7266" s="194">
        <f>IF(ISBLANK('CONFIGURAÇÃO'!$B$1678),"",'CONFIGURAÇÃO'!$B$1678&amp;"")</f>
        <v/>
      </c>
      <c r="C7266" s="194">
        <f>"'CONFIGURAÇÃO'!B1678"</f>
        <v/>
      </c>
      <c r="D7266" s="194" t="inlineStr">
        <is>
          <t>configuração</t>
        </is>
      </c>
    </row>
    <row r="7267">
      <c r="A7267" s="194" t="inlineStr">
        <is>
          <t>custom.restricao.25.mestre_viu</t>
        </is>
      </c>
      <c r="B7267" s="194">
        <f>N('CONFIGURAÇÃO'!$F$1670)&amp;""</f>
        <v/>
      </c>
      <c r="C7267" s="194">
        <f>"'CONFIGURAÇÃO'!F1670"</f>
        <v/>
      </c>
      <c r="D7267" s="194" t="inlineStr">
        <is>
          <t>configuração</t>
        </is>
      </c>
    </row>
    <row r="7268">
      <c r="A7268" s="194" t="inlineStr">
        <is>
          <t>custom.restricao.26.nome</t>
        </is>
      </c>
      <c r="B7268" s="194">
        <f>IF(ISBLANK('CONFIGURAÇÃO'!$J$1672),"",'CONFIGURAÇÃO'!$J$1672&amp;"")</f>
        <v/>
      </c>
      <c r="C7268" s="194">
        <f>"'CONFIGURAÇÃO'!J1672"</f>
        <v/>
      </c>
      <c r="D7268" s="194" t="inlineStr">
        <is>
          <t>configuração</t>
        </is>
      </c>
    </row>
    <row r="7269">
      <c r="A7269" s="194" t="inlineStr">
        <is>
          <t>custom.restricao.26.base</t>
        </is>
      </c>
      <c r="B7269" s="194">
        <f>IF(ISBLANK('CONFIGURAÇÃO'!$M$1673),"",'CONFIGURAÇÃO'!$M$1673&amp;"")</f>
        <v/>
      </c>
      <c r="C7269" s="194">
        <f>"'CONFIGURAÇÃO'!M1673"</f>
        <v/>
      </c>
      <c r="D7269" s="194" t="inlineStr">
        <is>
          <t>configuração</t>
        </is>
      </c>
    </row>
    <row r="7270">
      <c r="A7270" s="194" t="inlineStr">
        <is>
          <t>custom.restricao.26.devolucao</t>
        </is>
      </c>
      <c r="B7270" s="194">
        <f>IF(ISBLANK('CONFIGURAÇÃO'!$M$1674),"",'CONFIGURAÇÃO'!$M$1674&amp;"")</f>
        <v/>
      </c>
      <c r="C7270" s="194">
        <f>"'CONFIGURAÇÃO'!M1674"</f>
        <v/>
      </c>
      <c r="D7270" s="194" t="inlineStr">
        <is>
          <t>configuração</t>
        </is>
      </c>
    </row>
    <row r="7271">
      <c r="A7271" s="194" t="inlineStr">
        <is>
          <t>custom.restricao.26.frequencia</t>
        </is>
      </c>
      <c r="B7271" s="194">
        <f>IF(ISBLANK('CONFIGURAÇÃO'!$M$1675),"",'CONFIGURAÇÃO'!$M$1675&amp;"")</f>
        <v/>
      </c>
      <c r="C7271" s="194">
        <f>"'CONFIGURAÇÃO'!M1675"</f>
        <v/>
      </c>
      <c r="D7271" s="194" t="inlineStr">
        <is>
          <t>configuração</t>
        </is>
      </c>
    </row>
    <row r="7272">
      <c r="A7272" s="194" t="inlineStr">
        <is>
          <t>custom.restricao.26.efeito</t>
        </is>
      </c>
      <c r="B7272" s="194">
        <f>IF(ISBLANK('CONFIGURAÇÃO'!$J$1678),"",'CONFIGURAÇÃO'!$J$1678&amp;"")</f>
        <v/>
      </c>
      <c r="C7272" s="194">
        <f>"'CONFIGURAÇÃO'!J1678"</f>
        <v/>
      </c>
      <c r="D7272" s="194" t="inlineStr">
        <is>
          <t>configuração</t>
        </is>
      </c>
    </row>
    <row r="7273">
      <c r="A7273" s="194" t="inlineStr">
        <is>
          <t>custom.restricao.26.mestre_viu</t>
        </is>
      </c>
      <c r="B7273" s="194">
        <f>N('CONFIGURAÇÃO'!$N$1670)&amp;""</f>
        <v/>
      </c>
      <c r="C7273" s="194">
        <f>"'CONFIGURAÇÃO'!N1670"</f>
        <v/>
      </c>
      <c r="D7273" s="194" t="inlineStr">
        <is>
          <t>configuração</t>
        </is>
      </c>
    </row>
    <row r="7274">
      <c r="A7274" s="194" t="inlineStr">
        <is>
          <t>custom.restricao.27.nome</t>
        </is>
      </c>
      <c r="B7274" s="194">
        <f>IF(ISBLANK('CONFIGURAÇÃO'!$B$1694),"",'CONFIGURAÇÃO'!$B$1694&amp;"")</f>
        <v/>
      </c>
      <c r="C7274" s="194">
        <f>"'CONFIGURAÇÃO'!B1694"</f>
        <v/>
      </c>
      <c r="D7274" s="194" t="inlineStr">
        <is>
          <t>configuração</t>
        </is>
      </c>
    </row>
    <row r="7275">
      <c r="A7275" s="194" t="inlineStr">
        <is>
          <t>custom.restricao.27.base</t>
        </is>
      </c>
      <c r="B7275" s="194">
        <f>IF(ISBLANK('CONFIGURAÇÃO'!$E$1695),"",'CONFIGURAÇÃO'!$E$1695&amp;"")</f>
        <v/>
      </c>
      <c r="C7275" s="194">
        <f>"'CONFIGURAÇÃO'!E1695"</f>
        <v/>
      </c>
      <c r="D7275" s="194" t="inlineStr">
        <is>
          <t>configuração</t>
        </is>
      </c>
    </row>
    <row r="7276">
      <c r="A7276" s="194" t="inlineStr">
        <is>
          <t>custom.restricao.27.devolucao</t>
        </is>
      </c>
      <c r="B7276" s="194">
        <f>IF(ISBLANK('CONFIGURAÇÃO'!$E$1696),"",'CONFIGURAÇÃO'!$E$1696&amp;"")</f>
        <v/>
      </c>
      <c r="C7276" s="194">
        <f>"'CONFIGURAÇÃO'!E1696"</f>
        <v/>
      </c>
      <c r="D7276" s="194" t="inlineStr">
        <is>
          <t>configuração</t>
        </is>
      </c>
    </row>
    <row r="7277">
      <c r="A7277" s="194" t="inlineStr">
        <is>
          <t>custom.restricao.27.frequencia</t>
        </is>
      </c>
      <c r="B7277" s="194">
        <f>IF(ISBLANK('CONFIGURAÇÃO'!$E$1697),"",'CONFIGURAÇÃO'!$E$1697&amp;"")</f>
        <v/>
      </c>
      <c r="C7277" s="194">
        <f>"'CONFIGURAÇÃO'!E1697"</f>
        <v/>
      </c>
      <c r="D7277" s="194" t="inlineStr">
        <is>
          <t>configuração</t>
        </is>
      </c>
    </row>
    <row r="7278">
      <c r="A7278" s="194" t="inlineStr">
        <is>
          <t>custom.restricao.27.efeito</t>
        </is>
      </c>
      <c r="B7278" s="194">
        <f>IF(ISBLANK('CONFIGURAÇÃO'!$B$1700),"",'CONFIGURAÇÃO'!$B$1700&amp;"")</f>
        <v/>
      </c>
      <c r="C7278" s="194">
        <f>"'CONFIGURAÇÃO'!B1700"</f>
        <v/>
      </c>
      <c r="D7278" s="194" t="inlineStr">
        <is>
          <t>configuração</t>
        </is>
      </c>
    </row>
    <row r="7279">
      <c r="A7279" s="194" t="inlineStr">
        <is>
          <t>custom.restricao.27.mestre_viu</t>
        </is>
      </c>
      <c r="B7279" s="194">
        <f>N('CONFIGURAÇÃO'!$F$1692)&amp;""</f>
        <v/>
      </c>
      <c r="C7279" s="194">
        <f>"'CONFIGURAÇÃO'!F1692"</f>
        <v/>
      </c>
      <c r="D7279" s="194" t="inlineStr">
        <is>
          <t>configuração</t>
        </is>
      </c>
    </row>
    <row r="7280">
      <c r="A7280" s="194" t="inlineStr">
        <is>
          <t>custom.restricao.28.nome</t>
        </is>
      </c>
      <c r="B7280" s="194">
        <f>IF(ISBLANK('CONFIGURAÇÃO'!$J$1694),"",'CONFIGURAÇÃO'!$J$1694&amp;"")</f>
        <v/>
      </c>
      <c r="C7280" s="194">
        <f>"'CONFIGURAÇÃO'!J1694"</f>
        <v/>
      </c>
      <c r="D7280" s="194" t="inlineStr">
        <is>
          <t>configuração</t>
        </is>
      </c>
    </row>
    <row r="7281">
      <c r="A7281" s="194" t="inlineStr">
        <is>
          <t>custom.restricao.28.base</t>
        </is>
      </c>
      <c r="B7281" s="194">
        <f>IF(ISBLANK('CONFIGURAÇÃO'!$M$1695),"",'CONFIGURAÇÃO'!$M$1695&amp;"")</f>
        <v/>
      </c>
      <c r="C7281" s="194">
        <f>"'CONFIGURAÇÃO'!M1695"</f>
        <v/>
      </c>
      <c r="D7281" s="194" t="inlineStr">
        <is>
          <t>configuração</t>
        </is>
      </c>
    </row>
    <row r="7282">
      <c r="A7282" s="194" t="inlineStr">
        <is>
          <t>custom.restricao.28.devolucao</t>
        </is>
      </c>
      <c r="B7282" s="194">
        <f>IF(ISBLANK('CONFIGURAÇÃO'!$M$1696),"",'CONFIGURAÇÃO'!$M$1696&amp;"")</f>
        <v/>
      </c>
      <c r="C7282" s="194">
        <f>"'CONFIGURAÇÃO'!M1696"</f>
        <v/>
      </c>
      <c r="D7282" s="194" t="inlineStr">
        <is>
          <t>configuração</t>
        </is>
      </c>
    </row>
    <row r="7283">
      <c r="A7283" s="194" t="inlineStr">
        <is>
          <t>custom.restricao.28.frequencia</t>
        </is>
      </c>
      <c r="B7283" s="194">
        <f>IF(ISBLANK('CONFIGURAÇÃO'!$M$1697),"",'CONFIGURAÇÃO'!$M$1697&amp;"")</f>
        <v/>
      </c>
      <c r="C7283" s="194">
        <f>"'CONFIGURAÇÃO'!M1697"</f>
        <v/>
      </c>
      <c r="D7283" s="194" t="inlineStr">
        <is>
          <t>configuração</t>
        </is>
      </c>
    </row>
    <row r="7284">
      <c r="A7284" s="194" t="inlineStr">
        <is>
          <t>custom.restricao.28.efeito</t>
        </is>
      </c>
      <c r="B7284" s="194">
        <f>IF(ISBLANK('CONFIGURAÇÃO'!$J$1700),"",'CONFIGURAÇÃO'!$J$1700&amp;"")</f>
        <v/>
      </c>
      <c r="C7284" s="194">
        <f>"'CONFIGURAÇÃO'!J1700"</f>
        <v/>
      </c>
      <c r="D7284" s="194" t="inlineStr">
        <is>
          <t>configuração</t>
        </is>
      </c>
    </row>
    <row r="7285">
      <c r="A7285" s="194" t="inlineStr">
        <is>
          <t>custom.restricao.28.mestre_viu</t>
        </is>
      </c>
      <c r="B7285" s="194">
        <f>N('CONFIGURAÇÃO'!$N$1692)&amp;""</f>
        <v/>
      </c>
      <c r="C7285" s="194">
        <f>"'CONFIGURAÇÃO'!N1692"</f>
        <v/>
      </c>
      <c r="D7285" s="194" t="inlineStr">
        <is>
          <t>configuração</t>
        </is>
      </c>
    </row>
    <row r="7286">
      <c r="A7286" s="194" t="inlineStr">
        <is>
          <t>custom.restricao.29.nome</t>
        </is>
      </c>
      <c r="B7286" s="194">
        <f>IF(ISBLANK('CONFIGURAÇÃO'!$B$1716),"",'CONFIGURAÇÃO'!$B$1716&amp;"")</f>
        <v/>
      </c>
      <c r="C7286" s="194">
        <f>"'CONFIGURAÇÃO'!B1716"</f>
        <v/>
      </c>
      <c r="D7286" s="194" t="inlineStr">
        <is>
          <t>configuração</t>
        </is>
      </c>
    </row>
    <row r="7287">
      <c r="A7287" s="194" t="inlineStr">
        <is>
          <t>custom.restricao.29.base</t>
        </is>
      </c>
      <c r="B7287" s="194">
        <f>IF(ISBLANK('CONFIGURAÇÃO'!$E$1717),"",'CONFIGURAÇÃO'!$E$1717&amp;"")</f>
        <v/>
      </c>
      <c r="C7287" s="194">
        <f>"'CONFIGURAÇÃO'!E1717"</f>
        <v/>
      </c>
      <c r="D7287" s="194" t="inlineStr">
        <is>
          <t>configuração</t>
        </is>
      </c>
    </row>
    <row r="7288">
      <c r="A7288" s="194" t="inlineStr">
        <is>
          <t>custom.restricao.29.devolucao</t>
        </is>
      </c>
      <c r="B7288" s="194">
        <f>IF(ISBLANK('CONFIGURAÇÃO'!$E$1718),"",'CONFIGURAÇÃO'!$E$1718&amp;"")</f>
        <v/>
      </c>
      <c r="C7288" s="194">
        <f>"'CONFIGURAÇÃO'!E1718"</f>
        <v/>
      </c>
      <c r="D7288" s="194" t="inlineStr">
        <is>
          <t>configuração</t>
        </is>
      </c>
    </row>
    <row r="7289">
      <c r="A7289" s="194" t="inlineStr">
        <is>
          <t>custom.restricao.29.frequencia</t>
        </is>
      </c>
      <c r="B7289" s="194">
        <f>IF(ISBLANK('CONFIGURAÇÃO'!$E$1719),"",'CONFIGURAÇÃO'!$E$1719&amp;"")</f>
        <v/>
      </c>
      <c r="C7289" s="194">
        <f>"'CONFIGURAÇÃO'!E1719"</f>
        <v/>
      </c>
      <c r="D7289" s="194" t="inlineStr">
        <is>
          <t>configuração</t>
        </is>
      </c>
    </row>
    <row r="7290">
      <c r="A7290" s="194" t="inlineStr">
        <is>
          <t>custom.restricao.29.efeito</t>
        </is>
      </c>
      <c r="B7290" s="194">
        <f>IF(ISBLANK('CONFIGURAÇÃO'!$B$1722),"",'CONFIGURAÇÃO'!$B$1722&amp;"")</f>
        <v/>
      </c>
      <c r="C7290" s="194">
        <f>"'CONFIGURAÇÃO'!B1722"</f>
        <v/>
      </c>
      <c r="D7290" s="194" t="inlineStr">
        <is>
          <t>configuração</t>
        </is>
      </c>
    </row>
    <row r="7291">
      <c r="A7291" s="194" t="inlineStr">
        <is>
          <t>custom.restricao.29.mestre_viu</t>
        </is>
      </c>
      <c r="B7291" s="194">
        <f>N('CONFIGURAÇÃO'!$F$1714)&amp;""</f>
        <v/>
      </c>
      <c r="C7291" s="194">
        <f>"'CONFIGURAÇÃO'!F1714"</f>
        <v/>
      </c>
      <c r="D7291" s="194" t="inlineStr">
        <is>
          <t>configuração</t>
        </is>
      </c>
    </row>
    <row r="7292">
      <c r="A7292" s="194" t="inlineStr">
        <is>
          <t>custom.restricao.30.nome</t>
        </is>
      </c>
      <c r="B7292" s="194">
        <f>IF(ISBLANK('CONFIGURAÇÃO'!$J$1716),"",'CONFIGURAÇÃO'!$J$1716&amp;"")</f>
        <v/>
      </c>
      <c r="C7292" s="194">
        <f>"'CONFIGURAÇÃO'!J1716"</f>
        <v/>
      </c>
      <c r="D7292" s="194" t="inlineStr">
        <is>
          <t>configuração</t>
        </is>
      </c>
    </row>
    <row r="7293">
      <c r="A7293" s="194" t="inlineStr">
        <is>
          <t>custom.restricao.30.base</t>
        </is>
      </c>
      <c r="B7293" s="194">
        <f>IF(ISBLANK('CONFIGURAÇÃO'!$M$1717),"",'CONFIGURAÇÃO'!$M$1717&amp;"")</f>
        <v/>
      </c>
      <c r="C7293" s="194">
        <f>"'CONFIGURAÇÃO'!M1717"</f>
        <v/>
      </c>
      <c r="D7293" s="194" t="inlineStr">
        <is>
          <t>configuração</t>
        </is>
      </c>
    </row>
    <row r="7294">
      <c r="A7294" s="194" t="inlineStr">
        <is>
          <t>custom.restricao.30.devolucao</t>
        </is>
      </c>
      <c r="B7294" s="194">
        <f>IF(ISBLANK('CONFIGURAÇÃO'!$M$1718),"",'CONFIGURAÇÃO'!$M$1718&amp;"")</f>
        <v/>
      </c>
      <c r="C7294" s="194">
        <f>"'CONFIGURAÇÃO'!M1718"</f>
        <v/>
      </c>
      <c r="D7294" s="194" t="inlineStr">
        <is>
          <t>configuração</t>
        </is>
      </c>
    </row>
    <row r="7295">
      <c r="A7295" s="194" t="inlineStr">
        <is>
          <t>custom.restricao.30.frequencia</t>
        </is>
      </c>
      <c r="B7295" s="194">
        <f>IF(ISBLANK('CONFIGURAÇÃO'!$M$1719),"",'CONFIGURAÇÃO'!$M$1719&amp;"")</f>
        <v/>
      </c>
      <c r="C7295" s="194">
        <f>"'CONFIGURAÇÃO'!M1719"</f>
        <v/>
      </c>
      <c r="D7295" s="194" t="inlineStr">
        <is>
          <t>configuração</t>
        </is>
      </c>
    </row>
    <row r="7296">
      <c r="A7296" s="194" t="inlineStr">
        <is>
          <t>custom.restricao.30.efeito</t>
        </is>
      </c>
      <c r="B7296" s="194">
        <f>IF(ISBLANK('CONFIGURAÇÃO'!$J$1722),"",'CONFIGURAÇÃO'!$J$1722&amp;"")</f>
        <v/>
      </c>
      <c r="C7296" s="194">
        <f>"'CONFIGURAÇÃO'!J1722"</f>
        <v/>
      </c>
      <c r="D7296" s="194" t="inlineStr">
        <is>
          <t>configuração</t>
        </is>
      </c>
    </row>
    <row r="7297">
      <c r="A7297" s="194" t="inlineStr">
        <is>
          <t>custom.restricao.30.mestre_viu</t>
        </is>
      </c>
      <c r="B7297" s="194">
        <f>N('CONFIGURAÇÃO'!$N$1714)&amp;""</f>
        <v/>
      </c>
      <c r="C7297" s="194">
        <f>"'CONFIGURAÇÃO'!N1714"</f>
        <v/>
      </c>
      <c r="D7297" s="194" t="inlineStr">
        <is>
          <t>configuração</t>
        </is>
      </c>
    </row>
    <row r="7298">
      <c r="A7298" s="194" t="inlineStr">
        <is>
          <t>aviso.custom.melhoria.1</t>
        </is>
      </c>
      <c r="B7298" s="194">
        <f>'DADOS_MELHORIAS'!$M$2&amp;""</f>
        <v/>
      </c>
      <c r="C7298" s="194">
        <f>"'DADOS_MELHORIAS'!M2"</f>
        <v/>
      </c>
      <c r="D7298" s="194" t="inlineStr">
        <is>
          <t>aviso</t>
        </is>
      </c>
    </row>
    <row r="7299">
      <c r="A7299" s="194" t="inlineStr">
        <is>
          <t>aviso.custom.melhoria.2</t>
        </is>
      </c>
      <c r="B7299" s="194">
        <f>'DADOS_MELHORIAS'!$M$3&amp;""</f>
        <v/>
      </c>
      <c r="C7299" s="194">
        <f>"'DADOS_MELHORIAS'!M3"</f>
        <v/>
      </c>
      <c r="D7299" s="194" t="inlineStr">
        <is>
          <t>aviso</t>
        </is>
      </c>
    </row>
    <row r="7300">
      <c r="A7300" s="194" t="inlineStr">
        <is>
          <t>aviso.custom.melhoria.3</t>
        </is>
      </c>
      <c r="B7300" s="194">
        <f>'DADOS_MELHORIAS'!$M$4&amp;""</f>
        <v/>
      </c>
      <c r="C7300" s="194">
        <f>"'DADOS_MELHORIAS'!M4"</f>
        <v/>
      </c>
      <c r="D7300" s="194" t="inlineStr">
        <is>
          <t>aviso</t>
        </is>
      </c>
    </row>
    <row r="7301">
      <c r="A7301" s="194" t="inlineStr">
        <is>
          <t>aviso.custom.melhoria.4</t>
        </is>
      </c>
      <c r="B7301" s="194">
        <f>'DADOS_MELHORIAS'!$M$5&amp;""</f>
        <v/>
      </c>
      <c r="C7301" s="194">
        <f>"'DADOS_MELHORIAS'!M5"</f>
        <v/>
      </c>
      <c r="D7301" s="194" t="inlineStr">
        <is>
          <t>aviso</t>
        </is>
      </c>
    </row>
    <row r="7302">
      <c r="A7302" s="194" t="inlineStr">
        <is>
          <t>aviso.custom.melhoria.5</t>
        </is>
      </c>
      <c r="B7302" s="194">
        <f>'DADOS_MELHORIAS'!$M$6&amp;""</f>
        <v/>
      </c>
      <c r="C7302" s="194">
        <f>"'DADOS_MELHORIAS'!M6"</f>
        <v/>
      </c>
      <c r="D7302" s="194" t="inlineStr">
        <is>
          <t>aviso</t>
        </is>
      </c>
    </row>
    <row r="7303">
      <c r="A7303" s="194" t="inlineStr">
        <is>
          <t>aviso.custom.melhoria.6</t>
        </is>
      </c>
      <c r="B7303" s="194">
        <f>'DADOS_MELHORIAS'!$M$7&amp;""</f>
        <v/>
      </c>
      <c r="C7303" s="194">
        <f>"'DADOS_MELHORIAS'!M7"</f>
        <v/>
      </c>
      <c r="D7303" s="194" t="inlineStr">
        <is>
          <t>aviso</t>
        </is>
      </c>
    </row>
    <row r="7304">
      <c r="A7304" s="194" t="inlineStr">
        <is>
          <t>aviso.custom.melhoria.7</t>
        </is>
      </c>
      <c r="B7304" s="194">
        <f>'DADOS_MELHORIAS'!$M$8&amp;""</f>
        <v/>
      </c>
      <c r="C7304" s="194">
        <f>"'DADOS_MELHORIAS'!M8"</f>
        <v/>
      </c>
      <c r="D7304" s="194" t="inlineStr">
        <is>
          <t>aviso</t>
        </is>
      </c>
    </row>
    <row r="7305">
      <c r="A7305" s="194" t="inlineStr">
        <is>
          <t>aviso.custom.melhoria.8</t>
        </is>
      </c>
      <c r="B7305" s="194">
        <f>'DADOS_MELHORIAS'!$M$9&amp;""</f>
        <v/>
      </c>
      <c r="C7305" s="194">
        <f>"'DADOS_MELHORIAS'!M9"</f>
        <v/>
      </c>
      <c r="D7305" s="194" t="inlineStr">
        <is>
          <t>aviso</t>
        </is>
      </c>
    </row>
    <row r="7306">
      <c r="A7306" s="194" t="inlineStr">
        <is>
          <t>aviso.custom.melhoria.9</t>
        </is>
      </c>
      <c r="B7306" s="194">
        <f>'DADOS_MELHORIAS'!$M$10&amp;""</f>
        <v/>
      </c>
      <c r="C7306" s="194">
        <f>"'DADOS_MELHORIAS'!M10"</f>
        <v/>
      </c>
      <c r="D7306" s="194" t="inlineStr">
        <is>
          <t>aviso</t>
        </is>
      </c>
    </row>
    <row r="7307">
      <c r="A7307" s="194" t="inlineStr">
        <is>
          <t>aviso.custom.melhoria.10</t>
        </is>
      </c>
      <c r="B7307" s="194">
        <f>'DADOS_MELHORIAS'!$M$11&amp;""</f>
        <v/>
      </c>
      <c r="C7307" s="194">
        <f>"'DADOS_MELHORIAS'!M11"</f>
        <v/>
      </c>
      <c r="D7307" s="194" t="inlineStr">
        <is>
          <t>aviso</t>
        </is>
      </c>
    </row>
    <row r="7308">
      <c r="A7308" s="194" t="inlineStr">
        <is>
          <t>aviso.custom.melhoria.11</t>
        </is>
      </c>
      <c r="B7308" s="194">
        <f>'DADOS_MELHORIAS'!$M$12&amp;""</f>
        <v/>
      </c>
      <c r="C7308" s="194">
        <f>"'DADOS_MELHORIAS'!M12"</f>
        <v/>
      </c>
      <c r="D7308" s="194" t="inlineStr">
        <is>
          <t>aviso</t>
        </is>
      </c>
    </row>
    <row r="7309">
      <c r="A7309" s="194" t="inlineStr">
        <is>
          <t>aviso.custom.melhoria.12</t>
        </is>
      </c>
      <c r="B7309" s="194">
        <f>'DADOS_MELHORIAS'!$M$13&amp;""</f>
        <v/>
      </c>
      <c r="C7309" s="194">
        <f>"'DADOS_MELHORIAS'!M13"</f>
        <v/>
      </c>
      <c r="D7309" s="194" t="inlineStr">
        <is>
          <t>aviso</t>
        </is>
      </c>
    </row>
    <row r="7310">
      <c r="A7310" s="194" t="inlineStr">
        <is>
          <t>aviso.custom.melhoria.13</t>
        </is>
      </c>
      <c r="B7310" s="194">
        <f>'DADOS_MELHORIAS'!$M$14&amp;""</f>
        <v/>
      </c>
      <c r="C7310" s="194">
        <f>"'DADOS_MELHORIAS'!M14"</f>
        <v/>
      </c>
      <c r="D7310" s="194" t="inlineStr">
        <is>
          <t>aviso</t>
        </is>
      </c>
    </row>
    <row r="7311">
      <c r="A7311" s="194" t="inlineStr">
        <is>
          <t>aviso.custom.melhoria.14</t>
        </is>
      </c>
      <c r="B7311" s="194">
        <f>'DADOS_MELHORIAS'!$M$15&amp;""</f>
        <v/>
      </c>
      <c r="C7311" s="194">
        <f>"'DADOS_MELHORIAS'!M15"</f>
        <v/>
      </c>
      <c r="D7311" s="194" t="inlineStr">
        <is>
          <t>aviso</t>
        </is>
      </c>
    </row>
    <row r="7312">
      <c r="A7312" s="194" t="inlineStr">
        <is>
          <t>aviso.custom.melhoria.15</t>
        </is>
      </c>
      <c r="B7312" s="194">
        <f>'DADOS_MELHORIAS'!$M$16&amp;""</f>
        <v/>
      </c>
      <c r="C7312" s="194">
        <f>"'DADOS_MELHORIAS'!M16"</f>
        <v/>
      </c>
      <c r="D7312" s="194" t="inlineStr">
        <is>
          <t>aviso</t>
        </is>
      </c>
    </row>
    <row r="7313">
      <c r="A7313" s="194" t="inlineStr">
        <is>
          <t>aviso.custom.melhoria.16</t>
        </is>
      </c>
      <c r="B7313" s="194">
        <f>'DADOS_MELHORIAS'!$M$17&amp;""</f>
        <v/>
      </c>
      <c r="C7313" s="194">
        <f>"'DADOS_MELHORIAS'!M17"</f>
        <v/>
      </c>
      <c r="D7313" s="194" t="inlineStr">
        <is>
          <t>aviso</t>
        </is>
      </c>
    </row>
    <row r="7314">
      <c r="A7314" s="194" t="inlineStr">
        <is>
          <t>aviso.custom.melhoria.17</t>
        </is>
      </c>
      <c r="B7314" s="194">
        <f>'DADOS_MELHORIAS'!$M$18&amp;""</f>
        <v/>
      </c>
      <c r="C7314" s="194">
        <f>"'DADOS_MELHORIAS'!M18"</f>
        <v/>
      </c>
      <c r="D7314" s="194" t="inlineStr">
        <is>
          <t>aviso</t>
        </is>
      </c>
    </row>
    <row r="7315">
      <c r="A7315" s="194" t="inlineStr">
        <is>
          <t>aviso.custom.melhoria.18</t>
        </is>
      </c>
      <c r="B7315" s="194">
        <f>'DADOS_MELHORIAS'!$M$19&amp;""</f>
        <v/>
      </c>
      <c r="C7315" s="194">
        <f>"'DADOS_MELHORIAS'!M19"</f>
        <v/>
      </c>
      <c r="D7315" s="194" t="inlineStr">
        <is>
          <t>aviso</t>
        </is>
      </c>
    </row>
    <row r="7316">
      <c r="A7316" s="194" t="inlineStr">
        <is>
          <t>aviso.custom.melhoria.19</t>
        </is>
      </c>
      <c r="B7316" s="194">
        <f>'DADOS_MELHORIAS'!$M$20&amp;""</f>
        <v/>
      </c>
      <c r="C7316" s="194">
        <f>"'DADOS_MELHORIAS'!M20"</f>
        <v/>
      </c>
      <c r="D7316" s="194" t="inlineStr">
        <is>
          <t>aviso</t>
        </is>
      </c>
    </row>
    <row r="7317">
      <c r="A7317" s="194" t="inlineStr">
        <is>
          <t>aviso.custom.melhoria.20</t>
        </is>
      </c>
      <c r="B7317" s="194">
        <f>'DADOS_MELHORIAS'!$M$21&amp;""</f>
        <v/>
      </c>
      <c r="C7317" s="194">
        <f>"'DADOS_MELHORIAS'!M21"</f>
        <v/>
      </c>
      <c r="D7317" s="194" t="inlineStr">
        <is>
          <t>aviso</t>
        </is>
      </c>
    </row>
    <row r="7318">
      <c r="A7318" s="194" t="inlineStr">
        <is>
          <t>aviso.custom.melhoria.21</t>
        </is>
      </c>
      <c r="B7318" s="194">
        <f>'DADOS_MELHORIAS'!$M$22&amp;""</f>
        <v/>
      </c>
      <c r="C7318" s="194">
        <f>"'DADOS_MELHORIAS'!M22"</f>
        <v/>
      </c>
      <c r="D7318" s="194" t="inlineStr">
        <is>
          <t>aviso</t>
        </is>
      </c>
    </row>
    <row r="7319">
      <c r="A7319" s="194" t="inlineStr">
        <is>
          <t>aviso.custom.melhoria.22</t>
        </is>
      </c>
      <c r="B7319" s="194">
        <f>'DADOS_MELHORIAS'!$M$23&amp;""</f>
        <v/>
      </c>
      <c r="C7319" s="194">
        <f>"'DADOS_MELHORIAS'!M23"</f>
        <v/>
      </c>
      <c r="D7319" s="194" t="inlineStr">
        <is>
          <t>aviso</t>
        </is>
      </c>
    </row>
    <row r="7320">
      <c r="A7320" s="194" t="inlineStr">
        <is>
          <t>aviso.custom.melhoria.23</t>
        </is>
      </c>
      <c r="B7320" s="194">
        <f>'DADOS_MELHORIAS'!$M$24&amp;""</f>
        <v/>
      </c>
      <c r="C7320" s="194">
        <f>"'DADOS_MELHORIAS'!M24"</f>
        <v/>
      </c>
      <c r="D7320" s="194" t="inlineStr">
        <is>
          <t>aviso</t>
        </is>
      </c>
    </row>
    <row r="7321">
      <c r="A7321" s="194" t="inlineStr">
        <is>
          <t>aviso.custom.melhoria.24</t>
        </is>
      </c>
      <c r="B7321" s="194">
        <f>'DADOS_MELHORIAS'!$M$25&amp;""</f>
        <v/>
      </c>
      <c r="C7321" s="194">
        <f>"'DADOS_MELHORIAS'!M25"</f>
        <v/>
      </c>
      <c r="D7321" s="194" t="inlineStr">
        <is>
          <t>aviso</t>
        </is>
      </c>
    </row>
    <row r="7322">
      <c r="A7322" s="194" t="inlineStr">
        <is>
          <t>aviso.custom.melhoria.25</t>
        </is>
      </c>
      <c r="B7322" s="194">
        <f>'DADOS_MELHORIAS'!$M$26&amp;""</f>
        <v/>
      </c>
      <c r="C7322" s="194">
        <f>"'DADOS_MELHORIAS'!M26"</f>
        <v/>
      </c>
      <c r="D7322" s="194" t="inlineStr">
        <is>
          <t>aviso</t>
        </is>
      </c>
    </row>
    <row r="7323">
      <c r="A7323" s="194" t="inlineStr">
        <is>
          <t>aviso.custom.melhoria.26</t>
        </is>
      </c>
      <c r="B7323" s="194">
        <f>'DADOS_MELHORIAS'!$M$27&amp;""</f>
        <v/>
      </c>
      <c r="C7323" s="194">
        <f>"'DADOS_MELHORIAS'!M27"</f>
        <v/>
      </c>
      <c r="D7323" s="194" t="inlineStr">
        <is>
          <t>aviso</t>
        </is>
      </c>
    </row>
    <row r="7324">
      <c r="A7324" s="194" t="inlineStr">
        <is>
          <t>aviso.custom.melhoria.27</t>
        </is>
      </c>
      <c r="B7324" s="194">
        <f>'DADOS_MELHORIAS'!$M$28&amp;""</f>
        <v/>
      </c>
      <c r="C7324" s="194">
        <f>"'DADOS_MELHORIAS'!M28"</f>
        <v/>
      </c>
      <c r="D7324" s="194" t="inlineStr">
        <is>
          <t>aviso</t>
        </is>
      </c>
    </row>
    <row r="7325">
      <c r="A7325" s="194" t="inlineStr">
        <is>
          <t>aviso.custom.melhoria.28</t>
        </is>
      </c>
      <c r="B7325" s="194">
        <f>'DADOS_MELHORIAS'!$M$29&amp;""</f>
        <v/>
      </c>
      <c r="C7325" s="194">
        <f>"'DADOS_MELHORIAS'!M29"</f>
        <v/>
      </c>
      <c r="D7325" s="194" t="inlineStr">
        <is>
          <t>aviso</t>
        </is>
      </c>
    </row>
    <row r="7326">
      <c r="A7326" s="194" t="inlineStr">
        <is>
          <t>aviso.custom.melhoria.29</t>
        </is>
      </c>
      <c r="B7326" s="194">
        <f>'DADOS_MELHORIAS'!$M$30&amp;""</f>
        <v/>
      </c>
      <c r="C7326" s="194">
        <f>"'DADOS_MELHORIAS'!M30"</f>
        <v/>
      </c>
      <c r="D7326" s="194" t="inlineStr">
        <is>
          <t>aviso</t>
        </is>
      </c>
    </row>
    <row r="7327">
      <c r="A7327" s="194" t="inlineStr">
        <is>
          <t>aviso.custom.melhoria.30</t>
        </is>
      </c>
      <c r="B7327" s="194">
        <f>'DADOS_MELHORIAS'!$M$31&amp;""</f>
        <v/>
      </c>
      <c r="C7327" s="194">
        <f>"'DADOS_MELHORIAS'!M31"</f>
        <v/>
      </c>
      <c r="D7327" s="194" t="inlineStr">
        <is>
          <t>aviso</t>
        </is>
      </c>
    </row>
    <row r="7328">
      <c r="A7328" s="194" t="inlineStr">
        <is>
          <t>aviso.custom.restricao.1</t>
        </is>
      </c>
      <c r="B7328" s="194">
        <f>'DADOS_RESTRICOES'!$K$2&amp;""</f>
        <v/>
      </c>
      <c r="C7328" s="194">
        <f>"'DADOS_RESTRICOES'!K2"</f>
        <v/>
      </c>
      <c r="D7328" s="194" t="inlineStr">
        <is>
          <t>aviso</t>
        </is>
      </c>
    </row>
    <row r="7329">
      <c r="A7329" s="194" t="inlineStr">
        <is>
          <t>aviso.custom.restricao.2</t>
        </is>
      </c>
      <c r="B7329" s="194">
        <f>'DADOS_RESTRICOES'!$K$3&amp;""</f>
        <v/>
      </c>
      <c r="C7329" s="194">
        <f>"'DADOS_RESTRICOES'!K3"</f>
        <v/>
      </c>
      <c r="D7329" s="194" t="inlineStr">
        <is>
          <t>aviso</t>
        </is>
      </c>
    </row>
    <row r="7330">
      <c r="A7330" s="194" t="inlineStr">
        <is>
          <t>aviso.custom.restricao.3</t>
        </is>
      </c>
      <c r="B7330" s="194">
        <f>'DADOS_RESTRICOES'!$K$4&amp;""</f>
        <v/>
      </c>
      <c r="C7330" s="194">
        <f>"'DADOS_RESTRICOES'!K4"</f>
        <v/>
      </c>
      <c r="D7330" s="194" t="inlineStr">
        <is>
          <t>aviso</t>
        </is>
      </c>
    </row>
    <row r="7331">
      <c r="A7331" s="194" t="inlineStr">
        <is>
          <t>aviso.custom.restricao.4</t>
        </is>
      </c>
      <c r="B7331" s="194">
        <f>'DADOS_RESTRICOES'!$K$5&amp;""</f>
        <v/>
      </c>
      <c r="C7331" s="194">
        <f>"'DADOS_RESTRICOES'!K5"</f>
        <v/>
      </c>
      <c r="D7331" s="194" t="inlineStr">
        <is>
          <t>aviso</t>
        </is>
      </c>
    </row>
    <row r="7332">
      <c r="A7332" s="194" t="inlineStr">
        <is>
          <t>aviso.custom.restricao.5</t>
        </is>
      </c>
      <c r="B7332" s="194">
        <f>'DADOS_RESTRICOES'!$K$6&amp;""</f>
        <v/>
      </c>
      <c r="C7332" s="194">
        <f>"'DADOS_RESTRICOES'!K6"</f>
        <v/>
      </c>
      <c r="D7332" s="194" t="inlineStr">
        <is>
          <t>aviso</t>
        </is>
      </c>
    </row>
    <row r="7333">
      <c r="A7333" s="194" t="inlineStr">
        <is>
          <t>aviso.custom.restricao.6</t>
        </is>
      </c>
      <c r="B7333" s="194">
        <f>'DADOS_RESTRICOES'!$K$7&amp;""</f>
        <v/>
      </c>
      <c r="C7333" s="194">
        <f>"'DADOS_RESTRICOES'!K7"</f>
        <v/>
      </c>
      <c r="D7333" s="194" t="inlineStr">
        <is>
          <t>aviso</t>
        </is>
      </c>
    </row>
    <row r="7334">
      <c r="A7334" s="194" t="inlineStr">
        <is>
          <t>aviso.custom.restricao.7</t>
        </is>
      </c>
      <c r="B7334" s="194">
        <f>'DADOS_RESTRICOES'!$K$8&amp;""</f>
        <v/>
      </c>
      <c r="C7334" s="194">
        <f>"'DADOS_RESTRICOES'!K8"</f>
        <v/>
      </c>
      <c r="D7334" s="194" t="inlineStr">
        <is>
          <t>aviso</t>
        </is>
      </c>
    </row>
    <row r="7335">
      <c r="A7335" s="194" t="inlineStr">
        <is>
          <t>aviso.custom.restricao.8</t>
        </is>
      </c>
      <c r="B7335" s="194">
        <f>'DADOS_RESTRICOES'!$K$9&amp;""</f>
        <v/>
      </c>
      <c r="C7335" s="194">
        <f>"'DADOS_RESTRICOES'!K9"</f>
        <v/>
      </c>
      <c r="D7335" s="194" t="inlineStr">
        <is>
          <t>aviso</t>
        </is>
      </c>
    </row>
    <row r="7336">
      <c r="A7336" s="194" t="inlineStr">
        <is>
          <t>aviso.custom.restricao.9</t>
        </is>
      </c>
      <c r="B7336" s="194">
        <f>'DADOS_RESTRICOES'!$K$10&amp;""</f>
        <v/>
      </c>
      <c r="C7336" s="194">
        <f>"'DADOS_RESTRICOES'!K10"</f>
        <v/>
      </c>
      <c r="D7336" s="194" t="inlineStr">
        <is>
          <t>aviso</t>
        </is>
      </c>
    </row>
    <row r="7337">
      <c r="A7337" s="194" t="inlineStr">
        <is>
          <t>aviso.custom.restricao.10</t>
        </is>
      </c>
      <c r="B7337" s="194">
        <f>'DADOS_RESTRICOES'!$K$11&amp;""</f>
        <v/>
      </c>
      <c r="C7337" s="194">
        <f>"'DADOS_RESTRICOES'!K11"</f>
        <v/>
      </c>
      <c r="D7337" s="194" t="inlineStr">
        <is>
          <t>aviso</t>
        </is>
      </c>
    </row>
    <row r="7338">
      <c r="A7338" s="194" t="inlineStr">
        <is>
          <t>aviso.custom.restricao.11</t>
        </is>
      </c>
      <c r="B7338" s="194">
        <f>'DADOS_RESTRICOES'!$K$12&amp;""</f>
        <v/>
      </c>
      <c r="C7338" s="194">
        <f>"'DADOS_RESTRICOES'!K12"</f>
        <v/>
      </c>
      <c r="D7338" s="194" t="inlineStr">
        <is>
          <t>aviso</t>
        </is>
      </c>
    </row>
    <row r="7339">
      <c r="A7339" s="194" t="inlineStr">
        <is>
          <t>aviso.custom.restricao.12</t>
        </is>
      </c>
      <c r="B7339" s="194">
        <f>'DADOS_RESTRICOES'!$K$13&amp;""</f>
        <v/>
      </c>
      <c r="C7339" s="194">
        <f>"'DADOS_RESTRICOES'!K13"</f>
        <v/>
      </c>
      <c r="D7339" s="194" t="inlineStr">
        <is>
          <t>aviso</t>
        </is>
      </c>
    </row>
    <row r="7340">
      <c r="A7340" s="194" t="inlineStr">
        <is>
          <t>aviso.custom.restricao.13</t>
        </is>
      </c>
      <c r="B7340" s="194">
        <f>'DADOS_RESTRICOES'!$K$14&amp;""</f>
        <v/>
      </c>
      <c r="C7340" s="194">
        <f>"'DADOS_RESTRICOES'!K14"</f>
        <v/>
      </c>
      <c r="D7340" s="194" t="inlineStr">
        <is>
          <t>aviso</t>
        </is>
      </c>
    </row>
    <row r="7341">
      <c r="A7341" s="194" t="inlineStr">
        <is>
          <t>aviso.custom.restricao.14</t>
        </is>
      </c>
      <c r="B7341" s="194">
        <f>'DADOS_RESTRICOES'!$K$15&amp;""</f>
        <v/>
      </c>
      <c r="C7341" s="194">
        <f>"'DADOS_RESTRICOES'!K15"</f>
        <v/>
      </c>
      <c r="D7341" s="194" t="inlineStr">
        <is>
          <t>aviso</t>
        </is>
      </c>
    </row>
    <row r="7342">
      <c r="A7342" s="194" t="inlineStr">
        <is>
          <t>aviso.custom.restricao.15</t>
        </is>
      </c>
      <c r="B7342" s="194">
        <f>'DADOS_RESTRICOES'!$K$16&amp;""</f>
        <v/>
      </c>
      <c r="C7342" s="194">
        <f>"'DADOS_RESTRICOES'!K16"</f>
        <v/>
      </c>
      <c r="D7342" s="194" t="inlineStr">
        <is>
          <t>aviso</t>
        </is>
      </c>
    </row>
    <row r="7343">
      <c r="A7343" s="194" t="inlineStr">
        <is>
          <t>aviso.custom.restricao.16</t>
        </is>
      </c>
      <c r="B7343" s="194">
        <f>'DADOS_RESTRICOES'!$K$17&amp;""</f>
        <v/>
      </c>
      <c r="C7343" s="194">
        <f>"'DADOS_RESTRICOES'!K17"</f>
        <v/>
      </c>
      <c r="D7343" s="194" t="inlineStr">
        <is>
          <t>aviso</t>
        </is>
      </c>
    </row>
    <row r="7344">
      <c r="A7344" s="194" t="inlineStr">
        <is>
          <t>aviso.custom.restricao.17</t>
        </is>
      </c>
      <c r="B7344" s="194">
        <f>'DADOS_RESTRICOES'!$K$18&amp;""</f>
        <v/>
      </c>
      <c r="C7344" s="194">
        <f>"'DADOS_RESTRICOES'!K18"</f>
        <v/>
      </c>
      <c r="D7344" s="194" t="inlineStr">
        <is>
          <t>aviso</t>
        </is>
      </c>
    </row>
    <row r="7345">
      <c r="A7345" s="194" t="inlineStr">
        <is>
          <t>aviso.custom.restricao.18</t>
        </is>
      </c>
      <c r="B7345" s="194">
        <f>'DADOS_RESTRICOES'!$K$19&amp;""</f>
        <v/>
      </c>
      <c r="C7345" s="194">
        <f>"'DADOS_RESTRICOES'!K19"</f>
        <v/>
      </c>
      <c r="D7345" s="194" t="inlineStr">
        <is>
          <t>aviso</t>
        </is>
      </c>
    </row>
    <row r="7346">
      <c r="A7346" s="194" t="inlineStr">
        <is>
          <t>aviso.custom.restricao.19</t>
        </is>
      </c>
      <c r="B7346" s="194">
        <f>'DADOS_RESTRICOES'!$K$20&amp;""</f>
        <v/>
      </c>
      <c r="C7346" s="194">
        <f>"'DADOS_RESTRICOES'!K20"</f>
        <v/>
      </c>
      <c r="D7346" s="194" t="inlineStr">
        <is>
          <t>aviso</t>
        </is>
      </c>
    </row>
    <row r="7347">
      <c r="A7347" s="194" t="inlineStr">
        <is>
          <t>aviso.custom.restricao.20</t>
        </is>
      </c>
      <c r="B7347" s="194">
        <f>'DADOS_RESTRICOES'!$K$21&amp;""</f>
        <v/>
      </c>
      <c r="C7347" s="194">
        <f>"'DADOS_RESTRICOES'!K21"</f>
        <v/>
      </c>
      <c r="D7347" s="194" t="inlineStr">
        <is>
          <t>aviso</t>
        </is>
      </c>
    </row>
    <row r="7348">
      <c r="A7348" s="194" t="inlineStr">
        <is>
          <t>aviso.custom.restricao.21</t>
        </is>
      </c>
      <c r="B7348" s="194">
        <f>'DADOS_RESTRICOES'!$K$22&amp;""</f>
        <v/>
      </c>
      <c r="C7348" s="194">
        <f>"'DADOS_RESTRICOES'!K22"</f>
        <v/>
      </c>
      <c r="D7348" s="194" t="inlineStr">
        <is>
          <t>aviso</t>
        </is>
      </c>
    </row>
    <row r="7349">
      <c r="A7349" s="194" t="inlineStr">
        <is>
          <t>aviso.custom.restricao.22</t>
        </is>
      </c>
      <c r="B7349" s="194">
        <f>'DADOS_RESTRICOES'!$K$23&amp;""</f>
        <v/>
      </c>
      <c r="C7349" s="194">
        <f>"'DADOS_RESTRICOES'!K23"</f>
        <v/>
      </c>
      <c r="D7349" s="194" t="inlineStr">
        <is>
          <t>aviso</t>
        </is>
      </c>
    </row>
    <row r="7350">
      <c r="A7350" s="194" t="inlineStr">
        <is>
          <t>aviso.custom.restricao.23</t>
        </is>
      </c>
      <c r="B7350" s="194">
        <f>'DADOS_RESTRICOES'!$K$24&amp;""</f>
        <v/>
      </c>
      <c r="C7350" s="194">
        <f>"'DADOS_RESTRICOES'!K24"</f>
        <v/>
      </c>
      <c r="D7350" s="194" t="inlineStr">
        <is>
          <t>aviso</t>
        </is>
      </c>
    </row>
    <row r="7351">
      <c r="A7351" s="194" t="inlineStr">
        <is>
          <t>aviso.custom.restricao.24</t>
        </is>
      </c>
      <c r="B7351" s="194">
        <f>'DADOS_RESTRICOES'!$K$25&amp;""</f>
        <v/>
      </c>
      <c r="C7351" s="194">
        <f>"'DADOS_RESTRICOES'!K25"</f>
        <v/>
      </c>
      <c r="D7351" s="194" t="inlineStr">
        <is>
          <t>aviso</t>
        </is>
      </c>
    </row>
    <row r="7352">
      <c r="A7352" s="194" t="inlineStr">
        <is>
          <t>aviso.custom.restricao.25</t>
        </is>
      </c>
      <c r="B7352" s="194">
        <f>'DADOS_RESTRICOES'!$K$26&amp;""</f>
        <v/>
      </c>
      <c r="C7352" s="194">
        <f>"'DADOS_RESTRICOES'!K26"</f>
        <v/>
      </c>
      <c r="D7352" s="194" t="inlineStr">
        <is>
          <t>aviso</t>
        </is>
      </c>
    </row>
    <row r="7353">
      <c r="A7353" s="194" t="inlineStr">
        <is>
          <t>aviso.custom.restricao.26</t>
        </is>
      </c>
      <c r="B7353" s="194">
        <f>'DADOS_RESTRICOES'!$K$27&amp;""</f>
        <v/>
      </c>
      <c r="C7353" s="194">
        <f>"'DADOS_RESTRICOES'!K27"</f>
        <v/>
      </c>
      <c r="D7353" s="194" t="inlineStr">
        <is>
          <t>aviso</t>
        </is>
      </c>
    </row>
    <row r="7354">
      <c r="A7354" s="194" t="inlineStr">
        <is>
          <t>aviso.custom.restricao.27</t>
        </is>
      </c>
      <c r="B7354" s="194">
        <f>'DADOS_RESTRICOES'!$K$28&amp;""</f>
        <v/>
      </c>
      <c r="C7354" s="194">
        <f>"'DADOS_RESTRICOES'!K28"</f>
        <v/>
      </c>
      <c r="D7354" s="194" t="inlineStr">
        <is>
          <t>aviso</t>
        </is>
      </c>
    </row>
    <row r="7355">
      <c r="A7355" s="194" t="inlineStr">
        <is>
          <t>aviso.custom.restricao.28</t>
        </is>
      </c>
      <c r="B7355" s="194">
        <f>'DADOS_RESTRICOES'!$K$29&amp;""</f>
        <v/>
      </c>
      <c r="C7355" s="194">
        <f>"'DADOS_RESTRICOES'!K29"</f>
        <v/>
      </c>
      <c r="D7355" s="194" t="inlineStr">
        <is>
          <t>aviso</t>
        </is>
      </c>
    </row>
    <row r="7356">
      <c r="A7356" s="194" t="inlineStr">
        <is>
          <t>aviso.custom.restricao.29</t>
        </is>
      </c>
      <c r="B7356" s="194">
        <f>'DADOS_RESTRICOES'!$K$30&amp;""</f>
        <v/>
      </c>
      <c r="C7356" s="194">
        <f>"'DADOS_RESTRICOES'!K30"</f>
        <v/>
      </c>
      <c r="D7356" s="194" t="inlineStr">
        <is>
          <t>aviso</t>
        </is>
      </c>
    </row>
    <row r="7357">
      <c r="A7357" s="194" t="inlineStr">
        <is>
          <t>aviso.custom.restricao.30</t>
        </is>
      </c>
      <c r="B7357" s="194">
        <f>'DADOS_RESTRICOES'!$K$31&amp;""</f>
        <v/>
      </c>
      <c r="C7357" s="194">
        <f>"'DADOS_RESTRICOES'!K31"</f>
        <v/>
      </c>
      <c r="D7357" s="194" t="inlineStr">
        <is>
          <t>aviso</t>
        </is>
      </c>
    </row>
    <row r="7358">
      <c r="A7358" s="194" t="inlineStr">
        <is>
          <t>custom.melhoria.1.modalidade</t>
        </is>
      </c>
      <c r="B7358" s="194">
        <f>IF(ISBLANK('CONFIGURAÇÃO'!$B$1013),"",'CONFIGURAÇÃO'!$B$1013&amp;"")</f>
        <v/>
      </c>
      <c r="C7358" s="194">
        <f>"'CONFIGURAÇÃO'!B1013"</f>
        <v/>
      </c>
      <c r="D7358" s="194" t="inlineStr">
        <is>
          <t>configuração</t>
        </is>
      </c>
    </row>
    <row r="7359">
      <c r="A7359" s="194" t="inlineStr">
        <is>
          <t>custom.melhoria.2.modalidade</t>
        </is>
      </c>
      <c r="B7359" s="194">
        <f>IF(ISBLANK('CONFIGURAÇÃO'!$J$1013),"",'CONFIGURAÇÃO'!$J$1013&amp;"")</f>
        <v/>
      </c>
      <c r="C7359" s="194">
        <f>"'CONFIGURAÇÃO'!J1013"</f>
        <v/>
      </c>
      <c r="D7359" s="194" t="inlineStr">
        <is>
          <t>configuração</t>
        </is>
      </c>
    </row>
    <row r="7360">
      <c r="A7360" s="194" t="inlineStr">
        <is>
          <t>custom.melhoria.3.modalidade</t>
        </is>
      </c>
      <c r="B7360" s="194">
        <f>IF(ISBLANK('CONFIGURAÇÃO'!$B$1039),"",'CONFIGURAÇÃO'!$B$1039&amp;"")</f>
        <v/>
      </c>
      <c r="C7360" s="194">
        <f>"'CONFIGURAÇÃO'!B1039"</f>
        <v/>
      </c>
      <c r="D7360" s="194" t="inlineStr">
        <is>
          <t>configuração</t>
        </is>
      </c>
    </row>
    <row r="7361">
      <c r="A7361" s="194" t="inlineStr">
        <is>
          <t>custom.melhoria.4.modalidade</t>
        </is>
      </c>
      <c r="B7361" s="194">
        <f>IF(ISBLANK('CONFIGURAÇÃO'!$J$1039),"",'CONFIGURAÇÃO'!$J$1039&amp;"")</f>
        <v/>
      </c>
      <c r="C7361" s="194">
        <f>"'CONFIGURAÇÃO'!J1039"</f>
        <v/>
      </c>
      <c r="D7361" s="194" t="inlineStr">
        <is>
          <t>configuração</t>
        </is>
      </c>
    </row>
    <row r="7362">
      <c r="A7362" s="194" t="inlineStr">
        <is>
          <t>custom.melhoria.5.modalidade</t>
        </is>
      </c>
      <c r="B7362" s="194">
        <f>IF(ISBLANK('CONFIGURAÇÃO'!$B$1065),"",'CONFIGURAÇÃO'!$B$1065&amp;"")</f>
        <v/>
      </c>
      <c r="C7362" s="194">
        <f>"'CONFIGURAÇÃO'!B1065"</f>
        <v/>
      </c>
      <c r="D7362" s="194" t="inlineStr">
        <is>
          <t>configuração</t>
        </is>
      </c>
    </row>
    <row r="7363">
      <c r="A7363" s="194" t="inlineStr">
        <is>
          <t>custom.melhoria.6.modalidade</t>
        </is>
      </c>
      <c r="B7363" s="194">
        <f>IF(ISBLANK('CONFIGURAÇÃO'!$J$1065),"",'CONFIGURAÇÃO'!$J$1065&amp;"")</f>
        <v/>
      </c>
      <c r="C7363" s="194">
        <f>"'CONFIGURAÇÃO'!J1065"</f>
        <v/>
      </c>
      <c r="D7363" s="194" t="inlineStr">
        <is>
          <t>configuração</t>
        </is>
      </c>
    </row>
    <row r="7364">
      <c r="A7364" s="194" t="inlineStr">
        <is>
          <t>custom.melhoria.7.modalidade</t>
        </is>
      </c>
      <c r="B7364" s="194">
        <f>IF(ISBLANK('CONFIGURAÇÃO'!$B$1091),"",'CONFIGURAÇÃO'!$B$1091&amp;"")</f>
        <v/>
      </c>
      <c r="C7364" s="194">
        <f>"'CONFIGURAÇÃO'!B1091"</f>
        <v/>
      </c>
      <c r="D7364" s="194" t="inlineStr">
        <is>
          <t>configuração</t>
        </is>
      </c>
    </row>
    <row r="7365">
      <c r="A7365" s="194" t="inlineStr">
        <is>
          <t>custom.melhoria.8.modalidade</t>
        </is>
      </c>
      <c r="B7365" s="194">
        <f>IF(ISBLANK('CONFIGURAÇÃO'!$J$1091),"",'CONFIGURAÇÃO'!$J$1091&amp;"")</f>
        <v/>
      </c>
      <c r="C7365" s="194">
        <f>"'CONFIGURAÇÃO'!J1091"</f>
        <v/>
      </c>
      <c r="D7365" s="194" t="inlineStr">
        <is>
          <t>configuração</t>
        </is>
      </c>
    </row>
    <row r="7366">
      <c r="A7366" s="194" t="inlineStr">
        <is>
          <t>custom.melhoria.9.modalidade</t>
        </is>
      </c>
      <c r="B7366" s="194">
        <f>IF(ISBLANK('CONFIGURAÇÃO'!$B$1117),"",'CONFIGURAÇÃO'!$B$1117&amp;"")</f>
        <v/>
      </c>
      <c r="C7366" s="194">
        <f>"'CONFIGURAÇÃO'!B1117"</f>
        <v/>
      </c>
      <c r="D7366" s="194" t="inlineStr">
        <is>
          <t>configuração</t>
        </is>
      </c>
    </row>
    <row r="7367">
      <c r="A7367" s="194" t="inlineStr">
        <is>
          <t>custom.melhoria.10.modalidade</t>
        </is>
      </c>
      <c r="B7367" s="194">
        <f>IF(ISBLANK('CONFIGURAÇÃO'!$J$1117),"",'CONFIGURAÇÃO'!$J$1117&amp;"")</f>
        <v/>
      </c>
      <c r="C7367" s="194">
        <f>"'CONFIGURAÇÃO'!J1117"</f>
        <v/>
      </c>
      <c r="D7367" s="194" t="inlineStr">
        <is>
          <t>configuração</t>
        </is>
      </c>
    </row>
    <row r="7368">
      <c r="A7368" s="194" t="inlineStr">
        <is>
          <t>custom.melhoria.11.modalidade</t>
        </is>
      </c>
      <c r="B7368" s="194">
        <f>IF(ISBLANK('CONFIGURAÇÃO'!$B$1143),"",'CONFIGURAÇÃO'!$B$1143&amp;"")</f>
        <v/>
      </c>
      <c r="C7368" s="194">
        <f>"'CONFIGURAÇÃO'!B1143"</f>
        <v/>
      </c>
      <c r="D7368" s="194" t="inlineStr">
        <is>
          <t>configuração</t>
        </is>
      </c>
    </row>
    <row r="7369">
      <c r="A7369" s="194" t="inlineStr">
        <is>
          <t>custom.melhoria.12.modalidade</t>
        </is>
      </c>
      <c r="B7369" s="194">
        <f>IF(ISBLANK('CONFIGURAÇÃO'!$J$1143),"",'CONFIGURAÇÃO'!$J$1143&amp;"")</f>
        <v/>
      </c>
      <c r="C7369" s="194">
        <f>"'CONFIGURAÇÃO'!J1143"</f>
        <v/>
      </c>
      <c r="D7369" s="194" t="inlineStr">
        <is>
          <t>configuração</t>
        </is>
      </c>
    </row>
    <row r="7370">
      <c r="A7370" s="194" t="inlineStr">
        <is>
          <t>custom.melhoria.13.modalidade</t>
        </is>
      </c>
      <c r="B7370" s="194">
        <f>IF(ISBLANK('CONFIGURAÇÃO'!$B$1169),"",'CONFIGURAÇÃO'!$B$1169&amp;"")</f>
        <v/>
      </c>
      <c r="C7370" s="194">
        <f>"'CONFIGURAÇÃO'!B1169"</f>
        <v/>
      </c>
      <c r="D7370" s="194" t="inlineStr">
        <is>
          <t>configuração</t>
        </is>
      </c>
    </row>
    <row r="7371">
      <c r="A7371" s="194" t="inlineStr">
        <is>
          <t>custom.melhoria.14.modalidade</t>
        </is>
      </c>
      <c r="B7371" s="194">
        <f>IF(ISBLANK('CONFIGURAÇÃO'!$J$1169),"",'CONFIGURAÇÃO'!$J$1169&amp;"")</f>
        <v/>
      </c>
      <c r="C7371" s="194">
        <f>"'CONFIGURAÇÃO'!J1169"</f>
        <v/>
      </c>
      <c r="D7371" s="194" t="inlineStr">
        <is>
          <t>configuração</t>
        </is>
      </c>
    </row>
    <row r="7372">
      <c r="A7372" s="194" t="inlineStr">
        <is>
          <t>custom.melhoria.15.modalidade</t>
        </is>
      </c>
      <c r="B7372" s="194">
        <f>IF(ISBLANK('CONFIGURAÇÃO'!$B$1195),"",'CONFIGURAÇÃO'!$B$1195&amp;"")</f>
        <v/>
      </c>
      <c r="C7372" s="194">
        <f>"'CONFIGURAÇÃO'!B1195"</f>
        <v/>
      </c>
      <c r="D7372" s="194" t="inlineStr">
        <is>
          <t>configuração</t>
        </is>
      </c>
    </row>
    <row r="7373">
      <c r="A7373" s="194" t="inlineStr">
        <is>
          <t>custom.melhoria.16.modalidade</t>
        </is>
      </c>
      <c r="B7373" s="194">
        <f>IF(ISBLANK('CONFIGURAÇÃO'!$J$1195),"",'CONFIGURAÇÃO'!$J$1195&amp;"")</f>
        <v/>
      </c>
      <c r="C7373" s="194">
        <f>"'CONFIGURAÇÃO'!J1195"</f>
        <v/>
      </c>
      <c r="D7373" s="194" t="inlineStr">
        <is>
          <t>configuração</t>
        </is>
      </c>
    </row>
    <row r="7374">
      <c r="A7374" s="194" t="inlineStr">
        <is>
          <t>custom.melhoria.17.modalidade</t>
        </is>
      </c>
      <c r="B7374" s="194">
        <f>IF(ISBLANK('CONFIGURAÇÃO'!$B$1221),"",'CONFIGURAÇÃO'!$B$1221&amp;"")</f>
        <v/>
      </c>
      <c r="C7374" s="194">
        <f>"'CONFIGURAÇÃO'!B1221"</f>
        <v/>
      </c>
      <c r="D7374" s="194" t="inlineStr">
        <is>
          <t>configuração</t>
        </is>
      </c>
    </row>
    <row r="7375">
      <c r="A7375" s="194" t="inlineStr">
        <is>
          <t>custom.melhoria.18.modalidade</t>
        </is>
      </c>
      <c r="B7375" s="194">
        <f>IF(ISBLANK('CONFIGURAÇÃO'!$J$1221),"",'CONFIGURAÇÃO'!$J$1221&amp;"")</f>
        <v/>
      </c>
      <c r="C7375" s="194">
        <f>"'CONFIGURAÇÃO'!J1221"</f>
        <v/>
      </c>
      <c r="D7375" s="194" t="inlineStr">
        <is>
          <t>configuração</t>
        </is>
      </c>
    </row>
    <row r="7376">
      <c r="A7376" s="194" t="inlineStr">
        <is>
          <t>custom.melhoria.19.modalidade</t>
        </is>
      </c>
      <c r="B7376" s="194">
        <f>IF(ISBLANK('CONFIGURAÇÃO'!$B$1247),"",'CONFIGURAÇÃO'!$B$1247&amp;"")</f>
        <v/>
      </c>
      <c r="C7376" s="194">
        <f>"'CONFIGURAÇÃO'!B1247"</f>
        <v/>
      </c>
      <c r="D7376" s="194" t="inlineStr">
        <is>
          <t>configuração</t>
        </is>
      </c>
    </row>
    <row r="7377">
      <c r="A7377" s="194" t="inlineStr">
        <is>
          <t>custom.melhoria.20.modalidade</t>
        </is>
      </c>
      <c r="B7377" s="194">
        <f>IF(ISBLANK('CONFIGURAÇÃO'!$J$1247),"",'CONFIGURAÇÃO'!$J$1247&amp;"")</f>
        <v/>
      </c>
      <c r="C7377" s="194">
        <f>"'CONFIGURAÇÃO'!J1247"</f>
        <v/>
      </c>
      <c r="D7377" s="194" t="inlineStr">
        <is>
          <t>configuração</t>
        </is>
      </c>
    </row>
    <row r="7378">
      <c r="A7378" s="194" t="inlineStr">
        <is>
          <t>custom.melhoria.21.modalidade</t>
        </is>
      </c>
      <c r="B7378" s="194">
        <f>IF(ISBLANK('CONFIGURAÇÃO'!$B$1273),"",'CONFIGURAÇÃO'!$B$1273&amp;"")</f>
        <v/>
      </c>
      <c r="C7378" s="194">
        <f>"'CONFIGURAÇÃO'!B1273"</f>
        <v/>
      </c>
      <c r="D7378" s="194" t="inlineStr">
        <is>
          <t>configuração</t>
        </is>
      </c>
    </row>
    <row r="7379">
      <c r="A7379" s="194" t="inlineStr">
        <is>
          <t>custom.melhoria.22.modalidade</t>
        </is>
      </c>
      <c r="B7379" s="194">
        <f>IF(ISBLANK('CONFIGURAÇÃO'!$J$1273),"",'CONFIGURAÇÃO'!$J$1273&amp;"")</f>
        <v/>
      </c>
      <c r="C7379" s="194">
        <f>"'CONFIGURAÇÃO'!J1273"</f>
        <v/>
      </c>
      <c r="D7379" s="194" t="inlineStr">
        <is>
          <t>configuração</t>
        </is>
      </c>
    </row>
    <row r="7380">
      <c r="A7380" s="194" t="inlineStr">
        <is>
          <t>custom.melhoria.23.modalidade</t>
        </is>
      </c>
      <c r="B7380" s="194">
        <f>IF(ISBLANK('CONFIGURAÇÃO'!$B$1299),"",'CONFIGURAÇÃO'!$B$1299&amp;"")</f>
        <v/>
      </c>
      <c r="C7380" s="194">
        <f>"'CONFIGURAÇÃO'!B1299"</f>
        <v/>
      </c>
      <c r="D7380" s="194" t="inlineStr">
        <is>
          <t>configuração</t>
        </is>
      </c>
    </row>
    <row r="7381">
      <c r="A7381" s="194" t="inlineStr">
        <is>
          <t>custom.melhoria.24.modalidade</t>
        </is>
      </c>
      <c r="B7381" s="194">
        <f>IF(ISBLANK('CONFIGURAÇÃO'!$J$1299),"",'CONFIGURAÇÃO'!$J$1299&amp;"")</f>
        <v/>
      </c>
      <c r="C7381" s="194">
        <f>"'CONFIGURAÇÃO'!J1299"</f>
        <v/>
      </c>
      <c r="D7381" s="194" t="inlineStr">
        <is>
          <t>configuração</t>
        </is>
      </c>
    </row>
    <row r="7382">
      <c r="A7382" s="194" t="inlineStr">
        <is>
          <t>custom.melhoria.25.modalidade</t>
        </is>
      </c>
      <c r="B7382" s="194">
        <f>IF(ISBLANK('CONFIGURAÇÃO'!$B$1325),"",'CONFIGURAÇÃO'!$B$1325&amp;"")</f>
        <v/>
      </c>
      <c r="C7382" s="194">
        <f>"'CONFIGURAÇÃO'!B1325"</f>
        <v/>
      </c>
      <c r="D7382" s="194" t="inlineStr">
        <is>
          <t>configuração</t>
        </is>
      </c>
    </row>
    <row r="7383">
      <c r="A7383" s="194" t="inlineStr">
        <is>
          <t>custom.melhoria.26.modalidade</t>
        </is>
      </c>
      <c r="B7383" s="194">
        <f>IF(ISBLANK('CONFIGURAÇÃO'!$J$1325),"",'CONFIGURAÇÃO'!$J$1325&amp;"")</f>
        <v/>
      </c>
      <c r="C7383" s="194">
        <f>"'CONFIGURAÇÃO'!J1325"</f>
        <v/>
      </c>
      <c r="D7383" s="194" t="inlineStr">
        <is>
          <t>configuração</t>
        </is>
      </c>
    </row>
    <row r="7384">
      <c r="A7384" s="194" t="inlineStr">
        <is>
          <t>custom.melhoria.27.modalidade</t>
        </is>
      </c>
      <c r="B7384" s="194">
        <f>IF(ISBLANK('CONFIGURAÇÃO'!$B$1351),"",'CONFIGURAÇÃO'!$B$1351&amp;"")</f>
        <v/>
      </c>
      <c r="C7384" s="194">
        <f>"'CONFIGURAÇÃO'!B1351"</f>
        <v/>
      </c>
      <c r="D7384" s="194" t="inlineStr">
        <is>
          <t>configuração</t>
        </is>
      </c>
    </row>
    <row r="7385">
      <c r="A7385" s="194" t="inlineStr">
        <is>
          <t>custom.melhoria.28.modalidade</t>
        </is>
      </c>
      <c r="B7385" s="194">
        <f>IF(ISBLANK('CONFIGURAÇÃO'!$J$1351),"",'CONFIGURAÇÃO'!$J$1351&amp;"")</f>
        <v/>
      </c>
      <c r="C7385" s="194">
        <f>"'CONFIGURAÇÃO'!J1351"</f>
        <v/>
      </c>
      <c r="D7385" s="194" t="inlineStr">
        <is>
          <t>configuração</t>
        </is>
      </c>
    </row>
    <row r="7386">
      <c r="A7386" s="194" t="inlineStr">
        <is>
          <t>custom.melhoria.29.modalidade</t>
        </is>
      </c>
      <c r="B7386" s="194">
        <f>IF(ISBLANK('CONFIGURAÇÃO'!$B$1377),"",'CONFIGURAÇÃO'!$B$1377&amp;"")</f>
        <v/>
      </c>
      <c r="C7386" s="194">
        <f>"'CONFIGURAÇÃO'!B1377"</f>
        <v/>
      </c>
      <c r="D7386" s="194" t="inlineStr">
        <is>
          <t>configuração</t>
        </is>
      </c>
    </row>
    <row r="7387">
      <c r="A7387" s="194" t="inlineStr">
        <is>
          <t>custom.melhoria.30.modalidade</t>
        </is>
      </c>
      <c r="B7387" s="194">
        <f>IF(ISBLANK('CONFIGURAÇÃO'!$J$1377),"",'CONFIGURAÇÃO'!$J$1377&amp;"")</f>
        <v/>
      </c>
      <c r="C7387" s="194">
        <f>"'CONFIGURAÇÃO'!J1377"</f>
        <v/>
      </c>
      <c r="D7387" s="194" t="inlineStr">
        <is>
          <t>configuração</t>
        </is>
      </c>
    </row>
    <row r="7388">
      <c r="A7388" s="194" t="inlineStr">
        <is>
          <t>custom.dano.1.nome</t>
        </is>
      </c>
      <c r="B7388" s="194">
        <f>IF(ISBLANK('CONFIGURAÇÃO'!$B$1737),"",'CONFIGURAÇÃO'!$B$1737&amp;"")</f>
        <v/>
      </c>
      <c r="C7388" s="194">
        <f>"'CONFIGURAÇÃO'!B1737"</f>
        <v/>
      </c>
      <c r="D7388" s="194" t="inlineStr">
        <is>
          <t>configuração</t>
        </is>
      </c>
    </row>
    <row r="7389">
      <c r="A7389" s="194" t="inlineStr">
        <is>
          <t>custom.dano.1.mestre_viu</t>
        </is>
      </c>
      <c r="B7389" s="194">
        <f>N('CONFIGURAÇÃO'!$F$1737)&amp;""</f>
        <v/>
      </c>
      <c r="C7389" s="194">
        <f>"'CONFIGURAÇÃO'!F1737"</f>
        <v/>
      </c>
      <c r="D7389" s="194" t="inlineStr">
        <is>
          <t>configuração</t>
        </is>
      </c>
    </row>
    <row r="7390">
      <c r="A7390" s="194" t="inlineStr">
        <is>
          <t>custom.dano.1.definicao</t>
        </is>
      </c>
      <c r="B7390" s="194">
        <f>IF(ISBLANK('CONFIGURAÇÃO'!$B$1741),"",'CONFIGURAÇÃO'!$B$1741&amp;"")</f>
        <v/>
      </c>
      <c r="C7390" s="194">
        <f>"'CONFIGURAÇÃO'!B1741"</f>
        <v/>
      </c>
      <c r="D7390" s="194" t="inlineStr">
        <is>
          <t>configuração</t>
        </is>
      </c>
    </row>
    <row r="7391">
      <c r="A7391" s="194" t="inlineStr">
        <is>
          <t>custom.dano.1.efeito</t>
        </is>
      </c>
      <c r="B7391" s="194">
        <f>IF(ISBLANK('CONFIGURAÇÃO'!$B$1748),"",'CONFIGURAÇÃO'!$B$1748&amp;"")</f>
        <v/>
      </c>
      <c r="C7391" s="194">
        <f>"'CONFIGURAÇÃO'!B1748"</f>
        <v/>
      </c>
      <c r="D7391" s="194" t="inlineStr">
        <is>
          <t>configuração</t>
        </is>
      </c>
    </row>
    <row r="7392">
      <c r="A7392" s="194" t="inlineStr">
        <is>
          <t>custom.dano.2.nome</t>
        </is>
      </c>
      <c r="B7392" s="194">
        <f>IF(ISBLANK('CONFIGURAÇÃO'!$J$1737),"",'CONFIGURAÇÃO'!$J$1737&amp;"")</f>
        <v/>
      </c>
      <c r="C7392" s="194">
        <f>"'CONFIGURAÇÃO'!J1737"</f>
        <v/>
      </c>
      <c r="D7392" s="194" t="inlineStr">
        <is>
          <t>configuração</t>
        </is>
      </c>
    </row>
    <row r="7393">
      <c r="A7393" s="194" t="inlineStr">
        <is>
          <t>custom.dano.2.mestre_viu</t>
        </is>
      </c>
      <c r="B7393" s="194">
        <f>N('CONFIGURAÇÃO'!$N$1737)&amp;""</f>
        <v/>
      </c>
      <c r="C7393" s="194">
        <f>"'CONFIGURAÇÃO'!N1737"</f>
        <v/>
      </c>
      <c r="D7393" s="194" t="inlineStr">
        <is>
          <t>configuração</t>
        </is>
      </c>
    </row>
    <row r="7394">
      <c r="A7394" s="194" t="inlineStr">
        <is>
          <t>custom.dano.2.definicao</t>
        </is>
      </c>
      <c r="B7394" s="194">
        <f>IF(ISBLANK('CONFIGURAÇÃO'!$J$1741),"",'CONFIGURAÇÃO'!$J$1741&amp;"")</f>
        <v/>
      </c>
      <c r="C7394" s="194">
        <f>"'CONFIGURAÇÃO'!J1741"</f>
        <v/>
      </c>
      <c r="D7394" s="194" t="inlineStr">
        <is>
          <t>configuração</t>
        </is>
      </c>
    </row>
    <row r="7395">
      <c r="A7395" s="194" t="inlineStr">
        <is>
          <t>custom.dano.2.efeito</t>
        </is>
      </c>
      <c r="B7395" s="194">
        <f>IF(ISBLANK('CONFIGURAÇÃO'!$J$1748),"",'CONFIGURAÇÃO'!$J$1748&amp;"")</f>
        <v/>
      </c>
      <c r="C7395" s="194">
        <f>"'CONFIGURAÇÃO'!J1748"</f>
        <v/>
      </c>
      <c r="D7395" s="194" t="inlineStr">
        <is>
          <t>configuração</t>
        </is>
      </c>
    </row>
    <row r="7396">
      <c r="A7396" s="194" t="inlineStr">
        <is>
          <t>custom.dano.3.nome</t>
        </is>
      </c>
      <c r="B7396" s="194">
        <f>IF(ISBLANK('CONFIGURAÇÃO'!$B$1765),"",'CONFIGURAÇÃO'!$B$1765&amp;"")</f>
        <v/>
      </c>
      <c r="C7396" s="194">
        <f>"'CONFIGURAÇÃO'!B1765"</f>
        <v/>
      </c>
      <c r="D7396" s="194" t="inlineStr">
        <is>
          <t>configuração</t>
        </is>
      </c>
    </row>
    <row r="7397">
      <c r="A7397" s="194" t="inlineStr">
        <is>
          <t>custom.dano.3.mestre_viu</t>
        </is>
      </c>
      <c r="B7397" s="194">
        <f>N('CONFIGURAÇÃO'!$F$1765)&amp;""</f>
        <v/>
      </c>
      <c r="C7397" s="194">
        <f>"'CONFIGURAÇÃO'!F1765"</f>
        <v/>
      </c>
      <c r="D7397" s="194" t="inlineStr">
        <is>
          <t>configuração</t>
        </is>
      </c>
    </row>
    <row r="7398">
      <c r="A7398" s="194" t="inlineStr">
        <is>
          <t>custom.dano.3.definicao</t>
        </is>
      </c>
      <c r="B7398" s="194">
        <f>IF(ISBLANK('CONFIGURAÇÃO'!$B$1769),"",'CONFIGURAÇÃO'!$B$1769&amp;"")</f>
        <v/>
      </c>
      <c r="C7398" s="194">
        <f>"'CONFIGURAÇÃO'!B1769"</f>
        <v/>
      </c>
      <c r="D7398" s="194" t="inlineStr">
        <is>
          <t>configuração</t>
        </is>
      </c>
    </row>
    <row r="7399">
      <c r="A7399" s="194" t="inlineStr">
        <is>
          <t>custom.dano.3.efeito</t>
        </is>
      </c>
      <c r="B7399" s="194">
        <f>IF(ISBLANK('CONFIGURAÇÃO'!$B$1776),"",'CONFIGURAÇÃO'!$B$1776&amp;"")</f>
        <v/>
      </c>
      <c r="C7399" s="194">
        <f>"'CONFIGURAÇÃO'!B1776"</f>
        <v/>
      </c>
      <c r="D7399" s="194" t="inlineStr">
        <is>
          <t>configuração</t>
        </is>
      </c>
    </row>
    <row r="7400">
      <c r="A7400" s="194" t="inlineStr">
        <is>
          <t>custom.dano.4.nome</t>
        </is>
      </c>
      <c r="B7400" s="194">
        <f>IF(ISBLANK('CONFIGURAÇÃO'!$J$1765),"",'CONFIGURAÇÃO'!$J$1765&amp;"")</f>
        <v/>
      </c>
      <c r="C7400" s="194">
        <f>"'CONFIGURAÇÃO'!J1765"</f>
        <v/>
      </c>
      <c r="D7400" s="194" t="inlineStr">
        <is>
          <t>configuração</t>
        </is>
      </c>
    </row>
    <row r="7401">
      <c r="A7401" s="194" t="inlineStr">
        <is>
          <t>custom.dano.4.mestre_viu</t>
        </is>
      </c>
      <c r="B7401" s="194">
        <f>N('CONFIGURAÇÃO'!$N$1765)&amp;""</f>
        <v/>
      </c>
      <c r="C7401" s="194">
        <f>"'CONFIGURAÇÃO'!N1765"</f>
        <v/>
      </c>
      <c r="D7401" s="194" t="inlineStr">
        <is>
          <t>configuração</t>
        </is>
      </c>
    </row>
    <row r="7402">
      <c r="A7402" s="194" t="inlineStr">
        <is>
          <t>custom.dano.4.definicao</t>
        </is>
      </c>
      <c r="B7402" s="194">
        <f>IF(ISBLANK('CONFIGURAÇÃO'!$J$1769),"",'CONFIGURAÇÃO'!$J$1769&amp;"")</f>
        <v/>
      </c>
      <c r="C7402" s="194">
        <f>"'CONFIGURAÇÃO'!J1769"</f>
        <v/>
      </c>
      <c r="D7402" s="194" t="inlineStr">
        <is>
          <t>configuração</t>
        </is>
      </c>
    </row>
    <row r="7403">
      <c r="A7403" s="194" t="inlineStr">
        <is>
          <t>custom.dano.4.efeito</t>
        </is>
      </c>
      <c r="B7403" s="194">
        <f>IF(ISBLANK('CONFIGURAÇÃO'!$J$1776),"",'CONFIGURAÇÃO'!$J$1776&amp;"")</f>
        <v/>
      </c>
      <c r="C7403" s="194">
        <f>"'CONFIGURAÇÃO'!J1776"</f>
        <v/>
      </c>
      <c r="D7403" s="194" t="inlineStr">
        <is>
          <t>configuração</t>
        </is>
      </c>
    </row>
    <row r="7404">
      <c r="A7404" s="194" t="inlineStr">
        <is>
          <t>custom.dano.5.nome</t>
        </is>
      </c>
      <c r="B7404" s="194">
        <f>IF(ISBLANK('CONFIGURAÇÃO'!$B$1793),"",'CONFIGURAÇÃO'!$B$1793&amp;"")</f>
        <v/>
      </c>
      <c r="C7404" s="194">
        <f>"'CONFIGURAÇÃO'!B1793"</f>
        <v/>
      </c>
      <c r="D7404" s="194" t="inlineStr">
        <is>
          <t>configuração</t>
        </is>
      </c>
    </row>
    <row r="7405">
      <c r="A7405" s="194" t="inlineStr">
        <is>
          <t>custom.dano.5.mestre_viu</t>
        </is>
      </c>
      <c r="B7405" s="194">
        <f>N('CONFIGURAÇÃO'!$F$1793)&amp;""</f>
        <v/>
      </c>
      <c r="C7405" s="194">
        <f>"'CONFIGURAÇÃO'!F1793"</f>
        <v/>
      </c>
      <c r="D7405" s="194" t="inlineStr">
        <is>
          <t>configuração</t>
        </is>
      </c>
    </row>
    <row r="7406">
      <c r="A7406" s="194" t="inlineStr">
        <is>
          <t>custom.dano.5.definicao</t>
        </is>
      </c>
      <c r="B7406" s="194">
        <f>IF(ISBLANK('CONFIGURAÇÃO'!$B$1797),"",'CONFIGURAÇÃO'!$B$1797&amp;"")</f>
        <v/>
      </c>
      <c r="C7406" s="194">
        <f>"'CONFIGURAÇÃO'!B1797"</f>
        <v/>
      </c>
      <c r="D7406" s="194" t="inlineStr">
        <is>
          <t>configuração</t>
        </is>
      </c>
    </row>
    <row r="7407">
      <c r="A7407" s="194" t="inlineStr">
        <is>
          <t>custom.dano.5.efeito</t>
        </is>
      </c>
      <c r="B7407" s="194">
        <f>IF(ISBLANK('CONFIGURAÇÃO'!$B$1804),"",'CONFIGURAÇÃO'!$B$1804&amp;"")</f>
        <v/>
      </c>
      <c r="C7407" s="194">
        <f>"'CONFIGURAÇÃO'!B1804"</f>
        <v/>
      </c>
      <c r="D7407" s="194" t="inlineStr">
        <is>
          <t>configuração</t>
        </is>
      </c>
    </row>
    <row r="7408">
      <c r="A7408" s="194" t="inlineStr">
        <is>
          <t>custom.dano.6.nome</t>
        </is>
      </c>
      <c r="B7408" s="194">
        <f>IF(ISBLANK('CONFIGURAÇÃO'!$J$1793),"",'CONFIGURAÇÃO'!$J$1793&amp;"")</f>
        <v/>
      </c>
      <c r="C7408" s="194">
        <f>"'CONFIGURAÇÃO'!J1793"</f>
        <v/>
      </c>
      <c r="D7408" s="194" t="inlineStr">
        <is>
          <t>configuração</t>
        </is>
      </c>
    </row>
    <row r="7409">
      <c r="A7409" s="194" t="inlineStr">
        <is>
          <t>custom.dano.6.mestre_viu</t>
        </is>
      </c>
      <c r="B7409" s="194">
        <f>N('CONFIGURAÇÃO'!$N$1793)&amp;""</f>
        <v/>
      </c>
      <c r="C7409" s="194">
        <f>"'CONFIGURAÇÃO'!N1793"</f>
        <v/>
      </c>
      <c r="D7409" s="194" t="inlineStr">
        <is>
          <t>configuração</t>
        </is>
      </c>
    </row>
    <row r="7410">
      <c r="A7410" s="194" t="inlineStr">
        <is>
          <t>custom.dano.6.definicao</t>
        </is>
      </c>
      <c r="B7410" s="194">
        <f>IF(ISBLANK('CONFIGURAÇÃO'!$J$1797),"",'CONFIGURAÇÃO'!$J$1797&amp;"")</f>
        <v/>
      </c>
      <c r="C7410" s="194">
        <f>"'CONFIGURAÇÃO'!J1797"</f>
        <v/>
      </c>
      <c r="D7410" s="194" t="inlineStr">
        <is>
          <t>configuração</t>
        </is>
      </c>
    </row>
    <row r="7411">
      <c r="A7411" s="194" t="inlineStr">
        <is>
          <t>custom.dano.6.efeito</t>
        </is>
      </c>
      <c r="B7411" s="194">
        <f>IF(ISBLANK('CONFIGURAÇÃO'!$J$1804),"",'CONFIGURAÇÃO'!$J$1804&amp;"")</f>
        <v/>
      </c>
      <c r="C7411" s="194">
        <f>"'CONFIGURAÇÃO'!J1804"</f>
        <v/>
      </c>
      <c r="D7411" s="194" t="inlineStr">
        <is>
          <t>configuração</t>
        </is>
      </c>
    </row>
    <row r="7412">
      <c r="A7412" s="194" t="inlineStr">
        <is>
          <t>custom.dano.7.nome</t>
        </is>
      </c>
      <c r="B7412" s="194">
        <f>IF(ISBLANK('CONFIGURAÇÃO'!$B$1821),"",'CONFIGURAÇÃO'!$B$1821&amp;"")</f>
        <v/>
      </c>
      <c r="C7412" s="194">
        <f>"'CONFIGURAÇÃO'!B1821"</f>
        <v/>
      </c>
      <c r="D7412" s="194" t="inlineStr">
        <is>
          <t>configuração</t>
        </is>
      </c>
    </row>
    <row r="7413">
      <c r="A7413" s="194" t="inlineStr">
        <is>
          <t>custom.dano.7.mestre_viu</t>
        </is>
      </c>
      <c r="B7413" s="194">
        <f>N('CONFIGURAÇÃO'!$F$1821)&amp;""</f>
        <v/>
      </c>
      <c r="C7413" s="194">
        <f>"'CONFIGURAÇÃO'!F1821"</f>
        <v/>
      </c>
      <c r="D7413" s="194" t="inlineStr">
        <is>
          <t>configuração</t>
        </is>
      </c>
    </row>
    <row r="7414">
      <c r="A7414" s="194" t="inlineStr">
        <is>
          <t>custom.dano.7.definicao</t>
        </is>
      </c>
      <c r="B7414" s="194">
        <f>IF(ISBLANK('CONFIGURAÇÃO'!$B$1825),"",'CONFIGURAÇÃO'!$B$1825&amp;"")</f>
        <v/>
      </c>
      <c r="C7414" s="194">
        <f>"'CONFIGURAÇÃO'!B1825"</f>
        <v/>
      </c>
      <c r="D7414" s="194" t="inlineStr">
        <is>
          <t>configuração</t>
        </is>
      </c>
    </row>
    <row r="7415">
      <c r="A7415" s="194" t="inlineStr">
        <is>
          <t>custom.dano.7.efeito</t>
        </is>
      </c>
      <c r="B7415" s="194">
        <f>IF(ISBLANK('CONFIGURAÇÃO'!$B$1832),"",'CONFIGURAÇÃO'!$B$1832&amp;"")</f>
        <v/>
      </c>
      <c r="C7415" s="194">
        <f>"'CONFIGURAÇÃO'!B1832"</f>
        <v/>
      </c>
      <c r="D7415" s="194" t="inlineStr">
        <is>
          <t>configuração</t>
        </is>
      </c>
    </row>
    <row r="7416">
      <c r="A7416" s="194" t="inlineStr">
        <is>
          <t>custom.dano.8.nome</t>
        </is>
      </c>
      <c r="B7416" s="194">
        <f>IF(ISBLANK('CONFIGURAÇÃO'!$J$1821),"",'CONFIGURAÇÃO'!$J$1821&amp;"")</f>
        <v/>
      </c>
      <c r="C7416" s="194">
        <f>"'CONFIGURAÇÃO'!J1821"</f>
        <v/>
      </c>
      <c r="D7416" s="194" t="inlineStr">
        <is>
          <t>configuração</t>
        </is>
      </c>
    </row>
    <row r="7417">
      <c r="A7417" s="194" t="inlineStr">
        <is>
          <t>custom.dano.8.mestre_viu</t>
        </is>
      </c>
      <c r="B7417" s="194">
        <f>N('CONFIGURAÇÃO'!$N$1821)&amp;""</f>
        <v/>
      </c>
      <c r="C7417" s="194">
        <f>"'CONFIGURAÇÃO'!N1821"</f>
        <v/>
      </c>
      <c r="D7417" s="194" t="inlineStr">
        <is>
          <t>configuração</t>
        </is>
      </c>
    </row>
    <row r="7418">
      <c r="A7418" s="194" t="inlineStr">
        <is>
          <t>custom.dano.8.definicao</t>
        </is>
      </c>
      <c r="B7418" s="194">
        <f>IF(ISBLANK('CONFIGURAÇÃO'!$J$1825),"",'CONFIGURAÇÃO'!$J$1825&amp;"")</f>
        <v/>
      </c>
      <c r="C7418" s="194">
        <f>"'CONFIGURAÇÃO'!J1825"</f>
        <v/>
      </c>
      <c r="D7418" s="194" t="inlineStr">
        <is>
          <t>configuração</t>
        </is>
      </c>
    </row>
    <row r="7419">
      <c r="A7419" s="194" t="inlineStr">
        <is>
          <t>custom.dano.8.efeito</t>
        </is>
      </c>
      <c r="B7419" s="194">
        <f>IF(ISBLANK('CONFIGURAÇÃO'!$J$1832),"",'CONFIGURAÇÃO'!$J$1832&amp;"")</f>
        <v/>
      </c>
      <c r="C7419" s="194">
        <f>"'CONFIGURAÇÃO'!J1832"</f>
        <v/>
      </c>
      <c r="D7419" s="194" t="inlineStr">
        <is>
          <t>configuração</t>
        </is>
      </c>
    </row>
    <row r="7420">
      <c r="A7420" s="194" t="inlineStr">
        <is>
          <t>custom.dano.9.nome</t>
        </is>
      </c>
      <c r="B7420" s="194">
        <f>IF(ISBLANK('CONFIGURAÇÃO'!$B$1849),"",'CONFIGURAÇÃO'!$B$1849&amp;"")</f>
        <v/>
      </c>
      <c r="C7420" s="194">
        <f>"'CONFIGURAÇÃO'!B1849"</f>
        <v/>
      </c>
      <c r="D7420" s="194" t="inlineStr">
        <is>
          <t>configuração</t>
        </is>
      </c>
    </row>
    <row r="7421">
      <c r="A7421" s="194" t="inlineStr">
        <is>
          <t>custom.dano.9.mestre_viu</t>
        </is>
      </c>
      <c r="B7421" s="194">
        <f>N('CONFIGURAÇÃO'!$F$1849)&amp;""</f>
        <v/>
      </c>
      <c r="C7421" s="194">
        <f>"'CONFIGURAÇÃO'!F1849"</f>
        <v/>
      </c>
      <c r="D7421" s="194" t="inlineStr">
        <is>
          <t>configuração</t>
        </is>
      </c>
    </row>
    <row r="7422">
      <c r="A7422" s="194" t="inlineStr">
        <is>
          <t>custom.dano.9.definicao</t>
        </is>
      </c>
      <c r="B7422" s="194">
        <f>IF(ISBLANK('CONFIGURAÇÃO'!$B$1853),"",'CONFIGURAÇÃO'!$B$1853&amp;"")</f>
        <v/>
      </c>
      <c r="C7422" s="194">
        <f>"'CONFIGURAÇÃO'!B1853"</f>
        <v/>
      </c>
      <c r="D7422" s="194" t="inlineStr">
        <is>
          <t>configuração</t>
        </is>
      </c>
    </row>
    <row r="7423">
      <c r="A7423" s="194" t="inlineStr">
        <is>
          <t>custom.dano.9.efeito</t>
        </is>
      </c>
      <c r="B7423" s="194">
        <f>IF(ISBLANK('CONFIGURAÇÃO'!$B$1860),"",'CONFIGURAÇÃO'!$B$1860&amp;"")</f>
        <v/>
      </c>
      <c r="C7423" s="194">
        <f>"'CONFIGURAÇÃO'!B1860"</f>
        <v/>
      </c>
      <c r="D7423" s="194" t="inlineStr">
        <is>
          <t>configuração</t>
        </is>
      </c>
    </row>
    <row r="7424">
      <c r="A7424" s="194" t="inlineStr">
        <is>
          <t>custom.dano.10.nome</t>
        </is>
      </c>
      <c r="B7424" s="194">
        <f>IF(ISBLANK('CONFIGURAÇÃO'!$J$1849),"",'CONFIGURAÇÃO'!$J$1849&amp;"")</f>
        <v/>
      </c>
      <c r="C7424" s="194">
        <f>"'CONFIGURAÇÃO'!J1849"</f>
        <v/>
      </c>
      <c r="D7424" s="194" t="inlineStr">
        <is>
          <t>configuração</t>
        </is>
      </c>
    </row>
    <row r="7425">
      <c r="A7425" s="194" t="inlineStr">
        <is>
          <t>custom.dano.10.mestre_viu</t>
        </is>
      </c>
      <c r="B7425" s="194">
        <f>N('CONFIGURAÇÃO'!$N$1849)&amp;""</f>
        <v/>
      </c>
      <c r="C7425" s="194">
        <f>"'CONFIGURAÇÃO'!N1849"</f>
        <v/>
      </c>
      <c r="D7425" s="194" t="inlineStr">
        <is>
          <t>configuração</t>
        </is>
      </c>
    </row>
    <row r="7426">
      <c r="A7426" s="194" t="inlineStr">
        <is>
          <t>custom.dano.10.definicao</t>
        </is>
      </c>
      <c r="B7426" s="194">
        <f>IF(ISBLANK('CONFIGURAÇÃO'!$J$1853),"",'CONFIGURAÇÃO'!$J$1853&amp;"")</f>
        <v/>
      </c>
      <c r="C7426" s="194">
        <f>"'CONFIGURAÇÃO'!J1853"</f>
        <v/>
      </c>
      <c r="D7426" s="194" t="inlineStr">
        <is>
          <t>configuração</t>
        </is>
      </c>
    </row>
    <row r="7427">
      <c r="A7427" s="194" t="inlineStr">
        <is>
          <t>custom.dano.10.efeito</t>
        </is>
      </c>
      <c r="B7427" s="194">
        <f>IF(ISBLANK('CONFIGURAÇÃO'!$J$1860),"",'CONFIGURAÇÃO'!$J$1860&amp;"")</f>
        <v/>
      </c>
      <c r="C7427" s="194">
        <f>"'CONFIGURAÇÃO'!J1860"</f>
        <v/>
      </c>
      <c r="D7427" s="194" t="inlineStr">
        <is>
          <t>configuração</t>
        </is>
      </c>
    </row>
    <row r="7428">
      <c r="A7428" s="194" t="inlineStr">
        <is>
          <t>aviso.custom.dano.1</t>
        </is>
      </c>
      <c r="B7428" s="194">
        <f>'DADOS_DANOS'!$H$2&amp;""</f>
        <v/>
      </c>
      <c r="C7428" s="194">
        <f>"'DADOS_DANOS'!H2"</f>
        <v/>
      </c>
      <c r="D7428" s="194" t="inlineStr">
        <is>
          <t>aviso</t>
        </is>
      </c>
    </row>
    <row r="7429">
      <c r="A7429" s="194" t="inlineStr">
        <is>
          <t>aviso.custom.dano.2</t>
        </is>
      </c>
      <c r="B7429" s="194">
        <f>'DADOS_DANOS'!$H$3&amp;""</f>
        <v/>
      </c>
      <c r="C7429" s="194">
        <f>"'DADOS_DANOS'!H3"</f>
        <v/>
      </c>
      <c r="D7429" s="194" t="inlineStr">
        <is>
          <t>aviso</t>
        </is>
      </c>
    </row>
    <row r="7430">
      <c r="A7430" s="194" t="inlineStr">
        <is>
          <t>aviso.custom.dano.3</t>
        </is>
      </c>
      <c r="B7430" s="194">
        <f>'DADOS_DANOS'!$H$4&amp;""</f>
        <v/>
      </c>
      <c r="C7430" s="194">
        <f>"'DADOS_DANOS'!H4"</f>
        <v/>
      </c>
      <c r="D7430" s="194" t="inlineStr">
        <is>
          <t>aviso</t>
        </is>
      </c>
    </row>
    <row r="7431">
      <c r="A7431" s="194" t="inlineStr">
        <is>
          <t>aviso.custom.dano.4</t>
        </is>
      </c>
      <c r="B7431" s="194">
        <f>'DADOS_DANOS'!$H$5&amp;""</f>
        <v/>
      </c>
      <c r="C7431" s="194">
        <f>"'DADOS_DANOS'!H5"</f>
        <v/>
      </c>
      <c r="D7431" s="194" t="inlineStr">
        <is>
          <t>aviso</t>
        </is>
      </c>
    </row>
    <row r="7432">
      <c r="A7432" s="194" t="inlineStr">
        <is>
          <t>aviso.custom.dano.5</t>
        </is>
      </c>
      <c r="B7432" s="194">
        <f>'DADOS_DANOS'!$H$6&amp;""</f>
        <v/>
      </c>
      <c r="C7432" s="194">
        <f>"'DADOS_DANOS'!H6"</f>
        <v/>
      </c>
      <c r="D7432" s="194" t="inlineStr">
        <is>
          <t>aviso</t>
        </is>
      </c>
    </row>
    <row r="7433">
      <c r="A7433" s="194" t="inlineStr">
        <is>
          <t>aviso.custom.dano.6</t>
        </is>
      </c>
      <c r="B7433" s="194">
        <f>'DADOS_DANOS'!$H$7&amp;""</f>
        <v/>
      </c>
      <c r="C7433" s="194">
        <f>"'DADOS_DANOS'!H7"</f>
        <v/>
      </c>
      <c r="D7433" s="194" t="inlineStr">
        <is>
          <t>aviso</t>
        </is>
      </c>
    </row>
    <row r="7434">
      <c r="A7434" s="194" t="inlineStr">
        <is>
          <t>aviso.custom.dano.7</t>
        </is>
      </c>
      <c r="B7434" s="194">
        <f>'DADOS_DANOS'!$H$8&amp;""</f>
        <v/>
      </c>
      <c r="C7434" s="194">
        <f>"'DADOS_DANOS'!H8"</f>
        <v/>
      </c>
      <c r="D7434" s="194" t="inlineStr">
        <is>
          <t>aviso</t>
        </is>
      </c>
    </row>
    <row r="7435">
      <c r="A7435" s="194" t="inlineStr">
        <is>
          <t>aviso.custom.dano.8</t>
        </is>
      </c>
      <c r="B7435" s="194">
        <f>'DADOS_DANOS'!$H$9&amp;""</f>
        <v/>
      </c>
      <c r="C7435" s="194">
        <f>"'DADOS_DANOS'!H9"</f>
        <v/>
      </c>
      <c r="D7435" s="194" t="inlineStr">
        <is>
          <t>aviso</t>
        </is>
      </c>
    </row>
    <row r="7436">
      <c r="A7436" s="194" t="inlineStr">
        <is>
          <t>aviso.custom.dano.9</t>
        </is>
      </c>
      <c r="B7436" s="194">
        <f>'DADOS_DANOS'!$H$10&amp;""</f>
        <v/>
      </c>
      <c r="C7436" s="194">
        <f>"'DADOS_DANOS'!H10"</f>
        <v/>
      </c>
      <c r="D7436" s="194" t="inlineStr">
        <is>
          <t>aviso</t>
        </is>
      </c>
    </row>
    <row r="7437">
      <c r="A7437" s="194" t="inlineStr">
        <is>
          <t>aviso.custom.dano.10</t>
        </is>
      </c>
      <c r="B7437" s="194">
        <f>'DADOS_DANOS'!$H$11&amp;""</f>
        <v/>
      </c>
      <c r="C7437" s="194">
        <f>"'DADOS_DANOS'!H11"</f>
        <v/>
      </c>
      <c r="D7437" s="194" t="inlineStr">
        <is>
          <t>aviso</t>
        </is>
      </c>
    </row>
    <row r="7438">
      <c r="A7438" s="194" t="inlineStr">
        <is>
          <t>custom.forma.1.tipo</t>
        </is>
      </c>
      <c r="B7438" s="194">
        <f>IF(ISBLANK('CONFIGURAÇÃO'!$B$1882),"",'CONFIGURAÇÃO'!$B$1882&amp;"")</f>
        <v/>
      </c>
      <c r="C7438" s="194">
        <f>"'CONFIGURAÇÃO'!B1882"</f>
        <v/>
      </c>
      <c r="D7438" s="194" t="inlineStr">
        <is>
          <t>configuração</t>
        </is>
      </c>
    </row>
    <row r="7439">
      <c r="A7439" s="194" t="inlineStr">
        <is>
          <t>custom.forma.1.nome</t>
        </is>
      </c>
      <c r="B7439" s="194">
        <f>IF(ISBLANK('CONFIGURAÇÃO'!$B$1884),"",'CONFIGURAÇÃO'!$B$1884&amp;"")</f>
        <v/>
      </c>
      <c r="C7439" s="194">
        <f>"'CONFIGURAÇÃO'!B1884"</f>
        <v/>
      </c>
      <c r="D7439" s="194" t="inlineStr">
        <is>
          <t>configuração</t>
        </is>
      </c>
    </row>
    <row r="7440">
      <c r="A7440" s="194" t="inlineStr">
        <is>
          <t>custom.forma.1.base</t>
        </is>
      </c>
      <c r="B7440" s="194">
        <f>IF(ISBLANK('CONFIGURAÇÃO'!$E$1885),"",'CONFIGURAÇÃO'!$E$1885&amp;"")</f>
        <v/>
      </c>
      <c r="C7440" s="194">
        <f>"'CONFIGURAÇÃO'!E1885"</f>
        <v/>
      </c>
      <c r="D7440" s="194" t="inlineStr">
        <is>
          <t>configuração</t>
        </is>
      </c>
    </row>
    <row r="7441">
      <c r="A7441" s="194" t="inlineStr">
        <is>
          <t>custom.forma.1.mestre_viu</t>
        </is>
      </c>
      <c r="B7441" s="194">
        <f>N('CONFIGURAÇÃO'!$F$1882)&amp;""</f>
        <v/>
      </c>
      <c r="C7441" s="194">
        <f>"'CONFIGURAÇÃO'!F1882"</f>
        <v/>
      </c>
      <c r="D7441" s="194" t="inlineStr">
        <is>
          <t>configuração</t>
        </is>
      </c>
    </row>
    <row r="7442">
      <c r="A7442" s="194" t="inlineStr">
        <is>
          <t>custom.forma.1.requisitos</t>
        </is>
      </c>
      <c r="B7442" s="194">
        <f>IF(ISBLANK('CONFIGURAÇÃO'!$B$1911),"",'CONFIGURAÇÃO'!$B$1911&amp;"")</f>
        <v/>
      </c>
      <c r="C7442" s="194">
        <f>"'CONFIGURAÇÃO'!B1911"</f>
        <v/>
      </c>
      <c r="D7442" s="194" t="inlineStr">
        <is>
          <t>configuração</t>
        </is>
      </c>
    </row>
    <row r="7443">
      <c r="A7443" s="194" t="inlineStr">
        <is>
          <t>custom.forma.1.efeito</t>
        </is>
      </c>
      <c r="B7443" s="194">
        <f>IF(ISBLANK('CONFIGURAÇÃO'!$B$1917),"",'CONFIGURAÇÃO'!$B$1917&amp;"")</f>
        <v/>
      </c>
      <c r="C7443" s="194">
        <f>"'CONFIGURAÇÃO'!B1917"</f>
        <v/>
      </c>
      <c r="D7443" s="194" t="inlineStr">
        <is>
          <t>configuração</t>
        </is>
      </c>
    </row>
    <row r="7444">
      <c r="A7444" s="194" t="inlineStr">
        <is>
          <t>custom.forma.1.familia</t>
        </is>
      </c>
      <c r="B7444" s="194">
        <f>IF(ISBLANK('CONFIGURAÇÃO'!$E$1886),"",'CONFIGURAÇÃO'!$E$1886&amp;"")</f>
        <v/>
      </c>
      <c r="C7444" s="194">
        <f>"'CONFIGURAÇÃO'!E1886"</f>
        <v/>
      </c>
      <c r="D7444" s="194" t="inlineStr">
        <is>
          <t>configuração</t>
        </is>
      </c>
    </row>
    <row r="7445">
      <c r="A7445" s="194" t="inlineStr">
        <is>
          <t>custom.forma.1.peso</t>
        </is>
      </c>
      <c r="B7445" s="194">
        <f>IF(ISBLANK('CONFIGURAÇÃO'!$E$1887),"",'CONFIGURAÇÃO'!$E$1887&amp;"")</f>
        <v/>
      </c>
      <c r="C7445" s="194">
        <f>"'CONFIGURAÇÃO'!E1887"</f>
        <v/>
      </c>
      <c r="D7445" s="194" t="inlineStr">
        <is>
          <t>configuração</t>
        </is>
      </c>
    </row>
    <row r="7446">
      <c r="A7446" s="194" t="inlineStr">
        <is>
          <t>custom.forma.1.resolucao</t>
        </is>
      </c>
      <c r="B7446" s="194">
        <f>IF(ISBLANK('CONFIGURAÇÃO'!$E$1888),"",'CONFIGURAÇÃO'!$E$1888&amp;"")</f>
        <v/>
      </c>
      <c r="C7446" s="194">
        <f>"'CONFIGURAÇÃO'!E1888"</f>
        <v/>
      </c>
      <c r="D7446" s="194" t="inlineStr">
        <is>
          <t>configuração</t>
        </is>
      </c>
    </row>
    <row r="7447">
      <c r="A7447" s="194" t="inlineStr">
        <is>
          <t>custom.forma.1.resultado</t>
        </is>
      </c>
      <c r="B7447" s="194">
        <f>IF(ISBLANK('CONFIGURAÇÃO'!$E$1889),"",'CONFIGURAÇÃO'!$E$1889&amp;"")</f>
        <v/>
      </c>
      <c r="C7447" s="194">
        <f>"'CONFIGURAÇÃO'!E1889"</f>
        <v/>
      </c>
      <c r="D7447" s="194" t="inlineStr">
        <is>
          <t>configuração</t>
        </is>
      </c>
    </row>
    <row r="7448">
      <c r="A7448" s="194" t="inlineStr">
        <is>
          <t>custom.forma.1.exige_tr</t>
        </is>
      </c>
      <c r="B7448" s="194">
        <f>IF(ISBLANK('CONFIGURAÇÃO'!$E$1890),"",'CONFIGURAÇÃO'!$E$1890&amp;"")</f>
        <v/>
      </c>
      <c r="C7448" s="194">
        <f>"'CONFIGURAÇÃO'!E1890"</f>
        <v/>
      </c>
      <c r="D7448" s="194" t="inlineStr">
        <is>
          <t>configuração</t>
        </is>
      </c>
    </row>
    <row r="7449">
      <c r="A7449" s="194" t="inlineStr">
        <is>
          <t>custom.forma.1.classe_zero</t>
        </is>
      </c>
      <c r="B7449" s="194">
        <f>IF(ISBLANK('CONFIGURAÇÃO'!$E$1891),"",'CONFIGURAÇÃO'!$E$1891&amp;"")</f>
        <v/>
      </c>
      <c r="C7449" s="194">
        <f>"'CONFIGURAÇÃO'!E1891"</f>
        <v/>
      </c>
      <c r="D7449" s="194" t="inlineStr">
        <is>
          <t>configuração</t>
        </is>
      </c>
    </row>
    <row r="7450">
      <c r="A7450" s="194" t="inlineStr">
        <is>
          <t>custom.forma.1.restricao_embutida</t>
        </is>
      </c>
      <c r="B7450" s="194">
        <f>IF(ISBLANK('CONFIGURAÇÃO'!$E$1892),"",'CONFIGURAÇÃO'!$E$1892&amp;"")</f>
        <v/>
      </c>
      <c r="C7450" s="194">
        <f>"'CONFIGURAÇÃO'!E1892"</f>
        <v/>
      </c>
      <c r="D7450" s="194" t="inlineStr">
        <is>
          <t>configuração</t>
        </is>
      </c>
    </row>
    <row r="7451">
      <c r="A7451" s="194" t="inlineStr">
        <is>
          <t>custom.forma.1.alcance_escada</t>
        </is>
      </c>
      <c r="B7451" s="194">
        <f>IF(ISBLANK('CONFIGURAÇÃO'!$E$1893),"",'CONFIGURAÇÃO'!$E$1893&amp;"")</f>
        <v/>
      </c>
      <c r="C7451" s="194">
        <f>"'CONFIGURAÇÃO'!E1893"</f>
        <v/>
      </c>
      <c r="D7451" s="194" t="inlineStr">
        <is>
          <t>configuração</t>
        </is>
      </c>
    </row>
    <row r="7452">
      <c r="A7452" s="194" t="inlineStr">
        <is>
          <t>custom.forma.1.area_escada</t>
        </is>
      </c>
      <c r="B7452" s="194">
        <f>IF(ISBLANK('CONFIGURAÇÃO'!$E$1894),"",'CONFIGURAÇÃO'!$E$1894&amp;"")</f>
        <v/>
      </c>
      <c r="C7452" s="194">
        <f>"'CONFIGURAÇÃO'!E1894"</f>
        <v/>
      </c>
      <c r="D7452" s="194" t="inlineStr">
        <is>
          <t>configuração</t>
        </is>
      </c>
    </row>
    <row r="7453">
      <c r="A7453" s="194" t="inlineStr">
        <is>
          <t>custom.forma.1.alcance_personagem_classe_0</t>
        </is>
      </c>
      <c r="B7453" s="194">
        <f>IF(ISBLANK('CONFIGURAÇÃO'!$E$1895),"",'CONFIGURAÇÃO'!$E$1895&amp;"")</f>
        <v/>
      </c>
      <c r="C7453" s="194">
        <f>"'CONFIGURAÇÃO'!E1895"</f>
        <v/>
      </c>
      <c r="D7453" s="194" t="inlineStr">
        <is>
          <t>configuração</t>
        </is>
      </c>
    </row>
    <row r="7454">
      <c r="A7454" s="194" t="inlineStr">
        <is>
          <t>custom.forma.1.alcance_personagem_classes_1_a_5</t>
        </is>
      </c>
      <c r="B7454" s="194">
        <f>IF(ISBLANK('CONFIGURAÇÃO'!$E$1896),"",'CONFIGURAÇÃO'!$E$1896&amp;"")</f>
        <v/>
      </c>
      <c r="C7454" s="194">
        <f>"'CONFIGURAÇÃO'!E1896"</f>
        <v/>
      </c>
      <c r="D7454" s="194" t="inlineStr">
        <is>
          <t>configuração</t>
        </is>
      </c>
    </row>
    <row r="7455">
      <c r="A7455" s="194" t="inlineStr">
        <is>
          <t>custom.forma.1.alcance_personagem_classes_6_e_7</t>
        </is>
      </c>
      <c r="B7455" s="194">
        <f>IF(ISBLANK('CONFIGURAÇÃO'!$E$1897),"",'CONFIGURAÇÃO'!$E$1897&amp;"")</f>
        <v/>
      </c>
      <c r="C7455" s="194">
        <f>"'CONFIGURAÇÃO'!E1897"</f>
        <v/>
      </c>
      <c r="D7455" s="194" t="inlineStr">
        <is>
          <t>configuração</t>
        </is>
      </c>
    </row>
    <row r="7456">
      <c r="A7456" s="194" t="inlineStr">
        <is>
          <t>custom.forma.1.alcance_entidade_classe_0</t>
        </is>
      </c>
      <c r="B7456" s="194">
        <f>IF(ISBLANK('CONFIGURAÇÃO'!$E$1898),"",'CONFIGURAÇÃO'!$E$1898&amp;"")</f>
        <v/>
      </c>
      <c r="C7456" s="194">
        <f>"'CONFIGURAÇÃO'!E1898"</f>
        <v/>
      </c>
      <c r="D7456" s="194" t="inlineStr">
        <is>
          <t>configuração</t>
        </is>
      </c>
    </row>
    <row r="7457">
      <c r="A7457" s="194" t="inlineStr">
        <is>
          <t>custom.forma.1.alcance_entidade_classes_1_a_5</t>
        </is>
      </c>
      <c r="B7457" s="194">
        <f>IF(ISBLANK('CONFIGURAÇÃO'!$E$1899),"",'CONFIGURAÇÃO'!$E$1899&amp;"")</f>
        <v/>
      </c>
      <c r="C7457" s="194">
        <f>"'CONFIGURAÇÃO'!E1899"</f>
        <v/>
      </c>
      <c r="D7457" s="194" t="inlineStr">
        <is>
          <t>configuração</t>
        </is>
      </c>
    </row>
    <row r="7458">
      <c r="A7458" s="194" t="inlineStr">
        <is>
          <t>custom.forma.1.alcance_entidade_classe_6</t>
        </is>
      </c>
      <c r="B7458" s="194">
        <f>IF(ISBLANK('CONFIGURAÇÃO'!$E$1900),"",'CONFIGURAÇÃO'!$E$1900&amp;"")</f>
        <v/>
      </c>
      <c r="C7458" s="194">
        <f>"'CONFIGURAÇÃO'!E1900"</f>
        <v/>
      </c>
      <c r="D7458" s="194" t="inlineStr">
        <is>
          <t>configuração</t>
        </is>
      </c>
    </row>
    <row r="7459">
      <c r="A7459" s="194" t="inlineStr">
        <is>
          <t>custom.forma.1.alcance_entidade_classe_7</t>
        </is>
      </c>
      <c r="B7459" s="194">
        <f>IF(ISBLANK('CONFIGURAÇÃO'!$E$1901),"",'CONFIGURAÇÃO'!$E$1901&amp;"")</f>
        <v/>
      </c>
      <c r="C7459" s="194">
        <f>"'CONFIGURAÇÃO'!E1901"</f>
        <v/>
      </c>
      <c r="D7459" s="194" t="inlineStr">
        <is>
          <t>configuração</t>
        </is>
      </c>
    </row>
    <row r="7460">
      <c r="A7460" s="194" t="inlineStr">
        <is>
          <t>custom.forma.1.area_personagem_classe_0</t>
        </is>
      </c>
      <c r="B7460" s="194">
        <f>IF(ISBLANK('CONFIGURAÇÃO'!$E$1902),"",'CONFIGURAÇÃO'!$E$1902&amp;"")</f>
        <v/>
      </c>
      <c r="C7460" s="194">
        <f>"'CONFIGURAÇÃO'!E1902"</f>
        <v/>
      </c>
      <c r="D7460" s="194" t="inlineStr">
        <is>
          <t>configuração</t>
        </is>
      </c>
    </row>
    <row r="7461">
      <c r="A7461" s="194" t="inlineStr">
        <is>
          <t>custom.forma.1.area_personagem_classes_1_a_5</t>
        </is>
      </c>
      <c r="B7461" s="194">
        <f>IF(ISBLANK('CONFIGURAÇÃO'!$E$1903),"",'CONFIGURAÇÃO'!$E$1903&amp;"")</f>
        <v/>
      </c>
      <c r="C7461" s="194">
        <f>"'CONFIGURAÇÃO'!E1903"</f>
        <v/>
      </c>
      <c r="D7461" s="194" t="inlineStr">
        <is>
          <t>configuração</t>
        </is>
      </c>
    </row>
    <row r="7462">
      <c r="A7462" s="194" t="inlineStr">
        <is>
          <t>custom.forma.1.area_personagem_classes_6_e_7</t>
        </is>
      </c>
      <c r="B7462" s="194">
        <f>IF(ISBLANK('CONFIGURAÇÃO'!$E$1904),"",'CONFIGURAÇÃO'!$E$1904&amp;"")</f>
        <v/>
      </c>
      <c r="C7462" s="194">
        <f>"'CONFIGURAÇÃO'!E1904"</f>
        <v/>
      </c>
      <c r="D7462" s="194" t="inlineStr">
        <is>
          <t>configuração</t>
        </is>
      </c>
    </row>
    <row r="7463">
      <c r="A7463" s="194" t="inlineStr">
        <is>
          <t>custom.forma.1.area_entidade_classe_0</t>
        </is>
      </c>
      <c r="B7463" s="194">
        <f>IF(ISBLANK('CONFIGURAÇÃO'!$E$1905),"",'CONFIGURAÇÃO'!$E$1905&amp;"")</f>
        <v/>
      </c>
      <c r="C7463" s="194">
        <f>"'CONFIGURAÇÃO'!E1905"</f>
        <v/>
      </c>
      <c r="D7463" s="194" t="inlineStr">
        <is>
          <t>configuração</t>
        </is>
      </c>
    </row>
    <row r="7464">
      <c r="A7464" s="194" t="inlineStr">
        <is>
          <t>custom.forma.1.area_entidade_classes_1_a_5</t>
        </is>
      </c>
      <c r="B7464" s="194">
        <f>IF(ISBLANK('CONFIGURAÇÃO'!$E$1906),"",'CONFIGURAÇÃO'!$E$1906&amp;"")</f>
        <v/>
      </c>
      <c r="C7464" s="194">
        <f>"'CONFIGURAÇÃO'!E1906"</f>
        <v/>
      </c>
      <c r="D7464" s="194" t="inlineStr">
        <is>
          <t>configuração</t>
        </is>
      </c>
    </row>
    <row r="7465">
      <c r="A7465" s="194" t="inlineStr">
        <is>
          <t>custom.forma.1.area_entidade_classe_6</t>
        </is>
      </c>
      <c r="B7465" s="194">
        <f>IF(ISBLANK('CONFIGURAÇÃO'!$E$1907),"",'CONFIGURAÇÃO'!$E$1907&amp;"")</f>
        <v/>
      </c>
      <c r="C7465" s="194">
        <f>"'CONFIGURAÇÃO'!E1907"</f>
        <v/>
      </c>
      <c r="D7465" s="194" t="inlineStr">
        <is>
          <t>configuração</t>
        </is>
      </c>
    </row>
    <row r="7466">
      <c r="A7466" s="194" t="inlineStr">
        <is>
          <t>custom.forma.1.area_entidade_classe_7</t>
        </is>
      </c>
      <c r="B7466" s="194">
        <f>IF(ISBLANK('CONFIGURAÇÃO'!$E$1908),"",'CONFIGURAÇÃO'!$E$1908&amp;"")</f>
        <v/>
      </c>
      <c r="C7466" s="194">
        <f>"'CONFIGURAÇÃO'!E1908"</f>
        <v/>
      </c>
      <c r="D7466" s="194" t="inlineStr">
        <is>
          <t>configuração</t>
        </is>
      </c>
    </row>
    <row r="7467">
      <c r="A7467" s="194" t="inlineStr">
        <is>
          <t>custom.forma.2.tipo</t>
        </is>
      </c>
      <c r="B7467" s="194">
        <f>IF(ISBLANK('CONFIGURAÇÃO'!$J$1882),"",'CONFIGURAÇÃO'!$J$1882&amp;"")</f>
        <v/>
      </c>
      <c r="C7467" s="194">
        <f>"'CONFIGURAÇÃO'!J1882"</f>
        <v/>
      </c>
      <c r="D7467" s="194" t="inlineStr">
        <is>
          <t>configuração</t>
        </is>
      </c>
    </row>
    <row r="7468">
      <c r="A7468" s="194" t="inlineStr">
        <is>
          <t>custom.forma.2.nome</t>
        </is>
      </c>
      <c r="B7468" s="194">
        <f>IF(ISBLANK('CONFIGURAÇÃO'!$J$1884),"",'CONFIGURAÇÃO'!$J$1884&amp;"")</f>
        <v/>
      </c>
      <c r="C7468" s="194">
        <f>"'CONFIGURAÇÃO'!J1884"</f>
        <v/>
      </c>
      <c r="D7468" s="194" t="inlineStr">
        <is>
          <t>configuração</t>
        </is>
      </c>
    </row>
    <row r="7469">
      <c r="A7469" s="194" t="inlineStr">
        <is>
          <t>custom.forma.2.base</t>
        </is>
      </c>
      <c r="B7469" s="194">
        <f>IF(ISBLANK('CONFIGURAÇÃO'!$M$1885),"",'CONFIGURAÇÃO'!$M$1885&amp;"")</f>
        <v/>
      </c>
      <c r="C7469" s="194">
        <f>"'CONFIGURAÇÃO'!M1885"</f>
        <v/>
      </c>
      <c r="D7469" s="194" t="inlineStr">
        <is>
          <t>configuração</t>
        </is>
      </c>
    </row>
    <row r="7470">
      <c r="A7470" s="194" t="inlineStr">
        <is>
          <t>custom.forma.2.mestre_viu</t>
        </is>
      </c>
      <c r="B7470" s="194">
        <f>N('CONFIGURAÇÃO'!$N$1882)&amp;""</f>
        <v/>
      </c>
      <c r="C7470" s="194">
        <f>"'CONFIGURAÇÃO'!N1882"</f>
        <v/>
      </c>
      <c r="D7470" s="194" t="inlineStr">
        <is>
          <t>configuração</t>
        </is>
      </c>
    </row>
    <row r="7471">
      <c r="A7471" s="194" t="inlineStr">
        <is>
          <t>custom.forma.2.requisitos</t>
        </is>
      </c>
      <c r="B7471" s="194">
        <f>IF(ISBLANK('CONFIGURAÇÃO'!$J$1911),"",'CONFIGURAÇÃO'!$J$1911&amp;"")</f>
        <v/>
      </c>
      <c r="C7471" s="194">
        <f>"'CONFIGURAÇÃO'!J1911"</f>
        <v/>
      </c>
      <c r="D7471" s="194" t="inlineStr">
        <is>
          <t>configuração</t>
        </is>
      </c>
    </row>
    <row r="7472">
      <c r="A7472" s="194" t="inlineStr">
        <is>
          <t>custom.forma.2.efeito</t>
        </is>
      </c>
      <c r="B7472" s="194">
        <f>IF(ISBLANK('CONFIGURAÇÃO'!$J$1917),"",'CONFIGURAÇÃO'!$J$1917&amp;"")</f>
        <v/>
      </c>
      <c r="C7472" s="194">
        <f>"'CONFIGURAÇÃO'!J1917"</f>
        <v/>
      </c>
      <c r="D7472" s="194" t="inlineStr">
        <is>
          <t>configuração</t>
        </is>
      </c>
    </row>
    <row r="7473">
      <c r="A7473" s="194" t="inlineStr">
        <is>
          <t>custom.forma.2.familia</t>
        </is>
      </c>
      <c r="B7473" s="194">
        <f>IF(ISBLANK('CONFIGURAÇÃO'!$M$1886),"",'CONFIGURAÇÃO'!$M$1886&amp;"")</f>
        <v/>
      </c>
      <c r="C7473" s="194">
        <f>"'CONFIGURAÇÃO'!M1886"</f>
        <v/>
      </c>
      <c r="D7473" s="194" t="inlineStr">
        <is>
          <t>configuração</t>
        </is>
      </c>
    </row>
    <row r="7474">
      <c r="A7474" s="194" t="inlineStr">
        <is>
          <t>custom.forma.2.peso</t>
        </is>
      </c>
      <c r="B7474" s="194">
        <f>IF(ISBLANK('CONFIGURAÇÃO'!$M$1887),"",'CONFIGURAÇÃO'!$M$1887&amp;"")</f>
        <v/>
      </c>
      <c r="C7474" s="194">
        <f>"'CONFIGURAÇÃO'!M1887"</f>
        <v/>
      </c>
      <c r="D7474" s="194" t="inlineStr">
        <is>
          <t>configuração</t>
        </is>
      </c>
    </row>
    <row r="7475">
      <c r="A7475" s="194" t="inlineStr">
        <is>
          <t>custom.forma.2.resolucao</t>
        </is>
      </c>
      <c r="B7475" s="194">
        <f>IF(ISBLANK('CONFIGURAÇÃO'!$M$1888),"",'CONFIGURAÇÃO'!$M$1888&amp;"")</f>
        <v/>
      </c>
      <c r="C7475" s="194">
        <f>"'CONFIGURAÇÃO'!M1888"</f>
        <v/>
      </c>
      <c r="D7475" s="194" t="inlineStr">
        <is>
          <t>configuração</t>
        </is>
      </c>
    </row>
    <row r="7476">
      <c r="A7476" s="194" t="inlineStr">
        <is>
          <t>custom.forma.2.resultado</t>
        </is>
      </c>
      <c r="B7476" s="194">
        <f>IF(ISBLANK('CONFIGURAÇÃO'!$M$1889),"",'CONFIGURAÇÃO'!$M$1889&amp;"")</f>
        <v/>
      </c>
      <c r="C7476" s="194">
        <f>"'CONFIGURAÇÃO'!M1889"</f>
        <v/>
      </c>
      <c r="D7476" s="194" t="inlineStr">
        <is>
          <t>configuração</t>
        </is>
      </c>
    </row>
    <row r="7477">
      <c r="A7477" s="194" t="inlineStr">
        <is>
          <t>custom.forma.2.exige_tr</t>
        </is>
      </c>
      <c r="B7477" s="194">
        <f>IF(ISBLANK('CONFIGURAÇÃO'!$M$1890),"",'CONFIGURAÇÃO'!$M$1890&amp;"")</f>
        <v/>
      </c>
      <c r="C7477" s="194">
        <f>"'CONFIGURAÇÃO'!M1890"</f>
        <v/>
      </c>
      <c r="D7477" s="194" t="inlineStr">
        <is>
          <t>configuração</t>
        </is>
      </c>
    </row>
    <row r="7478">
      <c r="A7478" s="194" t="inlineStr">
        <is>
          <t>custom.forma.2.classe_zero</t>
        </is>
      </c>
      <c r="B7478" s="194">
        <f>IF(ISBLANK('CONFIGURAÇÃO'!$M$1891),"",'CONFIGURAÇÃO'!$M$1891&amp;"")</f>
        <v/>
      </c>
      <c r="C7478" s="194">
        <f>"'CONFIGURAÇÃO'!M1891"</f>
        <v/>
      </c>
      <c r="D7478" s="194" t="inlineStr">
        <is>
          <t>configuração</t>
        </is>
      </c>
    </row>
    <row r="7479">
      <c r="A7479" s="194" t="inlineStr">
        <is>
          <t>custom.forma.2.restricao_embutida</t>
        </is>
      </c>
      <c r="B7479" s="194">
        <f>IF(ISBLANK('CONFIGURAÇÃO'!$M$1892),"",'CONFIGURAÇÃO'!$M$1892&amp;"")</f>
        <v/>
      </c>
      <c r="C7479" s="194">
        <f>"'CONFIGURAÇÃO'!M1892"</f>
        <v/>
      </c>
      <c r="D7479" s="194" t="inlineStr">
        <is>
          <t>configuração</t>
        </is>
      </c>
    </row>
    <row r="7480">
      <c r="A7480" s="194" t="inlineStr">
        <is>
          <t>custom.forma.2.alcance_escada</t>
        </is>
      </c>
      <c r="B7480" s="194">
        <f>IF(ISBLANK('CONFIGURAÇÃO'!$M$1893),"",'CONFIGURAÇÃO'!$M$1893&amp;"")</f>
        <v/>
      </c>
      <c r="C7480" s="194">
        <f>"'CONFIGURAÇÃO'!M1893"</f>
        <v/>
      </c>
      <c r="D7480" s="194" t="inlineStr">
        <is>
          <t>configuração</t>
        </is>
      </c>
    </row>
    <row r="7481">
      <c r="A7481" s="194" t="inlineStr">
        <is>
          <t>custom.forma.2.area_escada</t>
        </is>
      </c>
      <c r="B7481" s="194">
        <f>IF(ISBLANK('CONFIGURAÇÃO'!$M$1894),"",'CONFIGURAÇÃO'!$M$1894&amp;"")</f>
        <v/>
      </c>
      <c r="C7481" s="194">
        <f>"'CONFIGURAÇÃO'!M1894"</f>
        <v/>
      </c>
      <c r="D7481" s="194" t="inlineStr">
        <is>
          <t>configuração</t>
        </is>
      </c>
    </row>
    <row r="7482">
      <c r="A7482" s="194" t="inlineStr">
        <is>
          <t>custom.forma.2.alcance_personagem_classe_0</t>
        </is>
      </c>
      <c r="B7482" s="194">
        <f>IF(ISBLANK('CONFIGURAÇÃO'!$M$1895),"",'CONFIGURAÇÃO'!$M$1895&amp;"")</f>
        <v/>
      </c>
      <c r="C7482" s="194">
        <f>"'CONFIGURAÇÃO'!M1895"</f>
        <v/>
      </c>
      <c r="D7482" s="194" t="inlineStr">
        <is>
          <t>configuração</t>
        </is>
      </c>
    </row>
    <row r="7483">
      <c r="A7483" s="194" t="inlineStr">
        <is>
          <t>custom.forma.2.alcance_personagem_classes_1_a_5</t>
        </is>
      </c>
      <c r="B7483" s="194">
        <f>IF(ISBLANK('CONFIGURAÇÃO'!$M$1896),"",'CONFIGURAÇÃO'!$M$1896&amp;"")</f>
        <v/>
      </c>
      <c r="C7483" s="194">
        <f>"'CONFIGURAÇÃO'!M1896"</f>
        <v/>
      </c>
      <c r="D7483" s="194" t="inlineStr">
        <is>
          <t>configuração</t>
        </is>
      </c>
    </row>
    <row r="7484">
      <c r="A7484" s="194" t="inlineStr">
        <is>
          <t>custom.forma.2.alcance_personagem_classes_6_e_7</t>
        </is>
      </c>
      <c r="B7484" s="194">
        <f>IF(ISBLANK('CONFIGURAÇÃO'!$M$1897),"",'CONFIGURAÇÃO'!$M$1897&amp;"")</f>
        <v/>
      </c>
      <c r="C7484" s="194">
        <f>"'CONFIGURAÇÃO'!M1897"</f>
        <v/>
      </c>
      <c r="D7484" s="194" t="inlineStr">
        <is>
          <t>configuração</t>
        </is>
      </c>
    </row>
    <row r="7485">
      <c r="A7485" s="194" t="inlineStr">
        <is>
          <t>custom.forma.2.alcance_entidade_classe_0</t>
        </is>
      </c>
      <c r="B7485" s="194">
        <f>IF(ISBLANK('CONFIGURAÇÃO'!$M$1898),"",'CONFIGURAÇÃO'!$M$1898&amp;"")</f>
        <v/>
      </c>
      <c r="C7485" s="194">
        <f>"'CONFIGURAÇÃO'!M1898"</f>
        <v/>
      </c>
      <c r="D7485" s="194" t="inlineStr">
        <is>
          <t>configuração</t>
        </is>
      </c>
    </row>
    <row r="7486">
      <c r="A7486" s="194" t="inlineStr">
        <is>
          <t>custom.forma.2.alcance_entidade_classes_1_a_5</t>
        </is>
      </c>
      <c r="B7486" s="194">
        <f>IF(ISBLANK('CONFIGURAÇÃO'!$M$1899),"",'CONFIGURAÇÃO'!$M$1899&amp;"")</f>
        <v/>
      </c>
      <c r="C7486" s="194">
        <f>"'CONFIGURAÇÃO'!M1899"</f>
        <v/>
      </c>
      <c r="D7486" s="194" t="inlineStr">
        <is>
          <t>configuração</t>
        </is>
      </c>
    </row>
    <row r="7487">
      <c r="A7487" s="194" t="inlineStr">
        <is>
          <t>custom.forma.2.alcance_entidade_classe_6</t>
        </is>
      </c>
      <c r="B7487" s="194">
        <f>IF(ISBLANK('CONFIGURAÇÃO'!$M$1900),"",'CONFIGURAÇÃO'!$M$1900&amp;"")</f>
        <v/>
      </c>
      <c r="C7487" s="194">
        <f>"'CONFIGURAÇÃO'!M1900"</f>
        <v/>
      </c>
      <c r="D7487" s="194" t="inlineStr">
        <is>
          <t>configuração</t>
        </is>
      </c>
    </row>
    <row r="7488">
      <c r="A7488" s="194" t="inlineStr">
        <is>
          <t>custom.forma.2.alcance_entidade_classe_7</t>
        </is>
      </c>
      <c r="B7488" s="194">
        <f>IF(ISBLANK('CONFIGURAÇÃO'!$M$1901),"",'CONFIGURAÇÃO'!$M$1901&amp;"")</f>
        <v/>
      </c>
      <c r="C7488" s="194">
        <f>"'CONFIGURAÇÃO'!M1901"</f>
        <v/>
      </c>
      <c r="D7488" s="194" t="inlineStr">
        <is>
          <t>configuração</t>
        </is>
      </c>
    </row>
    <row r="7489">
      <c r="A7489" s="194" t="inlineStr">
        <is>
          <t>custom.forma.2.area_personagem_classe_0</t>
        </is>
      </c>
      <c r="B7489" s="194">
        <f>IF(ISBLANK('CONFIGURAÇÃO'!$M$1902),"",'CONFIGURAÇÃO'!$M$1902&amp;"")</f>
        <v/>
      </c>
      <c r="C7489" s="194">
        <f>"'CONFIGURAÇÃO'!M1902"</f>
        <v/>
      </c>
      <c r="D7489" s="194" t="inlineStr">
        <is>
          <t>configuração</t>
        </is>
      </c>
    </row>
    <row r="7490">
      <c r="A7490" s="194" t="inlineStr">
        <is>
          <t>custom.forma.2.area_personagem_classes_1_a_5</t>
        </is>
      </c>
      <c r="B7490" s="194">
        <f>IF(ISBLANK('CONFIGURAÇÃO'!$M$1903),"",'CONFIGURAÇÃO'!$M$1903&amp;"")</f>
        <v/>
      </c>
      <c r="C7490" s="194">
        <f>"'CONFIGURAÇÃO'!M1903"</f>
        <v/>
      </c>
      <c r="D7490" s="194" t="inlineStr">
        <is>
          <t>configuração</t>
        </is>
      </c>
    </row>
    <row r="7491">
      <c r="A7491" s="194" t="inlineStr">
        <is>
          <t>custom.forma.2.area_personagem_classes_6_e_7</t>
        </is>
      </c>
      <c r="B7491" s="194">
        <f>IF(ISBLANK('CONFIGURAÇÃO'!$M$1904),"",'CONFIGURAÇÃO'!$M$1904&amp;"")</f>
        <v/>
      </c>
      <c r="C7491" s="194">
        <f>"'CONFIGURAÇÃO'!M1904"</f>
        <v/>
      </c>
      <c r="D7491" s="194" t="inlineStr">
        <is>
          <t>configuração</t>
        </is>
      </c>
    </row>
    <row r="7492">
      <c r="A7492" s="194" t="inlineStr">
        <is>
          <t>custom.forma.2.area_entidade_classe_0</t>
        </is>
      </c>
      <c r="B7492" s="194">
        <f>IF(ISBLANK('CONFIGURAÇÃO'!$M$1905),"",'CONFIGURAÇÃO'!$M$1905&amp;"")</f>
        <v/>
      </c>
      <c r="C7492" s="194">
        <f>"'CONFIGURAÇÃO'!M1905"</f>
        <v/>
      </c>
      <c r="D7492" s="194" t="inlineStr">
        <is>
          <t>configuração</t>
        </is>
      </c>
    </row>
    <row r="7493">
      <c r="A7493" s="194" t="inlineStr">
        <is>
          <t>custom.forma.2.area_entidade_classes_1_a_5</t>
        </is>
      </c>
      <c r="B7493" s="194">
        <f>IF(ISBLANK('CONFIGURAÇÃO'!$M$1906),"",'CONFIGURAÇÃO'!$M$1906&amp;"")</f>
        <v/>
      </c>
      <c r="C7493" s="194">
        <f>"'CONFIGURAÇÃO'!M1906"</f>
        <v/>
      </c>
      <c r="D7493" s="194" t="inlineStr">
        <is>
          <t>configuração</t>
        </is>
      </c>
    </row>
    <row r="7494">
      <c r="A7494" s="194" t="inlineStr">
        <is>
          <t>custom.forma.2.area_entidade_classe_6</t>
        </is>
      </c>
      <c r="B7494" s="194">
        <f>IF(ISBLANK('CONFIGURAÇÃO'!$M$1907),"",'CONFIGURAÇÃO'!$M$1907&amp;"")</f>
        <v/>
      </c>
      <c r="C7494" s="194">
        <f>"'CONFIGURAÇÃO'!M1907"</f>
        <v/>
      </c>
      <c r="D7494" s="194" t="inlineStr">
        <is>
          <t>configuração</t>
        </is>
      </c>
    </row>
    <row r="7495">
      <c r="A7495" s="194" t="inlineStr">
        <is>
          <t>custom.forma.2.area_entidade_classe_7</t>
        </is>
      </c>
      <c r="B7495" s="194">
        <f>IF(ISBLANK('CONFIGURAÇÃO'!$M$1908),"",'CONFIGURAÇÃO'!$M$1908&amp;"")</f>
        <v/>
      </c>
      <c r="C7495" s="194">
        <f>"'CONFIGURAÇÃO'!M1908"</f>
        <v/>
      </c>
      <c r="D7495" s="194" t="inlineStr">
        <is>
          <t>configuração</t>
        </is>
      </c>
    </row>
    <row r="7496">
      <c r="A7496" s="194" t="inlineStr">
        <is>
          <t>custom.forma.3.tipo</t>
        </is>
      </c>
      <c r="B7496" s="194">
        <f>IF(ISBLANK('CONFIGURAÇÃO'!$B$1928),"",'CONFIGURAÇÃO'!$B$1928&amp;"")</f>
        <v/>
      </c>
      <c r="C7496" s="194">
        <f>"'CONFIGURAÇÃO'!B1928"</f>
        <v/>
      </c>
      <c r="D7496" s="194" t="inlineStr">
        <is>
          <t>configuração</t>
        </is>
      </c>
    </row>
    <row r="7497">
      <c r="A7497" s="194" t="inlineStr">
        <is>
          <t>custom.forma.3.nome</t>
        </is>
      </c>
      <c r="B7497" s="194">
        <f>IF(ISBLANK('CONFIGURAÇÃO'!$B$1930),"",'CONFIGURAÇÃO'!$B$1930&amp;"")</f>
        <v/>
      </c>
      <c r="C7497" s="194">
        <f>"'CONFIGURAÇÃO'!B1930"</f>
        <v/>
      </c>
      <c r="D7497" s="194" t="inlineStr">
        <is>
          <t>configuração</t>
        </is>
      </c>
    </row>
    <row r="7498">
      <c r="A7498" s="194" t="inlineStr">
        <is>
          <t>custom.forma.3.base</t>
        </is>
      </c>
      <c r="B7498" s="194">
        <f>IF(ISBLANK('CONFIGURAÇÃO'!$E$1931),"",'CONFIGURAÇÃO'!$E$1931&amp;"")</f>
        <v/>
      </c>
      <c r="C7498" s="194">
        <f>"'CONFIGURAÇÃO'!E1931"</f>
        <v/>
      </c>
      <c r="D7498" s="194" t="inlineStr">
        <is>
          <t>configuração</t>
        </is>
      </c>
    </row>
    <row r="7499">
      <c r="A7499" s="194" t="inlineStr">
        <is>
          <t>custom.forma.3.mestre_viu</t>
        </is>
      </c>
      <c r="B7499" s="194">
        <f>N('CONFIGURAÇÃO'!$F$1928)&amp;""</f>
        <v/>
      </c>
      <c r="C7499" s="194">
        <f>"'CONFIGURAÇÃO'!F1928"</f>
        <v/>
      </c>
      <c r="D7499" s="194" t="inlineStr">
        <is>
          <t>configuração</t>
        </is>
      </c>
    </row>
    <row r="7500">
      <c r="A7500" s="194" t="inlineStr">
        <is>
          <t>custom.forma.3.requisitos</t>
        </is>
      </c>
      <c r="B7500" s="194">
        <f>IF(ISBLANK('CONFIGURAÇÃO'!$B$1957),"",'CONFIGURAÇÃO'!$B$1957&amp;"")</f>
        <v/>
      </c>
      <c r="C7500" s="194">
        <f>"'CONFIGURAÇÃO'!B1957"</f>
        <v/>
      </c>
      <c r="D7500" s="194" t="inlineStr">
        <is>
          <t>configuração</t>
        </is>
      </c>
    </row>
    <row r="7501">
      <c r="A7501" s="194" t="inlineStr">
        <is>
          <t>custom.forma.3.efeito</t>
        </is>
      </c>
      <c r="B7501" s="194">
        <f>IF(ISBLANK('CONFIGURAÇÃO'!$B$1963),"",'CONFIGURAÇÃO'!$B$1963&amp;"")</f>
        <v/>
      </c>
      <c r="C7501" s="194">
        <f>"'CONFIGURAÇÃO'!B1963"</f>
        <v/>
      </c>
      <c r="D7501" s="194" t="inlineStr">
        <is>
          <t>configuração</t>
        </is>
      </c>
    </row>
    <row r="7502">
      <c r="A7502" s="194" t="inlineStr">
        <is>
          <t>custom.forma.3.familia</t>
        </is>
      </c>
      <c r="B7502" s="194">
        <f>IF(ISBLANK('CONFIGURAÇÃO'!$E$1932),"",'CONFIGURAÇÃO'!$E$1932&amp;"")</f>
        <v/>
      </c>
      <c r="C7502" s="194">
        <f>"'CONFIGURAÇÃO'!E1932"</f>
        <v/>
      </c>
      <c r="D7502" s="194" t="inlineStr">
        <is>
          <t>configuração</t>
        </is>
      </c>
    </row>
    <row r="7503">
      <c r="A7503" s="194" t="inlineStr">
        <is>
          <t>custom.forma.3.peso</t>
        </is>
      </c>
      <c r="B7503" s="194">
        <f>IF(ISBLANK('CONFIGURAÇÃO'!$E$1933),"",'CONFIGURAÇÃO'!$E$1933&amp;"")</f>
        <v/>
      </c>
      <c r="C7503" s="194">
        <f>"'CONFIGURAÇÃO'!E1933"</f>
        <v/>
      </c>
      <c r="D7503" s="194" t="inlineStr">
        <is>
          <t>configuração</t>
        </is>
      </c>
    </row>
    <row r="7504">
      <c r="A7504" s="194" t="inlineStr">
        <is>
          <t>custom.forma.3.resolucao</t>
        </is>
      </c>
      <c r="B7504" s="194">
        <f>IF(ISBLANK('CONFIGURAÇÃO'!$E$1934),"",'CONFIGURAÇÃO'!$E$1934&amp;"")</f>
        <v/>
      </c>
      <c r="C7504" s="194">
        <f>"'CONFIGURAÇÃO'!E1934"</f>
        <v/>
      </c>
      <c r="D7504" s="194" t="inlineStr">
        <is>
          <t>configuração</t>
        </is>
      </c>
    </row>
    <row r="7505">
      <c r="A7505" s="194" t="inlineStr">
        <is>
          <t>custom.forma.3.resultado</t>
        </is>
      </c>
      <c r="B7505" s="194">
        <f>IF(ISBLANK('CONFIGURAÇÃO'!$E$1935),"",'CONFIGURAÇÃO'!$E$1935&amp;"")</f>
        <v/>
      </c>
      <c r="C7505" s="194">
        <f>"'CONFIGURAÇÃO'!E1935"</f>
        <v/>
      </c>
      <c r="D7505" s="194" t="inlineStr">
        <is>
          <t>configuração</t>
        </is>
      </c>
    </row>
    <row r="7506">
      <c r="A7506" s="194" t="inlineStr">
        <is>
          <t>custom.forma.3.exige_tr</t>
        </is>
      </c>
      <c r="B7506" s="194">
        <f>IF(ISBLANK('CONFIGURAÇÃO'!$E$1936),"",'CONFIGURAÇÃO'!$E$1936&amp;"")</f>
        <v/>
      </c>
      <c r="C7506" s="194">
        <f>"'CONFIGURAÇÃO'!E1936"</f>
        <v/>
      </c>
      <c r="D7506" s="194" t="inlineStr">
        <is>
          <t>configuração</t>
        </is>
      </c>
    </row>
    <row r="7507">
      <c r="A7507" s="194" t="inlineStr">
        <is>
          <t>custom.forma.3.classe_zero</t>
        </is>
      </c>
      <c r="B7507" s="194">
        <f>IF(ISBLANK('CONFIGURAÇÃO'!$E$1937),"",'CONFIGURAÇÃO'!$E$1937&amp;"")</f>
        <v/>
      </c>
      <c r="C7507" s="194">
        <f>"'CONFIGURAÇÃO'!E1937"</f>
        <v/>
      </c>
      <c r="D7507" s="194" t="inlineStr">
        <is>
          <t>configuração</t>
        </is>
      </c>
    </row>
    <row r="7508">
      <c r="A7508" s="194" t="inlineStr">
        <is>
          <t>custom.forma.3.restricao_embutida</t>
        </is>
      </c>
      <c r="B7508" s="194">
        <f>IF(ISBLANK('CONFIGURAÇÃO'!$E$1938),"",'CONFIGURAÇÃO'!$E$1938&amp;"")</f>
        <v/>
      </c>
      <c r="C7508" s="194">
        <f>"'CONFIGURAÇÃO'!E1938"</f>
        <v/>
      </c>
      <c r="D7508" s="194" t="inlineStr">
        <is>
          <t>configuração</t>
        </is>
      </c>
    </row>
    <row r="7509">
      <c r="A7509" s="194" t="inlineStr">
        <is>
          <t>custom.forma.3.alcance_escada</t>
        </is>
      </c>
      <c r="B7509" s="194">
        <f>IF(ISBLANK('CONFIGURAÇÃO'!$E$1939),"",'CONFIGURAÇÃO'!$E$1939&amp;"")</f>
        <v/>
      </c>
      <c r="C7509" s="194">
        <f>"'CONFIGURAÇÃO'!E1939"</f>
        <v/>
      </c>
      <c r="D7509" s="194" t="inlineStr">
        <is>
          <t>configuração</t>
        </is>
      </c>
    </row>
    <row r="7510">
      <c r="A7510" s="194" t="inlineStr">
        <is>
          <t>custom.forma.3.area_escada</t>
        </is>
      </c>
      <c r="B7510" s="194">
        <f>IF(ISBLANK('CONFIGURAÇÃO'!$E$1940),"",'CONFIGURAÇÃO'!$E$1940&amp;"")</f>
        <v/>
      </c>
      <c r="C7510" s="194">
        <f>"'CONFIGURAÇÃO'!E1940"</f>
        <v/>
      </c>
      <c r="D7510" s="194" t="inlineStr">
        <is>
          <t>configuração</t>
        </is>
      </c>
    </row>
    <row r="7511">
      <c r="A7511" s="194" t="inlineStr">
        <is>
          <t>custom.forma.3.alcance_personagem_classe_0</t>
        </is>
      </c>
      <c r="B7511" s="194">
        <f>IF(ISBLANK('CONFIGURAÇÃO'!$E$1941),"",'CONFIGURAÇÃO'!$E$1941&amp;"")</f>
        <v/>
      </c>
      <c r="C7511" s="194">
        <f>"'CONFIGURAÇÃO'!E1941"</f>
        <v/>
      </c>
      <c r="D7511" s="194" t="inlineStr">
        <is>
          <t>configuração</t>
        </is>
      </c>
    </row>
    <row r="7512">
      <c r="A7512" s="194" t="inlineStr">
        <is>
          <t>custom.forma.3.alcance_personagem_classes_1_a_5</t>
        </is>
      </c>
      <c r="B7512" s="194">
        <f>IF(ISBLANK('CONFIGURAÇÃO'!$E$1942),"",'CONFIGURAÇÃO'!$E$1942&amp;"")</f>
        <v/>
      </c>
      <c r="C7512" s="194">
        <f>"'CONFIGURAÇÃO'!E1942"</f>
        <v/>
      </c>
      <c r="D7512" s="194" t="inlineStr">
        <is>
          <t>configuração</t>
        </is>
      </c>
    </row>
    <row r="7513">
      <c r="A7513" s="194" t="inlineStr">
        <is>
          <t>custom.forma.3.alcance_personagem_classes_6_e_7</t>
        </is>
      </c>
      <c r="B7513" s="194">
        <f>IF(ISBLANK('CONFIGURAÇÃO'!$E$1943),"",'CONFIGURAÇÃO'!$E$1943&amp;"")</f>
        <v/>
      </c>
      <c r="C7513" s="194">
        <f>"'CONFIGURAÇÃO'!E1943"</f>
        <v/>
      </c>
      <c r="D7513" s="194" t="inlineStr">
        <is>
          <t>configuração</t>
        </is>
      </c>
    </row>
    <row r="7514">
      <c r="A7514" s="194" t="inlineStr">
        <is>
          <t>custom.forma.3.alcance_entidade_classe_0</t>
        </is>
      </c>
      <c r="B7514" s="194">
        <f>IF(ISBLANK('CONFIGURAÇÃO'!$E$1944),"",'CONFIGURAÇÃO'!$E$1944&amp;"")</f>
        <v/>
      </c>
      <c r="C7514" s="194">
        <f>"'CONFIGURAÇÃO'!E1944"</f>
        <v/>
      </c>
      <c r="D7514" s="194" t="inlineStr">
        <is>
          <t>configuração</t>
        </is>
      </c>
    </row>
    <row r="7515">
      <c r="A7515" s="194" t="inlineStr">
        <is>
          <t>custom.forma.3.alcance_entidade_classes_1_a_5</t>
        </is>
      </c>
      <c r="B7515" s="194">
        <f>IF(ISBLANK('CONFIGURAÇÃO'!$E$1945),"",'CONFIGURAÇÃO'!$E$1945&amp;"")</f>
        <v/>
      </c>
      <c r="C7515" s="194">
        <f>"'CONFIGURAÇÃO'!E1945"</f>
        <v/>
      </c>
      <c r="D7515" s="194" t="inlineStr">
        <is>
          <t>configuração</t>
        </is>
      </c>
    </row>
    <row r="7516">
      <c r="A7516" s="194" t="inlineStr">
        <is>
          <t>custom.forma.3.alcance_entidade_classe_6</t>
        </is>
      </c>
      <c r="B7516" s="194">
        <f>IF(ISBLANK('CONFIGURAÇÃO'!$E$1946),"",'CONFIGURAÇÃO'!$E$1946&amp;"")</f>
        <v/>
      </c>
      <c r="C7516" s="194">
        <f>"'CONFIGURAÇÃO'!E1946"</f>
        <v/>
      </c>
      <c r="D7516" s="194" t="inlineStr">
        <is>
          <t>configuração</t>
        </is>
      </c>
    </row>
    <row r="7517">
      <c r="A7517" s="194" t="inlineStr">
        <is>
          <t>custom.forma.3.alcance_entidade_classe_7</t>
        </is>
      </c>
      <c r="B7517" s="194">
        <f>IF(ISBLANK('CONFIGURAÇÃO'!$E$1947),"",'CONFIGURAÇÃO'!$E$1947&amp;"")</f>
        <v/>
      </c>
      <c r="C7517" s="194">
        <f>"'CONFIGURAÇÃO'!E1947"</f>
        <v/>
      </c>
      <c r="D7517" s="194" t="inlineStr">
        <is>
          <t>configuração</t>
        </is>
      </c>
    </row>
    <row r="7518">
      <c r="A7518" s="194" t="inlineStr">
        <is>
          <t>custom.forma.3.area_personagem_classe_0</t>
        </is>
      </c>
      <c r="B7518" s="194">
        <f>IF(ISBLANK('CONFIGURAÇÃO'!$E$1948),"",'CONFIGURAÇÃO'!$E$1948&amp;"")</f>
        <v/>
      </c>
      <c r="C7518" s="194">
        <f>"'CONFIGURAÇÃO'!E1948"</f>
        <v/>
      </c>
      <c r="D7518" s="194" t="inlineStr">
        <is>
          <t>configuração</t>
        </is>
      </c>
    </row>
    <row r="7519">
      <c r="A7519" s="194" t="inlineStr">
        <is>
          <t>custom.forma.3.area_personagem_classes_1_a_5</t>
        </is>
      </c>
      <c r="B7519" s="194">
        <f>IF(ISBLANK('CONFIGURAÇÃO'!$E$1949),"",'CONFIGURAÇÃO'!$E$1949&amp;"")</f>
        <v/>
      </c>
      <c r="C7519" s="194">
        <f>"'CONFIGURAÇÃO'!E1949"</f>
        <v/>
      </c>
      <c r="D7519" s="194" t="inlineStr">
        <is>
          <t>configuração</t>
        </is>
      </c>
    </row>
    <row r="7520">
      <c r="A7520" s="194" t="inlineStr">
        <is>
          <t>custom.forma.3.area_personagem_classes_6_e_7</t>
        </is>
      </c>
      <c r="B7520" s="194">
        <f>IF(ISBLANK('CONFIGURAÇÃO'!$E$1950),"",'CONFIGURAÇÃO'!$E$1950&amp;"")</f>
        <v/>
      </c>
      <c r="C7520" s="194">
        <f>"'CONFIGURAÇÃO'!E1950"</f>
        <v/>
      </c>
      <c r="D7520" s="194" t="inlineStr">
        <is>
          <t>configuração</t>
        </is>
      </c>
    </row>
    <row r="7521">
      <c r="A7521" s="194" t="inlineStr">
        <is>
          <t>custom.forma.3.area_entidade_classe_0</t>
        </is>
      </c>
      <c r="B7521" s="194">
        <f>IF(ISBLANK('CONFIGURAÇÃO'!$E$1951),"",'CONFIGURAÇÃO'!$E$1951&amp;"")</f>
        <v/>
      </c>
      <c r="C7521" s="194">
        <f>"'CONFIGURAÇÃO'!E1951"</f>
        <v/>
      </c>
      <c r="D7521" s="194" t="inlineStr">
        <is>
          <t>configuração</t>
        </is>
      </c>
    </row>
    <row r="7522">
      <c r="A7522" s="194" t="inlineStr">
        <is>
          <t>custom.forma.3.area_entidade_classes_1_a_5</t>
        </is>
      </c>
      <c r="B7522" s="194">
        <f>IF(ISBLANK('CONFIGURAÇÃO'!$E$1952),"",'CONFIGURAÇÃO'!$E$1952&amp;"")</f>
        <v/>
      </c>
      <c r="C7522" s="194">
        <f>"'CONFIGURAÇÃO'!E1952"</f>
        <v/>
      </c>
      <c r="D7522" s="194" t="inlineStr">
        <is>
          <t>configuração</t>
        </is>
      </c>
    </row>
    <row r="7523">
      <c r="A7523" s="194" t="inlineStr">
        <is>
          <t>custom.forma.3.area_entidade_classe_6</t>
        </is>
      </c>
      <c r="B7523" s="194">
        <f>IF(ISBLANK('CONFIGURAÇÃO'!$E$1953),"",'CONFIGURAÇÃO'!$E$1953&amp;"")</f>
        <v/>
      </c>
      <c r="C7523" s="194">
        <f>"'CONFIGURAÇÃO'!E1953"</f>
        <v/>
      </c>
      <c r="D7523" s="194" t="inlineStr">
        <is>
          <t>configuração</t>
        </is>
      </c>
    </row>
    <row r="7524">
      <c r="A7524" s="194" t="inlineStr">
        <is>
          <t>custom.forma.3.area_entidade_classe_7</t>
        </is>
      </c>
      <c r="B7524" s="194">
        <f>IF(ISBLANK('CONFIGURAÇÃO'!$E$1954),"",'CONFIGURAÇÃO'!$E$1954&amp;"")</f>
        <v/>
      </c>
      <c r="C7524" s="194">
        <f>"'CONFIGURAÇÃO'!E1954"</f>
        <v/>
      </c>
      <c r="D7524" s="194" t="inlineStr">
        <is>
          <t>configuração</t>
        </is>
      </c>
    </row>
    <row r="7525">
      <c r="A7525" s="194" t="inlineStr">
        <is>
          <t>custom.forma.4.tipo</t>
        </is>
      </c>
      <c r="B7525" s="194">
        <f>IF(ISBLANK('CONFIGURAÇÃO'!$J$1928),"",'CONFIGURAÇÃO'!$J$1928&amp;"")</f>
        <v/>
      </c>
      <c r="C7525" s="194">
        <f>"'CONFIGURAÇÃO'!J1928"</f>
        <v/>
      </c>
      <c r="D7525" s="194" t="inlineStr">
        <is>
          <t>configuração</t>
        </is>
      </c>
    </row>
    <row r="7526">
      <c r="A7526" s="194" t="inlineStr">
        <is>
          <t>custom.forma.4.nome</t>
        </is>
      </c>
      <c r="B7526" s="194">
        <f>IF(ISBLANK('CONFIGURAÇÃO'!$J$1930),"",'CONFIGURAÇÃO'!$J$1930&amp;"")</f>
        <v/>
      </c>
      <c r="C7526" s="194">
        <f>"'CONFIGURAÇÃO'!J1930"</f>
        <v/>
      </c>
      <c r="D7526" s="194" t="inlineStr">
        <is>
          <t>configuração</t>
        </is>
      </c>
    </row>
    <row r="7527">
      <c r="A7527" s="194" t="inlineStr">
        <is>
          <t>custom.forma.4.base</t>
        </is>
      </c>
      <c r="B7527" s="194">
        <f>IF(ISBLANK('CONFIGURAÇÃO'!$M$1931),"",'CONFIGURAÇÃO'!$M$1931&amp;"")</f>
        <v/>
      </c>
      <c r="C7527" s="194">
        <f>"'CONFIGURAÇÃO'!M1931"</f>
        <v/>
      </c>
      <c r="D7527" s="194" t="inlineStr">
        <is>
          <t>configuração</t>
        </is>
      </c>
    </row>
    <row r="7528">
      <c r="A7528" s="194" t="inlineStr">
        <is>
          <t>custom.forma.4.mestre_viu</t>
        </is>
      </c>
      <c r="B7528" s="194">
        <f>N('CONFIGURAÇÃO'!$N$1928)&amp;""</f>
        <v/>
      </c>
      <c r="C7528" s="194">
        <f>"'CONFIGURAÇÃO'!N1928"</f>
        <v/>
      </c>
      <c r="D7528" s="194" t="inlineStr">
        <is>
          <t>configuração</t>
        </is>
      </c>
    </row>
    <row r="7529">
      <c r="A7529" s="194" t="inlineStr">
        <is>
          <t>custom.forma.4.requisitos</t>
        </is>
      </c>
      <c r="B7529" s="194">
        <f>IF(ISBLANK('CONFIGURAÇÃO'!$J$1957),"",'CONFIGURAÇÃO'!$J$1957&amp;"")</f>
        <v/>
      </c>
      <c r="C7529" s="194">
        <f>"'CONFIGURAÇÃO'!J1957"</f>
        <v/>
      </c>
      <c r="D7529" s="194" t="inlineStr">
        <is>
          <t>configuração</t>
        </is>
      </c>
    </row>
    <row r="7530">
      <c r="A7530" s="194" t="inlineStr">
        <is>
          <t>custom.forma.4.efeito</t>
        </is>
      </c>
      <c r="B7530" s="194">
        <f>IF(ISBLANK('CONFIGURAÇÃO'!$J$1963),"",'CONFIGURAÇÃO'!$J$1963&amp;"")</f>
        <v/>
      </c>
      <c r="C7530" s="194">
        <f>"'CONFIGURAÇÃO'!J1963"</f>
        <v/>
      </c>
      <c r="D7530" s="194" t="inlineStr">
        <is>
          <t>configuração</t>
        </is>
      </c>
    </row>
    <row r="7531">
      <c r="A7531" s="194" t="inlineStr">
        <is>
          <t>custom.forma.4.familia</t>
        </is>
      </c>
      <c r="B7531" s="194">
        <f>IF(ISBLANK('CONFIGURAÇÃO'!$M$1932),"",'CONFIGURAÇÃO'!$M$1932&amp;"")</f>
        <v/>
      </c>
      <c r="C7531" s="194">
        <f>"'CONFIGURAÇÃO'!M1932"</f>
        <v/>
      </c>
      <c r="D7531" s="194" t="inlineStr">
        <is>
          <t>configuração</t>
        </is>
      </c>
    </row>
    <row r="7532">
      <c r="A7532" s="194" t="inlineStr">
        <is>
          <t>custom.forma.4.peso</t>
        </is>
      </c>
      <c r="B7532" s="194">
        <f>IF(ISBLANK('CONFIGURAÇÃO'!$M$1933),"",'CONFIGURAÇÃO'!$M$1933&amp;"")</f>
        <v/>
      </c>
      <c r="C7532" s="194">
        <f>"'CONFIGURAÇÃO'!M1933"</f>
        <v/>
      </c>
      <c r="D7532" s="194" t="inlineStr">
        <is>
          <t>configuração</t>
        </is>
      </c>
    </row>
    <row r="7533">
      <c r="A7533" s="194" t="inlineStr">
        <is>
          <t>custom.forma.4.resolucao</t>
        </is>
      </c>
      <c r="B7533" s="194">
        <f>IF(ISBLANK('CONFIGURAÇÃO'!$M$1934),"",'CONFIGURAÇÃO'!$M$1934&amp;"")</f>
        <v/>
      </c>
      <c r="C7533" s="194">
        <f>"'CONFIGURAÇÃO'!M1934"</f>
        <v/>
      </c>
      <c r="D7533" s="194" t="inlineStr">
        <is>
          <t>configuração</t>
        </is>
      </c>
    </row>
    <row r="7534">
      <c r="A7534" s="194" t="inlineStr">
        <is>
          <t>custom.forma.4.resultado</t>
        </is>
      </c>
      <c r="B7534" s="194">
        <f>IF(ISBLANK('CONFIGURAÇÃO'!$M$1935),"",'CONFIGURAÇÃO'!$M$1935&amp;"")</f>
        <v/>
      </c>
      <c r="C7534" s="194">
        <f>"'CONFIGURAÇÃO'!M1935"</f>
        <v/>
      </c>
      <c r="D7534" s="194" t="inlineStr">
        <is>
          <t>configuração</t>
        </is>
      </c>
    </row>
    <row r="7535">
      <c r="A7535" s="194" t="inlineStr">
        <is>
          <t>custom.forma.4.exige_tr</t>
        </is>
      </c>
      <c r="B7535" s="194">
        <f>IF(ISBLANK('CONFIGURAÇÃO'!$M$1936),"",'CONFIGURAÇÃO'!$M$1936&amp;"")</f>
        <v/>
      </c>
      <c r="C7535" s="194">
        <f>"'CONFIGURAÇÃO'!M1936"</f>
        <v/>
      </c>
      <c r="D7535" s="194" t="inlineStr">
        <is>
          <t>configuração</t>
        </is>
      </c>
    </row>
    <row r="7536">
      <c r="A7536" s="194" t="inlineStr">
        <is>
          <t>custom.forma.4.classe_zero</t>
        </is>
      </c>
      <c r="B7536" s="194">
        <f>IF(ISBLANK('CONFIGURAÇÃO'!$M$1937),"",'CONFIGURAÇÃO'!$M$1937&amp;"")</f>
        <v/>
      </c>
      <c r="C7536" s="194">
        <f>"'CONFIGURAÇÃO'!M1937"</f>
        <v/>
      </c>
      <c r="D7536" s="194" t="inlineStr">
        <is>
          <t>configuração</t>
        </is>
      </c>
    </row>
    <row r="7537">
      <c r="A7537" s="194" t="inlineStr">
        <is>
          <t>custom.forma.4.restricao_embutida</t>
        </is>
      </c>
      <c r="B7537" s="194">
        <f>IF(ISBLANK('CONFIGURAÇÃO'!$M$1938),"",'CONFIGURAÇÃO'!$M$1938&amp;"")</f>
        <v/>
      </c>
      <c r="C7537" s="194">
        <f>"'CONFIGURAÇÃO'!M1938"</f>
        <v/>
      </c>
      <c r="D7537" s="194" t="inlineStr">
        <is>
          <t>configuração</t>
        </is>
      </c>
    </row>
    <row r="7538">
      <c r="A7538" s="194" t="inlineStr">
        <is>
          <t>custom.forma.4.alcance_escada</t>
        </is>
      </c>
      <c r="B7538" s="194">
        <f>IF(ISBLANK('CONFIGURAÇÃO'!$M$1939),"",'CONFIGURAÇÃO'!$M$1939&amp;"")</f>
        <v/>
      </c>
      <c r="C7538" s="194">
        <f>"'CONFIGURAÇÃO'!M1939"</f>
        <v/>
      </c>
      <c r="D7538" s="194" t="inlineStr">
        <is>
          <t>configuração</t>
        </is>
      </c>
    </row>
    <row r="7539">
      <c r="A7539" s="194" t="inlineStr">
        <is>
          <t>custom.forma.4.area_escada</t>
        </is>
      </c>
      <c r="B7539" s="194">
        <f>IF(ISBLANK('CONFIGURAÇÃO'!$M$1940),"",'CONFIGURAÇÃO'!$M$1940&amp;"")</f>
        <v/>
      </c>
      <c r="C7539" s="194">
        <f>"'CONFIGURAÇÃO'!M1940"</f>
        <v/>
      </c>
      <c r="D7539" s="194" t="inlineStr">
        <is>
          <t>configuração</t>
        </is>
      </c>
    </row>
    <row r="7540">
      <c r="A7540" s="194" t="inlineStr">
        <is>
          <t>custom.forma.4.alcance_personagem_classe_0</t>
        </is>
      </c>
      <c r="B7540" s="194">
        <f>IF(ISBLANK('CONFIGURAÇÃO'!$M$1941),"",'CONFIGURAÇÃO'!$M$1941&amp;"")</f>
        <v/>
      </c>
      <c r="C7540" s="194">
        <f>"'CONFIGURAÇÃO'!M1941"</f>
        <v/>
      </c>
      <c r="D7540" s="194" t="inlineStr">
        <is>
          <t>configuração</t>
        </is>
      </c>
    </row>
    <row r="7541">
      <c r="A7541" s="194" t="inlineStr">
        <is>
          <t>custom.forma.4.alcance_personagem_classes_1_a_5</t>
        </is>
      </c>
      <c r="B7541" s="194">
        <f>IF(ISBLANK('CONFIGURAÇÃO'!$M$1942),"",'CONFIGURAÇÃO'!$M$1942&amp;"")</f>
        <v/>
      </c>
      <c r="C7541" s="194">
        <f>"'CONFIGURAÇÃO'!M1942"</f>
        <v/>
      </c>
      <c r="D7541" s="194" t="inlineStr">
        <is>
          <t>configuração</t>
        </is>
      </c>
    </row>
    <row r="7542">
      <c r="A7542" s="194" t="inlineStr">
        <is>
          <t>custom.forma.4.alcance_personagem_classes_6_e_7</t>
        </is>
      </c>
      <c r="B7542" s="194">
        <f>IF(ISBLANK('CONFIGURAÇÃO'!$M$1943),"",'CONFIGURAÇÃO'!$M$1943&amp;"")</f>
        <v/>
      </c>
      <c r="C7542" s="194">
        <f>"'CONFIGURAÇÃO'!M1943"</f>
        <v/>
      </c>
      <c r="D7542" s="194" t="inlineStr">
        <is>
          <t>configuração</t>
        </is>
      </c>
    </row>
    <row r="7543">
      <c r="A7543" s="194" t="inlineStr">
        <is>
          <t>custom.forma.4.alcance_entidade_classe_0</t>
        </is>
      </c>
      <c r="B7543" s="194">
        <f>IF(ISBLANK('CONFIGURAÇÃO'!$M$1944),"",'CONFIGURAÇÃO'!$M$1944&amp;"")</f>
        <v/>
      </c>
      <c r="C7543" s="194">
        <f>"'CONFIGURAÇÃO'!M1944"</f>
        <v/>
      </c>
      <c r="D7543" s="194" t="inlineStr">
        <is>
          <t>configuração</t>
        </is>
      </c>
    </row>
    <row r="7544">
      <c r="A7544" s="194" t="inlineStr">
        <is>
          <t>custom.forma.4.alcance_entidade_classes_1_a_5</t>
        </is>
      </c>
      <c r="B7544" s="194">
        <f>IF(ISBLANK('CONFIGURAÇÃO'!$M$1945),"",'CONFIGURAÇÃO'!$M$1945&amp;"")</f>
        <v/>
      </c>
      <c r="C7544" s="194">
        <f>"'CONFIGURAÇÃO'!M1945"</f>
        <v/>
      </c>
      <c r="D7544" s="194" t="inlineStr">
        <is>
          <t>configuração</t>
        </is>
      </c>
    </row>
    <row r="7545">
      <c r="A7545" s="194" t="inlineStr">
        <is>
          <t>custom.forma.4.alcance_entidade_classe_6</t>
        </is>
      </c>
      <c r="B7545" s="194">
        <f>IF(ISBLANK('CONFIGURAÇÃO'!$M$1946),"",'CONFIGURAÇÃO'!$M$1946&amp;"")</f>
        <v/>
      </c>
      <c r="C7545" s="194">
        <f>"'CONFIGURAÇÃO'!M1946"</f>
        <v/>
      </c>
      <c r="D7545" s="194" t="inlineStr">
        <is>
          <t>configuração</t>
        </is>
      </c>
    </row>
    <row r="7546">
      <c r="A7546" s="194" t="inlineStr">
        <is>
          <t>custom.forma.4.alcance_entidade_classe_7</t>
        </is>
      </c>
      <c r="B7546" s="194">
        <f>IF(ISBLANK('CONFIGURAÇÃO'!$M$1947),"",'CONFIGURAÇÃO'!$M$1947&amp;"")</f>
        <v/>
      </c>
      <c r="C7546" s="194">
        <f>"'CONFIGURAÇÃO'!M1947"</f>
        <v/>
      </c>
      <c r="D7546" s="194" t="inlineStr">
        <is>
          <t>configuração</t>
        </is>
      </c>
    </row>
    <row r="7547">
      <c r="A7547" s="194" t="inlineStr">
        <is>
          <t>custom.forma.4.area_personagem_classe_0</t>
        </is>
      </c>
      <c r="B7547" s="194">
        <f>IF(ISBLANK('CONFIGURAÇÃO'!$M$1948),"",'CONFIGURAÇÃO'!$M$1948&amp;"")</f>
        <v/>
      </c>
      <c r="C7547" s="194">
        <f>"'CONFIGURAÇÃO'!M1948"</f>
        <v/>
      </c>
      <c r="D7547" s="194" t="inlineStr">
        <is>
          <t>configuração</t>
        </is>
      </c>
    </row>
    <row r="7548">
      <c r="A7548" s="194" t="inlineStr">
        <is>
          <t>custom.forma.4.area_personagem_classes_1_a_5</t>
        </is>
      </c>
      <c r="B7548" s="194">
        <f>IF(ISBLANK('CONFIGURAÇÃO'!$M$1949),"",'CONFIGURAÇÃO'!$M$1949&amp;"")</f>
        <v/>
      </c>
      <c r="C7548" s="194">
        <f>"'CONFIGURAÇÃO'!M1949"</f>
        <v/>
      </c>
      <c r="D7548" s="194" t="inlineStr">
        <is>
          <t>configuração</t>
        </is>
      </c>
    </row>
    <row r="7549">
      <c r="A7549" s="194" t="inlineStr">
        <is>
          <t>custom.forma.4.area_personagem_classes_6_e_7</t>
        </is>
      </c>
      <c r="B7549" s="194">
        <f>IF(ISBLANK('CONFIGURAÇÃO'!$M$1950),"",'CONFIGURAÇÃO'!$M$1950&amp;"")</f>
        <v/>
      </c>
      <c r="C7549" s="194">
        <f>"'CONFIGURAÇÃO'!M1950"</f>
        <v/>
      </c>
      <c r="D7549" s="194" t="inlineStr">
        <is>
          <t>configuração</t>
        </is>
      </c>
    </row>
    <row r="7550">
      <c r="A7550" s="194" t="inlineStr">
        <is>
          <t>custom.forma.4.area_entidade_classe_0</t>
        </is>
      </c>
      <c r="B7550" s="194">
        <f>IF(ISBLANK('CONFIGURAÇÃO'!$M$1951),"",'CONFIGURAÇÃO'!$M$1951&amp;"")</f>
        <v/>
      </c>
      <c r="C7550" s="194">
        <f>"'CONFIGURAÇÃO'!M1951"</f>
        <v/>
      </c>
      <c r="D7550" s="194" t="inlineStr">
        <is>
          <t>configuração</t>
        </is>
      </c>
    </row>
    <row r="7551">
      <c r="A7551" s="194" t="inlineStr">
        <is>
          <t>custom.forma.4.area_entidade_classes_1_a_5</t>
        </is>
      </c>
      <c r="B7551" s="194">
        <f>IF(ISBLANK('CONFIGURAÇÃO'!$M$1952),"",'CONFIGURAÇÃO'!$M$1952&amp;"")</f>
        <v/>
      </c>
      <c r="C7551" s="194">
        <f>"'CONFIGURAÇÃO'!M1952"</f>
        <v/>
      </c>
      <c r="D7551" s="194" t="inlineStr">
        <is>
          <t>configuração</t>
        </is>
      </c>
    </row>
    <row r="7552">
      <c r="A7552" s="194" t="inlineStr">
        <is>
          <t>custom.forma.4.area_entidade_classe_6</t>
        </is>
      </c>
      <c r="B7552" s="194">
        <f>IF(ISBLANK('CONFIGURAÇÃO'!$M$1953),"",'CONFIGURAÇÃO'!$M$1953&amp;"")</f>
        <v/>
      </c>
      <c r="C7552" s="194">
        <f>"'CONFIGURAÇÃO'!M1953"</f>
        <v/>
      </c>
      <c r="D7552" s="194" t="inlineStr">
        <is>
          <t>configuração</t>
        </is>
      </c>
    </row>
    <row r="7553">
      <c r="A7553" s="194" t="inlineStr">
        <is>
          <t>custom.forma.4.area_entidade_classe_7</t>
        </is>
      </c>
      <c r="B7553" s="194">
        <f>IF(ISBLANK('CONFIGURAÇÃO'!$M$1954),"",'CONFIGURAÇÃO'!$M$1954&amp;"")</f>
        <v/>
      </c>
      <c r="C7553" s="194">
        <f>"'CONFIGURAÇÃO'!M1954"</f>
        <v/>
      </c>
      <c r="D7553" s="194" t="inlineStr">
        <is>
          <t>configuração</t>
        </is>
      </c>
    </row>
    <row r="7554">
      <c r="A7554" s="194" t="inlineStr">
        <is>
          <t>custom.forma.5.tipo</t>
        </is>
      </c>
      <c r="B7554" s="194">
        <f>IF(ISBLANK('CONFIGURAÇÃO'!$B$1974),"",'CONFIGURAÇÃO'!$B$1974&amp;"")</f>
        <v/>
      </c>
      <c r="C7554" s="194">
        <f>"'CONFIGURAÇÃO'!B1974"</f>
        <v/>
      </c>
      <c r="D7554" s="194" t="inlineStr">
        <is>
          <t>configuração</t>
        </is>
      </c>
    </row>
    <row r="7555">
      <c r="A7555" s="194" t="inlineStr">
        <is>
          <t>custom.forma.5.nome</t>
        </is>
      </c>
      <c r="B7555" s="194">
        <f>IF(ISBLANK('CONFIGURAÇÃO'!$B$1976),"",'CONFIGURAÇÃO'!$B$1976&amp;"")</f>
        <v/>
      </c>
      <c r="C7555" s="194">
        <f>"'CONFIGURAÇÃO'!B1976"</f>
        <v/>
      </c>
      <c r="D7555" s="194" t="inlineStr">
        <is>
          <t>configuração</t>
        </is>
      </c>
    </row>
    <row r="7556">
      <c r="A7556" s="194" t="inlineStr">
        <is>
          <t>custom.forma.5.base</t>
        </is>
      </c>
      <c r="B7556" s="194">
        <f>IF(ISBLANK('CONFIGURAÇÃO'!$E$1977),"",'CONFIGURAÇÃO'!$E$1977&amp;"")</f>
        <v/>
      </c>
      <c r="C7556" s="194">
        <f>"'CONFIGURAÇÃO'!E1977"</f>
        <v/>
      </c>
      <c r="D7556" s="194" t="inlineStr">
        <is>
          <t>configuração</t>
        </is>
      </c>
    </row>
    <row r="7557">
      <c r="A7557" s="194" t="inlineStr">
        <is>
          <t>custom.forma.5.mestre_viu</t>
        </is>
      </c>
      <c r="B7557" s="194">
        <f>N('CONFIGURAÇÃO'!$F$1974)&amp;""</f>
        <v/>
      </c>
      <c r="C7557" s="194">
        <f>"'CONFIGURAÇÃO'!F1974"</f>
        <v/>
      </c>
      <c r="D7557" s="194" t="inlineStr">
        <is>
          <t>configuração</t>
        </is>
      </c>
    </row>
    <row r="7558">
      <c r="A7558" s="194" t="inlineStr">
        <is>
          <t>custom.forma.5.requisitos</t>
        </is>
      </c>
      <c r="B7558" s="194">
        <f>IF(ISBLANK('CONFIGURAÇÃO'!$B$2003),"",'CONFIGURAÇÃO'!$B$2003&amp;"")</f>
        <v/>
      </c>
      <c r="C7558" s="194">
        <f>"'CONFIGURAÇÃO'!B2003"</f>
        <v/>
      </c>
      <c r="D7558" s="194" t="inlineStr">
        <is>
          <t>configuração</t>
        </is>
      </c>
    </row>
    <row r="7559">
      <c r="A7559" s="194" t="inlineStr">
        <is>
          <t>custom.forma.5.efeito</t>
        </is>
      </c>
      <c r="B7559" s="194">
        <f>IF(ISBLANK('CONFIGURAÇÃO'!$B$2009),"",'CONFIGURAÇÃO'!$B$2009&amp;"")</f>
        <v/>
      </c>
      <c r="C7559" s="194">
        <f>"'CONFIGURAÇÃO'!B2009"</f>
        <v/>
      </c>
      <c r="D7559" s="194" t="inlineStr">
        <is>
          <t>configuração</t>
        </is>
      </c>
    </row>
    <row r="7560">
      <c r="A7560" s="194" t="inlineStr">
        <is>
          <t>custom.forma.5.familia</t>
        </is>
      </c>
      <c r="B7560" s="194">
        <f>IF(ISBLANK('CONFIGURAÇÃO'!$E$1978),"",'CONFIGURAÇÃO'!$E$1978&amp;"")</f>
        <v/>
      </c>
      <c r="C7560" s="194">
        <f>"'CONFIGURAÇÃO'!E1978"</f>
        <v/>
      </c>
      <c r="D7560" s="194" t="inlineStr">
        <is>
          <t>configuração</t>
        </is>
      </c>
    </row>
    <row r="7561">
      <c r="A7561" s="194" t="inlineStr">
        <is>
          <t>custom.forma.5.peso</t>
        </is>
      </c>
      <c r="B7561" s="194">
        <f>IF(ISBLANK('CONFIGURAÇÃO'!$E$1979),"",'CONFIGURAÇÃO'!$E$1979&amp;"")</f>
        <v/>
      </c>
      <c r="C7561" s="194">
        <f>"'CONFIGURAÇÃO'!E1979"</f>
        <v/>
      </c>
      <c r="D7561" s="194" t="inlineStr">
        <is>
          <t>configuração</t>
        </is>
      </c>
    </row>
    <row r="7562">
      <c r="A7562" s="194" t="inlineStr">
        <is>
          <t>custom.forma.5.resolucao</t>
        </is>
      </c>
      <c r="B7562" s="194">
        <f>IF(ISBLANK('CONFIGURAÇÃO'!$E$1980),"",'CONFIGURAÇÃO'!$E$1980&amp;"")</f>
        <v/>
      </c>
      <c r="C7562" s="194">
        <f>"'CONFIGURAÇÃO'!E1980"</f>
        <v/>
      </c>
      <c r="D7562" s="194" t="inlineStr">
        <is>
          <t>configuração</t>
        </is>
      </c>
    </row>
    <row r="7563">
      <c r="A7563" s="194" t="inlineStr">
        <is>
          <t>custom.forma.5.resultado</t>
        </is>
      </c>
      <c r="B7563" s="194">
        <f>IF(ISBLANK('CONFIGURAÇÃO'!$E$1981),"",'CONFIGURAÇÃO'!$E$1981&amp;"")</f>
        <v/>
      </c>
      <c r="C7563" s="194">
        <f>"'CONFIGURAÇÃO'!E1981"</f>
        <v/>
      </c>
      <c r="D7563" s="194" t="inlineStr">
        <is>
          <t>configuração</t>
        </is>
      </c>
    </row>
    <row r="7564">
      <c r="A7564" s="194" t="inlineStr">
        <is>
          <t>custom.forma.5.exige_tr</t>
        </is>
      </c>
      <c r="B7564" s="194">
        <f>IF(ISBLANK('CONFIGURAÇÃO'!$E$1982),"",'CONFIGURAÇÃO'!$E$1982&amp;"")</f>
        <v/>
      </c>
      <c r="C7564" s="194">
        <f>"'CONFIGURAÇÃO'!E1982"</f>
        <v/>
      </c>
      <c r="D7564" s="194" t="inlineStr">
        <is>
          <t>configuração</t>
        </is>
      </c>
    </row>
    <row r="7565">
      <c r="A7565" s="194" t="inlineStr">
        <is>
          <t>custom.forma.5.classe_zero</t>
        </is>
      </c>
      <c r="B7565" s="194">
        <f>IF(ISBLANK('CONFIGURAÇÃO'!$E$1983),"",'CONFIGURAÇÃO'!$E$1983&amp;"")</f>
        <v/>
      </c>
      <c r="C7565" s="194">
        <f>"'CONFIGURAÇÃO'!E1983"</f>
        <v/>
      </c>
      <c r="D7565" s="194" t="inlineStr">
        <is>
          <t>configuração</t>
        </is>
      </c>
    </row>
    <row r="7566">
      <c r="A7566" s="194" t="inlineStr">
        <is>
          <t>custom.forma.5.restricao_embutida</t>
        </is>
      </c>
      <c r="B7566" s="194">
        <f>IF(ISBLANK('CONFIGURAÇÃO'!$E$1984),"",'CONFIGURAÇÃO'!$E$1984&amp;"")</f>
        <v/>
      </c>
      <c r="C7566" s="194">
        <f>"'CONFIGURAÇÃO'!E1984"</f>
        <v/>
      </c>
      <c r="D7566" s="194" t="inlineStr">
        <is>
          <t>configuração</t>
        </is>
      </c>
    </row>
    <row r="7567">
      <c r="A7567" s="194" t="inlineStr">
        <is>
          <t>custom.forma.5.alcance_escada</t>
        </is>
      </c>
      <c r="B7567" s="194">
        <f>IF(ISBLANK('CONFIGURAÇÃO'!$E$1985),"",'CONFIGURAÇÃO'!$E$1985&amp;"")</f>
        <v/>
      </c>
      <c r="C7567" s="194">
        <f>"'CONFIGURAÇÃO'!E1985"</f>
        <v/>
      </c>
      <c r="D7567" s="194" t="inlineStr">
        <is>
          <t>configuração</t>
        </is>
      </c>
    </row>
    <row r="7568">
      <c r="A7568" s="194" t="inlineStr">
        <is>
          <t>custom.forma.5.area_escada</t>
        </is>
      </c>
      <c r="B7568" s="194">
        <f>IF(ISBLANK('CONFIGURAÇÃO'!$E$1986),"",'CONFIGURAÇÃO'!$E$1986&amp;"")</f>
        <v/>
      </c>
      <c r="C7568" s="194">
        <f>"'CONFIGURAÇÃO'!E1986"</f>
        <v/>
      </c>
      <c r="D7568" s="194" t="inlineStr">
        <is>
          <t>configuração</t>
        </is>
      </c>
    </row>
    <row r="7569">
      <c r="A7569" s="194" t="inlineStr">
        <is>
          <t>custom.forma.5.alcance_personagem_classe_0</t>
        </is>
      </c>
      <c r="B7569" s="194">
        <f>IF(ISBLANK('CONFIGURAÇÃO'!$E$1987),"",'CONFIGURAÇÃO'!$E$1987&amp;"")</f>
        <v/>
      </c>
      <c r="C7569" s="194">
        <f>"'CONFIGURAÇÃO'!E1987"</f>
        <v/>
      </c>
      <c r="D7569" s="194" t="inlineStr">
        <is>
          <t>configuração</t>
        </is>
      </c>
    </row>
    <row r="7570">
      <c r="A7570" s="194" t="inlineStr">
        <is>
          <t>custom.forma.5.alcance_personagem_classes_1_a_5</t>
        </is>
      </c>
      <c r="B7570" s="194">
        <f>IF(ISBLANK('CONFIGURAÇÃO'!$E$1988),"",'CONFIGURAÇÃO'!$E$1988&amp;"")</f>
        <v/>
      </c>
      <c r="C7570" s="194">
        <f>"'CONFIGURAÇÃO'!E1988"</f>
        <v/>
      </c>
      <c r="D7570" s="194" t="inlineStr">
        <is>
          <t>configuração</t>
        </is>
      </c>
    </row>
    <row r="7571">
      <c r="A7571" s="194" t="inlineStr">
        <is>
          <t>custom.forma.5.alcance_personagem_classes_6_e_7</t>
        </is>
      </c>
      <c r="B7571" s="194">
        <f>IF(ISBLANK('CONFIGURAÇÃO'!$E$1989),"",'CONFIGURAÇÃO'!$E$1989&amp;"")</f>
        <v/>
      </c>
      <c r="C7571" s="194">
        <f>"'CONFIGURAÇÃO'!E1989"</f>
        <v/>
      </c>
      <c r="D7571" s="194" t="inlineStr">
        <is>
          <t>configuração</t>
        </is>
      </c>
    </row>
    <row r="7572">
      <c r="A7572" s="194" t="inlineStr">
        <is>
          <t>custom.forma.5.alcance_entidade_classe_0</t>
        </is>
      </c>
      <c r="B7572" s="194">
        <f>IF(ISBLANK('CONFIGURAÇÃO'!$E$1990),"",'CONFIGURAÇÃO'!$E$1990&amp;"")</f>
        <v/>
      </c>
      <c r="C7572" s="194">
        <f>"'CONFIGURAÇÃO'!E1990"</f>
        <v/>
      </c>
      <c r="D7572" s="194" t="inlineStr">
        <is>
          <t>configuração</t>
        </is>
      </c>
    </row>
    <row r="7573">
      <c r="A7573" s="194" t="inlineStr">
        <is>
          <t>custom.forma.5.alcance_entidade_classes_1_a_5</t>
        </is>
      </c>
      <c r="B7573" s="194">
        <f>IF(ISBLANK('CONFIGURAÇÃO'!$E$1991),"",'CONFIGURAÇÃO'!$E$1991&amp;"")</f>
        <v/>
      </c>
      <c r="C7573" s="194">
        <f>"'CONFIGURAÇÃO'!E1991"</f>
        <v/>
      </c>
      <c r="D7573" s="194" t="inlineStr">
        <is>
          <t>configuração</t>
        </is>
      </c>
    </row>
    <row r="7574">
      <c r="A7574" s="194" t="inlineStr">
        <is>
          <t>custom.forma.5.alcance_entidade_classe_6</t>
        </is>
      </c>
      <c r="B7574" s="194">
        <f>IF(ISBLANK('CONFIGURAÇÃO'!$E$1992),"",'CONFIGURAÇÃO'!$E$1992&amp;"")</f>
        <v/>
      </c>
      <c r="C7574" s="194">
        <f>"'CONFIGURAÇÃO'!E1992"</f>
        <v/>
      </c>
      <c r="D7574" s="194" t="inlineStr">
        <is>
          <t>configuração</t>
        </is>
      </c>
    </row>
    <row r="7575">
      <c r="A7575" s="194" t="inlineStr">
        <is>
          <t>custom.forma.5.alcance_entidade_classe_7</t>
        </is>
      </c>
      <c r="B7575" s="194">
        <f>IF(ISBLANK('CONFIGURAÇÃO'!$E$1993),"",'CONFIGURAÇÃO'!$E$1993&amp;"")</f>
        <v/>
      </c>
      <c r="C7575" s="194">
        <f>"'CONFIGURAÇÃO'!E1993"</f>
        <v/>
      </c>
      <c r="D7575" s="194" t="inlineStr">
        <is>
          <t>configuração</t>
        </is>
      </c>
    </row>
    <row r="7576">
      <c r="A7576" s="194" t="inlineStr">
        <is>
          <t>custom.forma.5.area_personagem_classe_0</t>
        </is>
      </c>
      <c r="B7576" s="194">
        <f>IF(ISBLANK('CONFIGURAÇÃO'!$E$1994),"",'CONFIGURAÇÃO'!$E$1994&amp;"")</f>
        <v/>
      </c>
      <c r="C7576" s="194">
        <f>"'CONFIGURAÇÃO'!E1994"</f>
        <v/>
      </c>
      <c r="D7576" s="194" t="inlineStr">
        <is>
          <t>configuração</t>
        </is>
      </c>
    </row>
    <row r="7577">
      <c r="A7577" s="194" t="inlineStr">
        <is>
          <t>custom.forma.5.area_personagem_classes_1_a_5</t>
        </is>
      </c>
      <c r="B7577" s="194">
        <f>IF(ISBLANK('CONFIGURAÇÃO'!$E$1995),"",'CONFIGURAÇÃO'!$E$1995&amp;"")</f>
        <v/>
      </c>
      <c r="C7577" s="194">
        <f>"'CONFIGURAÇÃO'!E1995"</f>
        <v/>
      </c>
      <c r="D7577" s="194" t="inlineStr">
        <is>
          <t>configuração</t>
        </is>
      </c>
    </row>
    <row r="7578">
      <c r="A7578" s="194" t="inlineStr">
        <is>
          <t>custom.forma.5.area_personagem_classes_6_e_7</t>
        </is>
      </c>
      <c r="B7578" s="194">
        <f>IF(ISBLANK('CONFIGURAÇÃO'!$E$1996),"",'CONFIGURAÇÃO'!$E$1996&amp;"")</f>
        <v/>
      </c>
      <c r="C7578" s="194">
        <f>"'CONFIGURAÇÃO'!E1996"</f>
        <v/>
      </c>
      <c r="D7578" s="194" t="inlineStr">
        <is>
          <t>configuração</t>
        </is>
      </c>
    </row>
    <row r="7579">
      <c r="A7579" s="194" t="inlineStr">
        <is>
          <t>custom.forma.5.area_entidade_classe_0</t>
        </is>
      </c>
      <c r="B7579" s="194">
        <f>IF(ISBLANK('CONFIGURAÇÃO'!$E$1997),"",'CONFIGURAÇÃO'!$E$1997&amp;"")</f>
        <v/>
      </c>
      <c r="C7579" s="194">
        <f>"'CONFIGURAÇÃO'!E1997"</f>
        <v/>
      </c>
      <c r="D7579" s="194" t="inlineStr">
        <is>
          <t>configuração</t>
        </is>
      </c>
    </row>
    <row r="7580">
      <c r="A7580" s="194" t="inlineStr">
        <is>
          <t>custom.forma.5.area_entidade_classes_1_a_5</t>
        </is>
      </c>
      <c r="B7580" s="194">
        <f>IF(ISBLANK('CONFIGURAÇÃO'!$E$1998),"",'CONFIGURAÇÃO'!$E$1998&amp;"")</f>
        <v/>
      </c>
      <c r="C7580" s="194">
        <f>"'CONFIGURAÇÃO'!E1998"</f>
        <v/>
      </c>
      <c r="D7580" s="194" t="inlineStr">
        <is>
          <t>configuração</t>
        </is>
      </c>
    </row>
    <row r="7581">
      <c r="A7581" s="194" t="inlineStr">
        <is>
          <t>custom.forma.5.area_entidade_classe_6</t>
        </is>
      </c>
      <c r="B7581" s="194">
        <f>IF(ISBLANK('CONFIGURAÇÃO'!$E$1999),"",'CONFIGURAÇÃO'!$E$1999&amp;"")</f>
        <v/>
      </c>
      <c r="C7581" s="194">
        <f>"'CONFIGURAÇÃO'!E1999"</f>
        <v/>
      </c>
      <c r="D7581" s="194" t="inlineStr">
        <is>
          <t>configuração</t>
        </is>
      </c>
    </row>
    <row r="7582">
      <c r="A7582" s="194" t="inlineStr">
        <is>
          <t>custom.forma.5.area_entidade_classe_7</t>
        </is>
      </c>
      <c r="B7582" s="194">
        <f>IF(ISBLANK('CONFIGURAÇÃO'!$E$2000),"",'CONFIGURAÇÃO'!$E$2000&amp;"")</f>
        <v/>
      </c>
      <c r="C7582" s="194">
        <f>"'CONFIGURAÇÃO'!E2000"</f>
        <v/>
      </c>
      <c r="D7582" s="194" t="inlineStr">
        <is>
          <t>configuração</t>
        </is>
      </c>
    </row>
    <row r="7583">
      <c r="A7583" s="194" t="inlineStr">
        <is>
          <t>custom.forma.6.tipo</t>
        </is>
      </c>
      <c r="B7583" s="194">
        <f>IF(ISBLANK('CONFIGURAÇÃO'!$J$1974),"",'CONFIGURAÇÃO'!$J$1974&amp;"")</f>
        <v/>
      </c>
      <c r="C7583" s="194">
        <f>"'CONFIGURAÇÃO'!J1974"</f>
        <v/>
      </c>
      <c r="D7583" s="194" t="inlineStr">
        <is>
          <t>configuração</t>
        </is>
      </c>
    </row>
    <row r="7584">
      <c r="A7584" s="194" t="inlineStr">
        <is>
          <t>custom.forma.6.nome</t>
        </is>
      </c>
      <c r="B7584" s="194">
        <f>IF(ISBLANK('CONFIGURAÇÃO'!$J$1976),"",'CONFIGURAÇÃO'!$J$1976&amp;"")</f>
        <v/>
      </c>
      <c r="C7584" s="194">
        <f>"'CONFIGURAÇÃO'!J1976"</f>
        <v/>
      </c>
      <c r="D7584" s="194" t="inlineStr">
        <is>
          <t>configuração</t>
        </is>
      </c>
    </row>
    <row r="7585">
      <c r="A7585" s="194" t="inlineStr">
        <is>
          <t>custom.forma.6.base</t>
        </is>
      </c>
      <c r="B7585" s="194">
        <f>IF(ISBLANK('CONFIGURAÇÃO'!$M$1977),"",'CONFIGURAÇÃO'!$M$1977&amp;"")</f>
        <v/>
      </c>
      <c r="C7585" s="194">
        <f>"'CONFIGURAÇÃO'!M1977"</f>
        <v/>
      </c>
      <c r="D7585" s="194" t="inlineStr">
        <is>
          <t>configuração</t>
        </is>
      </c>
    </row>
    <row r="7586">
      <c r="A7586" s="194" t="inlineStr">
        <is>
          <t>custom.forma.6.mestre_viu</t>
        </is>
      </c>
      <c r="B7586" s="194">
        <f>N('CONFIGURAÇÃO'!$N$1974)&amp;""</f>
        <v/>
      </c>
      <c r="C7586" s="194">
        <f>"'CONFIGURAÇÃO'!N1974"</f>
        <v/>
      </c>
      <c r="D7586" s="194" t="inlineStr">
        <is>
          <t>configuração</t>
        </is>
      </c>
    </row>
    <row r="7587">
      <c r="A7587" s="194" t="inlineStr">
        <is>
          <t>custom.forma.6.requisitos</t>
        </is>
      </c>
      <c r="B7587" s="194">
        <f>IF(ISBLANK('CONFIGURAÇÃO'!$J$2003),"",'CONFIGURAÇÃO'!$J$2003&amp;"")</f>
        <v/>
      </c>
      <c r="C7587" s="194">
        <f>"'CONFIGURAÇÃO'!J2003"</f>
        <v/>
      </c>
      <c r="D7587" s="194" t="inlineStr">
        <is>
          <t>configuração</t>
        </is>
      </c>
    </row>
    <row r="7588">
      <c r="A7588" s="194" t="inlineStr">
        <is>
          <t>custom.forma.6.efeito</t>
        </is>
      </c>
      <c r="B7588" s="194">
        <f>IF(ISBLANK('CONFIGURAÇÃO'!$J$2009),"",'CONFIGURAÇÃO'!$J$2009&amp;"")</f>
        <v/>
      </c>
      <c r="C7588" s="194">
        <f>"'CONFIGURAÇÃO'!J2009"</f>
        <v/>
      </c>
      <c r="D7588" s="194" t="inlineStr">
        <is>
          <t>configuração</t>
        </is>
      </c>
    </row>
    <row r="7589">
      <c r="A7589" s="194" t="inlineStr">
        <is>
          <t>custom.forma.6.familia</t>
        </is>
      </c>
      <c r="B7589" s="194">
        <f>IF(ISBLANK('CONFIGURAÇÃO'!$M$1978),"",'CONFIGURAÇÃO'!$M$1978&amp;"")</f>
        <v/>
      </c>
      <c r="C7589" s="194">
        <f>"'CONFIGURAÇÃO'!M1978"</f>
        <v/>
      </c>
      <c r="D7589" s="194" t="inlineStr">
        <is>
          <t>configuração</t>
        </is>
      </c>
    </row>
    <row r="7590">
      <c r="A7590" s="194" t="inlineStr">
        <is>
          <t>custom.forma.6.peso</t>
        </is>
      </c>
      <c r="B7590" s="194">
        <f>IF(ISBLANK('CONFIGURAÇÃO'!$M$1979),"",'CONFIGURAÇÃO'!$M$1979&amp;"")</f>
        <v/>
      </c>
      <c r="C7590" s="194">
        <f>"'CONFIGURAÇÃO'!M1979"</f>
        <v/>
      </c>
      <c r="D7590" s="194" t="inlineStr">
        <is>
          <t>configuração</t>
        </is>
      </c>
    </row>
    <row r="7591">
      <c r="A7591" s="194" t="inlineStr">
        <is>
          <t>custom.forma.6.resolucao</t>
        </is>
      </c>
      <c r="B7591" s="194">
        <f>IF(ISBLANK('CONFIGURAÇÃO'!$M$1980),"",'CONFIGURAÇÃO'!$M$1980&amp;"")</f>
        <v/>
      </c>
      <c r="C7591" s="194">
        <f>"'CONFIGURAÇÃO'!M1980"</f>
        <v/>
      </c>
      <c r="D7591" s="194" t="inlineStr">
        <is>
          <t>configuração</t>
        </is>
      </c>
    </row>
    <row r="7592">
      <c r="A7592" s="194" t="inlineStr">
        <is>
          <t>custom.forma.6.resultado</t>
        </is>
      </c>
      <c r="B7592" s="194">
        <f>IF(ISBLANK('CONFIGURAÇÃO'!$M$1981),"",'CONFIGURAÇÃO'!$M$1981&amp;"")</f>
        <v/>
      </c>
      <c r="C7592" s="194">
        <f>"'CONFIGURAÇÃO'!M1981"</f>
        <v/>
      </c>
      <c r="D7592" s="194" t="inlineStr">
        <is>
          <t>configuração</t>
        </is>
      </c>
    </row>
    <row r="7593">
      <c r="A7593" s="194" t="inlineStr">
        <is>
          <t>custom.forma.6.exige_tr</t>
        </is>
      </c>
      <c r="B7593" s="194">
        <f>IF(ISBLANK('CONFIGURAÇÃO'!$M$1982),"",'CONFIGURAÇÃO'!$M$1982&amp;"")</f>
        <v/>
      </c>
      <c r="C7593" s="194">
        <f>"'CONFIGURAÇÃO'!M1982"</f>
        <v/>
      </c>
      <c r="D7593" s="194" t="inlineStr">
        <is>
          <t>configuração</t>
        </is>
      </c>
    </row>
    <row r="7594">
      <c r="A7594" s="194" t="inlineStr">
        <is>
          <t>custom.forma.6.classe_zero</t>
        </is>
      </c>
      <c r="B7594" s="194">
        <f>IF(ISBLANK('CONFIGURAÇÃO'!$M$1983),"",'CONFIGURAÇÃO'!$M$1983&amp;"")</f>
        <v/>
      </c>
      <c r="C7594" s="194">
        <f>"'CONFIGURAÇÃO'!M1983"</f>
        <v/>
      </c>
      <c r="D7594" s="194" t="inlineStr">
        <is>
          <t>configuração</t>
        </is>
      </c>
    </row>
    <row r="7595">
      <c r="A7595" s="194" t="inlineStr">
        <is>
          <t>custom.forma.6.restricao_embutida</t>
        </is>
      </c>
      <c r="B7595" s="194">
        <f>IF(ISBLANK('CONFIGURAÇÃO'!$M$1984),"",'CONFIGURAÇÃO'!$M$1984&amp;"")</f>
        <v/>
      </c>
      <c r="C7595" s="194">
        <f>"'CONFIGURAÇÃO'!M1984"</f>
        <v/>
      </c>
      <c r="D7595" s="194" t="inlineStr">
        <is>
          <t>configuração</t>
        </is>
      </c>
    </row>
    <row r="7596">
      <c r="A7596" s="194" t="inlineStr">
        <is>
          <t>custom.forma.6.alcance_escada</t>
        </is>
      </c>
      <c r="B7596" s="194">
        <f>IF(ISBLANK('CONFIGURAÇÃO'!$M$1985),"",'CONFIGURAÇÃO'!$M$1985&amp;"")</f>
        <v/>
      </c>
      <c r="C7596" s="194">
        <f>"'CONFIGURAÇÃO'!M1985"</f>
        <v/>
      </c>
      <c r="D7596" s="194" t="inlineStr">
        <is>
          <t>configuração</t>
        </is>
      </c>
    </row>
    <row r="7597">
      <c r="A7597" s="194" t="inlineStr">
        <is>
          <t>custom.forma.6.area_escada</t>
        </is>
      </c>
      <c r="B7597" s="194">
        <f>IF(ISBLANK('CONFIGURAÇÃO'!$M$1986),"",'CONFIGURAÇÃO'!$M$1986&amp;"")</f>
        <v/>
      </c>
      <c r="C7597" s="194">
        <f>"'CONFIGURAÇÃO'!M1986"</f>
        <v/>
      </c>
      <c r="D7597" s="194" t="inlineStr">
        <is>
          <t>configuração</t>
        </is>
      </c>
    </row>
    <row r="7598">
      <c r="A7598" s="194" t="inlineStr">
        <is>
          <t>custom.forma.6.alcance_personagem_classe_0</t>
        </is>
      </c>
      <c r="B7598" s="194">
        <f>IF(ISBLANK('CONFIGURAÇÃO'!$M$1987),"",'CONFIGURAÇÃO'!$M$1987&amp;"")</f>
        <v/>
      </c>
      <c r="C7598" s="194">
        <f>"'CONFIGURAÇÃO'!M1987"</f>
        <v/>
      </c>
      <c r="D7598" s="194" t="inlineStr">
        <is>
          <t>configuração</t>
        </is>
      </c>
    </row>
    <row r="7599">
      <c r="A7599" s="194" t="inlineStr">
        <is>
          <t>custom.forma.6.alcance_personagem_classes_1_a_5</t>
        </is>
      </c>
      <c r="B7599" s="194">
        <f>IF(ISBLANK('CONFIGURAÇÃO'!$M$1988),"",'CONFIGURAÇÃO'!$M$1988&amp;"")</f>
        <v/>
      </c>
      <c r="C7599" s="194">
        <f>"'CONFIGURAÇÃO'!M1988"</f>
        <v/>
      </c>
      <c r="D7599" s="194" t="inlineStr">
        <is>
          <t>configuração</t>
        </is>
      </c>
    </row>
    <row r="7600">
      <c r="A7600" s="194" t="inlineStr">
        <is>
          <t>custom.forma.6.alcance_personagem_classes_6_e_7</t>
        </is>
      </c>
      <c r="B7600" s="194">
        <f>IF(ISBLANK('CONFIGURAÇÃO'!$M$1989),"",'CONFIGURAÇÃO'!$M$1989&amp;"")</f>
        <v/>
      </c>
      <c r="C7600" s="194">
        <f>"'CONFIGURAÇÃO'!M1989"</f>
        <v/>
      </c>
      <c r="D7600" s="194" t="inlineStr">
        <is>
          <t>configuração</t>
        </is>
      </c>
    </row>
    <row r="7601">
      <c r="A7601" s="194" t="inlineStr">
        <is>
          <t>custom.forma.6.alcance_entidade_classe_0</t>
        </is>
      </c>
      <c r="B7601" s="194">
        <f>IF(ISBLANK('CONFIGURAÇÃO'!$M$1990),"",'CONFIGURAÇÃO'!$M$1990&amp;"")</f>
        <v/>
      </c>
      <c r="C7601" s="194">
        <f>"'CONFIGURAÇÃO'!M1990"</f>
        <v/>
      </c>
      <c r="D7601" s="194" t="inlineStr">
        <is>
          <t>configuração</t>
        </is>
      </c>
    </row>
    <row r="7602">
      <c r="A7602" s="194" t="inlineStr">
        <is>
          <t>custom.forma.6.alcance_entidade_classes_1_a_5</t>
        </is>
      </c>
      <c r="B7602" s="194">
        <f>IF(ISBLANK('CONFIGURAÇÃO'!$M$1991),"",'CONFIGURAÇÃO'!$M$1991&amp;"")</f>
        <v/>
      </c>
      <c r="C7602" s="194">
        <f>"'CONFIGURAÇÃO'!M1991"</f>
        <v/>
      </c>
      <c r="D7602" s="194" t="inlineStr">
        <is>
          <t>configuração</t>
        </is>
      </c>
    </row>
    <row r="7603">
      <c r="A7603" s="194" t="inlineStr">
        <is>
          <t>custom.forma.6.alcance_entidade_classe_6</t>
        </is>
      </c>
      <c r="B7603" s="194">
        <f>IF(ISBLANK('CONFIGURAÇÃO'!$M$1992),"",'CONFIGURAÇÃO'!$M$1992&amp;"")</f>
        <v/>
      </c>
      <c r="C7603" s="194">
        <f>"'CONFIGURAÇÃO'!M1992"</f>
        <v/>
      </c>
      <c r="D7603" s="194" t="inlineStr">
        <is>
          <t>configuração</t>
        </is>
      </c>
    </row>
    <row r="7604">
      <c r="A7604" s="194" t="inlineStr">
        <is>
          <t>custom.forma.6.alcance_entidade_classe_7</t>
        </is>
      </c>
      <c r="B7604" s="194">
        <f>IF(ISBLANK('CONFIGURAÇÃO'!$M$1993),"",'CONFIGURAÇÃO'!$M$1993&amp;"")</f>
        <v/>
      </c>
      <c r="C7604" s="194">
        <f>"'CONFIGURAÇÃO'!M1993"</f>
        <v/>
      </c>
      <c r="D7604" s="194" t="inlineStr">
        <is>
          <t>configuração</t>
        </is>
      </c>
    </row>
    <row r="7605">
      <c r="A7605" s="194" t="inlineStr">
        <is>
          <t>custom.forma.6.area_personagem_classe_0</t>
        </is>
      </c>
      <c r="B7605" s="194">
        <f>IF(ISBLANK('CONFIGURAÇÃO'!$M$1994),"",'CONFIGURAÇÃO'!$M$1994&amp;"")</f>
        <v/>
      </c>
      <c r="C7605" s="194">
        <f>"'CONFIGURAÇÃO'!M1994"</f>
        <v/>
      </c>
      <c r="D7605" s="194" t="inlineStr">
        <is>
          <t>configuração</t>
        </is>
      </c>
    </row>
    <row r="7606">
      <c r="A7606" s="194" t="inlineStr">
        <is>
          <t>custom.forma.6.area_personagem_classes_1_a_5</t>
        </is>
      </c>
      <c r="B7606" s="194">
        <f>IF(ISBLANK('CONFIGURAÇÃO'!$M$1995),"",'CONFIGURAÇÃO'!$M$1995&amp;"")</f>
        <v/>
      </c>
      <c r="C7606" s="194">
        <f>"'CONFIGURAÇÃO'!M1995"</f>
        <v/>
      </c>
      <c r="D7606" s="194" t="inlineStr">
        <is>
          <t>configuração</t>
        </is>
      </c>
    </row>
    <row r="7607">
      <c r="A7607" s="194" t="inlineStr">
        <is>
          <t>custom.forma.6.area_personagem_classes_6_e_7</t>
        </is>
      </c>
      <c r="B7607" s="194">
        <f>IF(ISBLANK('CONFIGURAÇÃO'!$M$1996),"",'CONFIGURAÇÃO'!$M$1996&amp;"")</f>
        <v/>
      </c>
      <c r="C7607" s="194">
        <f>"'CONFIGURAÇÃO'!M1996"</f>
        <v/>
      </c>
      <c r="D7607" s="194" t="inlineStr">
        <is>
          <t>configuração</t>
        </is>
      </c>
    </row>
    <row r="7608">
      <c r="A7608" s="194" t="inlineStr">
        <is>
          <t>custom.forma.6.area_entidade_classe_0</t>
        </is>
      </c>
      <c r="B7608" s="194">
        <f>IF(ISBLANK('CONFIGURAÇÃO'!$M$1997),"",'CONFIGURAÇÃO'!$M$1997&amp;"")</f>
        <v/>
      </c>
      <c r="C7608" s="194">
        <f>"'CONFIGURAÇÃO'!M1997"</f>
        <v/>
      </c>
      <c r="D7608" s="194" t="inlineStr">
        <is>
          <t>configuração</t>
        </is>
      </c>
    </row>
    <row r="7609">
      <c r="A7609" s="194" t="inlineStr">
        <is>
          <t>custom.forma.6.area_entidade_classes_1_a_5</t>
        </is>
      </c>
      <c r="B7609" s="194">
        <f>IF(ISBLANK('CONFIGURAÇÃO'!$M$1998),"",'CONFIGURAÇÃO'!$M$1998&amp;"")</f>
        <v/>
      </c>
      <c r="C7609" s="194">
        <f>"'CONFIGURAÇÃO'!M1998"</f>
        <v/>
      </c>
      <c r="D7609" s="194" t="inlineStr">
        <is>
          <t>configuração</t>
        </is>
      </c>
    </row>
    <row r="7610">
      <c r="A7610" s="194" t="inlineStr">
        <is>
          <t>custom.forma.6.area_entidade_classe_6</t>
        </is>
      </c>
      <c r="B7610" s="194">
        <f>IF(ISBLANK('CONFIGURAÇÃO'!$M$1999),"",'CONFIGURAÇÃO'!$M$1999&amp;"")</f>
        <v/>
      </c>
      <c r="C7610" s="194">
        <f>"'CONFIGURAÇÃO'!M1999"</f>
        <v/>
      </c>
      <c r="D7610" s="194" t="inlineStr">
        <is>
          <t>configuração</t>
        </is>
      </c>
    </row>
    <row r="7611">
      <c r="A7611" s="194" t="inlineStr">
        <is>
          <t>custom.forma.6.area_entidade_classe_7</t>
        </is>
      </c>
      <c r="B7611" s="194">
        <f>IF(ISBLANK('CONFIGURAÇÃO'!$M$2000),"",'CONFIGURAÇÃO'!$M$2000&amp;"")</f>
        <v/>
      </c>
      <c r="C7611" s="194">
        <f>"'CONFIGURAÇÃO'!M2000"</f>
        <v/>
      </c>
      <c r="D7611" s="194" t="inlineStr">
        <is>
          <t>configuração</t>
        </is>
      </c>
    </row>
    <row r="7612">
      <c r="A7612" s="194" t="inlineStr">
        <is>
          <t>custom.forma.7.tipo</t>
        </is>
      </c>
      <c r="B7612" s="194">
        <f>IF(ISBLANK('CONFIGURAÇÃO'!$B$2020),"",'CONFIGURAÇÃO'!$B$2020&amp;"")</f>
        <v/>
      </c>
      <c r="C7612" s="194">
        <f>"'CONFIGURAÇÃO'!B2020"</f>
        <v/>
      </c>
      <c r="D7612" s="194" t="inlineStr">
        <is>
          <t>configuração</t>
        </is>
      </c>
    </row>
    <row r="7613">
      <c r="A7613" s="194" t="inlineStr">
        <is>
          <t>custom.forma.7.nome</t>
        </is>
      </c>
      <c r="B7613" s="194">
        <f>IF(ISBLANK('CONFIGURAÇÃO'!$B$2022),"",'CONFIGURAÇÃO'!$B$2022&amp;"")</f>
        <v/>
      </c>
      <c r="C7613" s="194">
        <f>"'CONFIGURAÇÃO'!B2022"</f>
        <v/>
      </c>
      <c r="D7613" s="194" t="inlineStr">
        <is>
          <t>configuração</t>
        </is>
      </c>
    </row>
    <row r="7614">
      <c r="A7614" s="194" t="inlineStr">
        <is>
          <t>custom.forma.7.base</t>
        </is>
      </c>
      <c r="B7614" s="194">
        <f>IF(ISBLANK('CONFIGURAÇÃO'!$E$2023),"",'CONFIGURAÇÃO'!$E$2023&amp;"")</f>
        <v/>
      </c>
      <c r="C7614" s="194">
        <f>"'CONFIGURAÇÃO'!E2023"</f>
        <v/>
      </c>
      <c r="D7614" s="194" t="inlineStr">
        <is>
          <t>configuração</t>
        </is>
      </c>
    </row>
    <row r="7615">
      <c r="A7615" s="194" t="inlineStr">
        <is>
          <t>custom.forma.7.mestre_viu</t>
        </is>
      </c>
      <c r="B7615" s="194">
        <f>N('CONFIGURAÇÃO'!$F$2020)&amp;""</f>
        <v/>
      </c>
      <c r="C7615" s="194">
        <f>"'CONFIGURAÇÃO'!F2020"</f>
        <v/>
      </c>
      <c r="D7615" s="194" t="inlineStr">
        <is>
          <t>configuração</t>
        </is>
      </c>
    </row>
    <row r="7616">
      <c r="A7616" s="194" t="inlineStr">
        <is>
          <t>custom.forma.7.requisitos</t>
        </is>
      </c>
      <c r="B7616" s="194">
        <f>IF(ISBLANK('CONFIGURAÇÃO'!$B$2049),"",'CONFIGURAÇÃO'!$B$2049&amp;"")</f>
        <v/>
      </c>
      <c r="C7616" s="194">
        <f>"'CONFIGURAÇÃO'!B2049"</f>
        <v/>
      </c>
      <c r="D7616" s="194" t="inlineStr">
        <is>
          <t>configuração</t>
        </is>
      </c>
    </row>
    <row r="7617">
      <c r="A7617" s="194" t="inlineStr">
        <is>
          <t>custom.forma.7.efeito</t>
        </is>
      </c>
      <c r="B7617" s="194">
        <f>IF(ISBLANK('CONFIGURAÇÃO'!$B$2055),"",'CONFIGURAÇÃO'!$B$2055&amp;"")</f>
        <v/>
      </c>
      <c r="C7617" s="194">
        <f>"'CONFIGURAÇÃO'!B2055"</f>
        <v/>
      </c>
      <c r="D7617" s="194" t="inlineStr">
        <is>
          <t>configuração</t>
        </is>
      </c>
    </row>
    <row r="7618">
      <c r="A7618" s="194" t="inlineStr">
        <is>
          <t>custom.forma.7.familia</t>
        </is>
      </c>
      <c r="B7618" s="194">
        <f>IF(ISBLANK('CONFIGURAÇÃO'!$E$2024),"",'CONFIGURAÇÃO'!$E$2024&amp;"")</f>
        <v/>
      </c>
      <c r="C7618" s="194">
        <f>"'CONFIGURAÇÃO'!E2024"</f>
        <v/>
      </c>
      <c r="D7618" s="194" t="inlineStr">
        <is>
          <t>configuração</t>
        </is>
      </c>
    </row>
    <row r="7619">
      <c r="A7619" s="194" t="inlineStr">
        <is>
          <t>custom.forma.7.peso</t>
        </is>
      </c>
      <c r="B7619" s="194">
        <f>IF(ISBLANK('CONFIGURAÇÃO'!$E$2025),"",'CONFIGURAÇÃO'!$E$2025&amp;"")</f>
        <v/>
      </c>
      <c r="C7619" s="194">
        <f>"'CONFIGURAÇÃO'!E2025"</f>
        <v/>
      </c>
      <c r="D7619" s="194" t="inlineStr">
        <is>
          <t>configuração</t>
        </is>
      </c>
    </row>
    <row r="7620">
      <c r="A7620" s="194" t="inlineStr">
        <is>
          <t>custom.forma.7.resolucao</t>
        </is>
      </c>
      <c r="B7620" s="194">
        <f>IF(ISBLANK('CONFIGURAÇÃO'!$E$2026),"",'CONFIGURAÇÃO'!$E$2026&amp;"")</f>
        <v/>
      </c>
      <c r="C7620" s="194">
        <f>"'CONFIGURAÇÃO'!E2026"</f>
        <v/>
      </c>
      <c r="D7620" s="194" t="inlineStr">
        <is>
          <t>configuração</t>
        </is>
      </c>
    </row>
    <row r="7621">
      <c r="A7621" s="194" t="inlineStr">
        <is>
          <t>custom.forma.7.resultado</t>
        </is>
      </c>
      <c r="B7621" s="194">
        <f>IF(ISBLANK('CONFIGURAÇÃO'!$E$2027),"",'CONFIGURAÇÃO'!$E$2027&amp;"")</f>
        <v/>
      </c>
      <c r="C7621" s="194">
        <f>"'CONFIGURAÇÃO'!E2027"</f>
        <v/>
      </c>
      <c r="D7621" s="194" t="inlineStr">
        <is>
          <t>configuração</t>
        </is>
      </c>
    </row>
    <row r="7622">
      <c r="A7622" s="194" t="inlineStr">
        <is>
          <t>custom.forma.7.exige_tr</t>
        </is>
      </c>
      <c r="B7622" s="194">
        <f>IF(ISBLANK('CONFIGURAÇÃO'!$E$2028),"",'CONFIGURAÇÃO'!$E$2028&amp;"")</f>
        <v/>
      </c>
      <c r="C7622" s="194">
        <f>"'CONFIGURAÇÃO'!E2028"</f>
        <v/>
      </c>
      <c r="D7622" s="194" t="inlineStr">
        <is>
          <t>configuração</t>
        </is>
      </c>
    </row>
    <row r="7623">
      <c r="A7623" s="194" t="inlineStr">
        <is>
          <t>custom.forma.7.classe_zero</t>
        </is>
      </c>
      <c r="B7623" s="194">
        <f>IF(ISBLANK('CONFIGURAÇÃO'!$E$2029),"",'CONFIGURAÇÃO'!$E$2029&amp;"")</f>
        <v/>
      </c>
      <c r="C7623" s="194">
        <f>"'CONFIGURAÇÃO'!E2029"</f>
        <v/>
      </c>
      <c r="D7623" s="194" t="inlineStr">
        <is>
          <t>configuração</t>
        </is>
      </c>
    </row>
    <row r="7624">
      <c r="A7624" s="194" t="inlineStr">
        <is>
          <t>custom.forma.7.restricao_embutida</t>
        </is>
      </c>
      <c r="B7624" s="194">
        <f>IF(ISBLANK('CONFIGURAÇÃO'!$E$2030),"",'CONFIGURAÇÃO'!$E$2030&amp;"")</f>
        <v/>
      </c>
      <c r="C7624" s="194">
        <f>"'CONFIGURAÇÃO'!E2030"</f>
        <v/>
      </c>
      <c r="D7624" s="194" t="inlineStr">
        <is>
          <t>configuração</t>
        </is>
      </c>
    </row>
    <row r="7625">
      <c r="A7625" s="194" t="inlineStr">
        <is>
          <t>custom.forma.7.alcance_escada</t>
        </is>
      </c>
      <c r="B7625" s="194">
        <f>IF(ISBLANK('CONFIGURAÇÃO'!$E$2031),"",'CONFIGURAÇÃO'!$E$2031&amp;"")</f>
        <v/>
      </c>
      <c r="C7625" s="194">
        <f>"'CONFIGURAÇÃO'!E2031"</f>
        <v/>
      </c>
      <c r="D7625" s="194" t="inlineStr">
        <is>
          <t>configuração</t>
        </is>
      </c>
    </row>
    <row r="7626">
      <c r="A7626" s="194" t="inlineStr">
        <is>
          <t>custom.forma.7.area_escada</t>
        </is>
      </c>
      <c r="B7626" s="194">
        <f>IF(ISBLANK('CONFIGURAÇÃO'!$E$2032),"",'CONFIGURAÇÃO'!$E$2032&amp;"")</f>
        <v/>
      </c>
      <c r="C7626" s="194">
        <f>"'CONFIGURAÇÃO'!E2032"</f>
        <v/>
      </c>
      <c r="D7626" s="194" t="inlineStr">
        <is>
          <t>configuração</t>
        </is>
      </c>
    </row>
    <row r="7627">
      <c r="A7627" s="194" t="inlineStr">
        <is>
          <t>custom.forma.7.alcance_personagem_classe_0</t>
        </is>
      </c>
      <c r="B7627" s="194">
        <f>IF(ISBLANK('CONFIGURAÇÃO'!$E$2033),"",'CONFIGURAÇÃO'!$E$2033&amp;"")</f>
        <v/>
      </c>
      <c r="C7627" s="194">
        <f>"'CONFIGURAÇÃO'!E2033"</f>
        <v/>
      </c>
      <c r="D7627" s="194" t="inlineStr">
        <is>
          <t>configuração</t>
        </is>
      </c>
    </row>
    <row r="7628">
      <c r="A7628" s="194" t="inlineStr">
        <is>
          <t>custom.forma.7.alcance_personagem_classes_1_a_5</t>
        </is>
      </c>
      <c r="B7628" s="194">
        <f>IF(ISBLANK('CONFIGURAÇÃO'!$E$2034),"",'CONFIGURAÇÃO'!$E$2034&amp;"")</f>
        <v/>
      </c>
      <c r="C7628" s="194">
        <f>"'CONFIGURAÇÃO'!E2034"</f>
        <v/>
      </c>
      <c r="D7628" s="194" t="inlineStr">
        <is>
          <t>configuração</t>
        </is>
      </c>
    </row>
    <row r="7629">
      <c r="A7629" s="194" t="inlineStr">
        <is>
          <t>custom.forma.7.alcance_personagem_classes_6_e_7</t>
        </is>
      </c>
      <c r="B7629" s="194">
        <f>IF(ISBLANK('CONFIGURAÇÃO'!$E$2035),"",'CONFIGURAÇÃO'!$E$2035&amp;"")</f>
        <v/>
      </c>
      <c r="C7629" s="194">
        <f>"'CONFIGURAÇÃO'!E2035"</f>
        <v/>
      </c>
      <c r="D7629" s="194" t="inlineStr">
        <is>
          <t>configuração</t>
        </is>
      </c>
    </row>
    <row r="7630">
      <c r="A7630" s="194" t="inlineStr">
        <is>
          <t>custom.forma.7.alcance_entidade_classe_0</t>
        </is>
      </c>
      <c r="B7630" s="194">
        <f>IF(ISBLANK('CONFIGURAÇÃO'!$E$2036),"",'CONFIGURAÇÃO'!$E$2036&amp;"")</f>
        <v/>
      </c>
      <c r="C7630" s="194">
        <f>"'CONFIGURAÇÃO'!E2036"</f>
        <v/>
      </c>
      <c r="D7630" s="194" t="inlineStr">
        <is>
          <t>configuração</t>
        </is>
      </c>
    </row>
    <row r="7631">
      <c r="A7631" s="194" t="inlineStr">
        <is>
          <t>custom.forma.7.alcance_entidade_classes_1_a_5</t>
        </is>
      </c>
      <c r="B7631" s="194">
        <f>IF(ISBLANK('CONFIGURAÇÃO'!$E$2037),"",'CONFIGURAÇÃO'!$E$2037&amp;"")</f>
        <v/>
      </c>
      <c r="C7631" s="194">
        <f>"'CONFIGURAÇÃO'!E2037"</f>
        <v/>
      </c>
      <c r="D7631" s="194" t="inlineStr">
        <is>
          <t>configuração</t>
        </is>
      </c>
    </row>
    <row r="7632">
      <c r="A7632" s="194" t="inlineStr">
        <is>
          <t>custom.forma.7.alcance_entidade_classe_6</t>
        </is>
      </c>
      <c r="B7632" s="194">
        <f>IF(ISBLANK('CONFIGURAÇÃO'!$E$2038),"",'CONFIGURAÇÃO'!$E$2038&amp;"")</f>
        <v/>
      </c>
      <c r="C7632" s="194">
        <f>"'CONFIGURAÇÃO'!E2038"</f>
        <v/>
      </c>
      <c r="D7632" s="194" t="inlineStr">
        <is>
          <t>configuração</t>
        </is>
      </c>
    </row>
    <row r="7633">
      <c r="A7633" s="194" t="inlineStr">
        <is>
          <t>custom.forma.7.alcance_entidade_classe_7</t>
        </is>
      </c>
      <c r="B7633" s="194">
        <f>IF(ISBLANK('CONFIGURAÇÃO'!$E$2039),"",'CONFIGURAÇÃO'!$E$2039&amp;"")</f>
        <v/>
      </c>
      <c r="C7633" s="194">
        <f>"'CONFIGURAÇÃO'!E2039"</f>
        <v/>
      </c>
      <c r="D7633" s="194" t="inlineStr">
        <is>
          <t>configuração</t>
        </is>
      </c>
    </row>
    <row r="7634">
      <c r="A7634" s="194" t="inlineStr">
        <is>
          <t>custom.forma.7.area_personagem_classe_0</t>
        </is>
      </c>
      <c r="B7634" s="194">
        <f>IF(ISBLANK('CONFIGURAÇÃO'!$E$2040),"",'CONFIGURAÇÃO'!$E$2040&amp;"")</f>
        <v/>
      </c>
      <c r="C7634" s="194">
        <f>"'CONFIGURAÇÃO'!E2040"</f>
        <v/>
      </c>
      <c r="D7634" s="194" t="inlineStr">
        <is>
          <t>configuração</t>
        </is>
      </c>
    </row>
    <row r="7635">
      <c r="A7635" s="194" t="inlineStr">
        <is>
          <t>custom.forma.7.area_personagem_classes_1_a_5</t>
        </is>
      </c>
      <c r="B7635" s="194">
        <f>IF(ISBLANK('CONFIGURAÇÃO'!$E$2041),"",'CONFIGURAÇÃO'!$E$2041&amp;"")</f>
        <v/>
      </c>
      <c r="C7635" s="194">
        <f>"'CONFIGURAÇÃO'!E2041"</f>
        <v/>
      </c>
      <c r="D7635" s="194" t="inlineStr">
        <is>
          <t>configuração</t>
        </is>
      </c>
    </row>
    <row r="7636">
      <c r="A7636" s="194" t="inlineStr">
        <is>
          <t>custom.forma.7.area_personagem_classes_6_e_7</t>
        </is>
      </c>
      <c r="B7636" s="194">
        <f>IF(ISBLANK('CONFIGURAÇÃO'!$E$2042),"",'CONFIGURAÇÃO'!$E$2042&amp;"")</f>
        <v/>
      </c>
      <c r="C7636" s="194">
        <f>"'CONFIGURAÇÃO'!E2042"</f>
        <v/>
      </c>
      <c r="D7636" s="194" t="inlineStr">
        <is>
          <t>configuração</t>
        </is>
      </c>
    </row>
    <row r="7637">
      <c r="A7637" s="194" t="inlineStr">
        <is>
          <t>custom.forma.7.area_entidade_classe_0</t>
        </is>
      </c>
      <c r="B7637" s="194">
        <f>IF(ISBLANK('CONFIGURAÇÃO'!$E$2043),"",'CONFIGURAÇÃO'!$E$2043&amp;"")</f>
        <v/>
      </c>
      <c r="C7637" s="194">
        <f>"'CONFIGURAÇÃO'!E2043"</f>
        <v/>
      </c>
      <c r="D7637" s="194" t="inlineStr">
        <is>
          <t>configuração</t>
        </is>
      </c>
    </row>
    <row r="7638">
      <c r="A7638" s="194" t="inlineStr">
        <is>
          <t>custom.forma.7.area_entidade_classes_1_a_5</t>
        </is>
      </c>
      <c r="B7638" s="194">
        <f>IF(ISBLANK('CONFIGURAÇÃO'!$E$2044),"",'CONFIGURAÇÃO'!$E$2044&amp;"")</f>
        <v/>
      </c>
      <c r="C7638" s="194">
        <f>"'CONFIGURAÇÃO'!E2044"</f>
        <v/>
      </c>
      <c r="D7638" s="194" t="inlineStr">
        <is>
          <t>configuração</t>
        </is>
      </c>
    </row>
    <row r="7639">
      <c r="A7639" s="194" t="inlineStr">
        <is>
          <t>custom.forma.7.area_entidade_classe_6</t>
        </is>
      </c>
      <c r="B7639" s="194">
        <f>IF(ISBLANK('CONFIGURAÇÃO'!$E$2045),"",'CONFIGURAÇÃO'!$E$2045&amp;"")</f>
        <v/>
      </c>
      <c r="C7639" s="194">
        <f>"'CONFIGURAÇÃO'!E2045"</f>
        <v/>
      </c>
      <c r="D7639" s="194" t="inlineStr">
        <is>
          <t>configuração</t>
        </is>
      </c>
    </row>
    <row r="7640">
      <c r="A7640" s="194" t="inlineStr">
        <is>
          <t>custom.forma.7.area_entidade_classe_7</t>
        </is>
      </c>
      <c r="B7640" s="194">
        <f>IF(ISBLANK('CONFIGURAÇÃO'!$E$2046),"",'CONFIGURAÇÃO'!$E$2046&amp;"")</f>
        <v/>
      </c>
      <c r="C7640" s="194">
        <f>"'CONFIGURAÇÃO'!E2046"</f>
        <v/>
      </c>
      <c r="D7640" s="194" t="inlineStr">
        <is>
          <t>configuração</t>
        </is>
      </c>
    </row>
    <row r="7641">
      <c r="A7641" s="194" t="inlineStr">
        <is>
          <t>custom.forma.8.tipo</t>
        </is>
      </c>
      <c r="B7641" s="194">
        <f>IF(ISBLANK('CONFIGURAÇÃO'!$J$2020),"",'CONFIGURAÇÃO'!$J$2020&amp;"")</f>
        <v/>
      </c>
      <c r="C7641" s="194">
        <f>"'CONFIGURAÇÃO'!J2020"</f>
        <v/>
      </c>
      <c r="D7641" s="194" t="inlineStr">
        <is>
          <t>configuração</t>
        </is>
      </c>
    </row>
    <row r="7642">
      <c r="A7642" s="194" t="inlineStr">
        <is>
          <t>custom.forma.8.nome</t>
        </is>
      </c>
      <c r="B7642" s="194">
        <f>IF(ISBLANK('CONFIGURAÇÃO'!$J$2022),"",'CONFIGURAÇÃO'!$J$2022&amp;"")</f>
        <v/>
      </c>
      <c r="C7642" s="194">
        <f>"'CONFIGURAÇÃO'!J2022"</f>
        <v/>
      </c>
      <c r="D7642" s="194" t="inlineStr">
        <is>
          <t>configuração</t>
        </is>
      </c>
    </row>
    <row r="7643">
      <c r="A7643" s="194" t="inlineStr">
        <is>
          <t>custom.forma.8.base</t>
        </is>
      </c>
      <c r="B7643" s="194">
        <f>IF(ISBLANK('CONFIGURAÇÃO'!$M$2023),"",'CONFIGURAÇÃO'!$M$2023&amp;"")</f>
        <v/>
      </c>
      <c r="C7643" s="194">
        <f>"'CONFIGURAÇÃO'!M2023"</f>
        <v/>
      </c>
      <c r="D7643" s="194" t="inlineStr">
        <is>
          <t>configuração</t>
        </is>
      </c>
    </row>
    <row r="7644">
      <c r="A7644" s="194" t="inlineStr">
        <is>
          <t>custom.forma.8.mestre_viu</t>
        </is>
      </c>
      <c r="B7644" s="194">
        <f>N('CONFIGURAÇÃO'!$N$2020)&amp;""</f>
        <v/>
      </c>
      <c r="C7644" s="194">
        <f>"'CONFIGURAÇÃO'!N2020"</f>
        <v/>
      </c>
      <c r="D7644" s="194" t="inlineStr">
        <is>
          <t>configuração</t>
        </is>
      </c>
    </row>
    <row r="7645">
      <c r="A7645" s="194" t="inlineStr">
        <is>
          <t>custom.forma.8.requisitos</t>
        </is>
      </c>
      <c r="B7645" s="194">
        <f>IF(ISBLANK('CONFIGURAÇÃO'!$J$2049),"",'CONFIGURAÇÃO'!$J$2049&amp;"")</f>
        <v/>
      </c>
      <c r="C7645" s="194">
        <f>"'CONFIGURAÇÃO'!J2049"</f>
        <v/>
      </c>
      <c r="D7645" s="194" t="inlineStr">
        <is>
          <t>configuração</t>
        </is>
      </c>
    </row>
    <row r="7646">
      <c r="A7646" s="194" t="inlineStr">
        <is>
          <t>custom.forma.8.efeito</t>
        </is>
      </c>
      <c r="B7646" s="194">
        <f>IF(ISBLANK('CONFIGURAÇÃO'!$J$2055),"",'CONFIGURAÇÃO'!$J$2055&amp;"")</f>
        <v/>
      </c>
      <c r="C7646" s="194">
        <f>"'CONFIGURAÇÃO'!J2055"</f>
        <v/>
      </c>
      <c r="D7646" s="194" t="inlineStr">
        <is>
          <t>configuração</t>
        </is>
      </c>
    </row>
    <row r="7647">
      <c r="A7647" s="194" t="inlineStr">
        <is>
          <t>custom.forma.8.familia</t>
        </is>
      </c>
      <c r="B7647" s="194">
        <f>IF(ISBLANK('CONFIGURAÇÃO'!$M$2024),"",'CONFIGURAÇÃO'!$M$2024&amp;"")</f>
        <v/>
      </c>
      <c r="C7647" s="194">
        <f>"'CONFIGURAÇÃO'!M2024"</f>
        <v/>
      </c>
      <c r="D7647" s="194" t="inlineStr">
        <is>
          <t>configuração</t>
        </is>
      </c>
    </row>
    <row r="7648">
      <c r="A7648" s="194" t="inlineStr">
        <is>
          <t>custom.forma.8.peso</t>
        </is>
      </c>
      <c r="B7648" s="194">
        <f>IF(ISBLANK('CONFIGURAÇÃO'!$M$2025),"",'CONFIGURAÇÃO'!$M$2025&amp;"")</f>
        <v/>
      </c>
      <c r="C7648" s="194">
        <f>"'CONFIGURAÇÃO'!M2025"</f>
        <v/>
      </c>
      <c r="D7648" s="194" t="inlineStr">
        <is>
          <t>configuração</t>
        </is>
      </c>
    </row>
    <row r="7649">
      <c r="A7649" s="194" t="inlineStr">
        <is>
          <t>custom.forma.8.resolucao</t>
        </is>
      </c>
      <c r="B7649" s="194">
        <f>IF(ISBLANK('CONFIGURAÇÃO'!$M$2026),"",'CONFIGURAÇÃO'!$M$2026&amp;"")</f>
        <v/>
      </c>
      <c r="C7649" s="194">
        <f>"'CONFIGURAÇÃO'!M2026"</f>
        <v/>
      </c>
      <c r="D7649" s="194" t="inlineStr">
        <is>
          <t>configuração</t>
        </is>
      </c>
    </row>
    <row r="7650">
      <c r="A7650" s="194" t="inlineStr">
        <is>
          <t>custom.forma.8.resultado</t>
        </is>
      </c>
      <c r="B7650" s="194">
        <f>IF(ISBLANK('CONFIGURAÇÃO'!$M$2027),"",'CONFIGURAÇÃO'!$M$2027&amp;"")</f>
        <v/>
      </c>
      <c r="C7650" s="194">
        <f>"'CONFIGURAÇÃO'!M2027"</f>
        <v/>
      </c>
      <c r="D7650" s="194" t="inlineStr">
        <is>
          <t>configuração</t>
        </is>
      </c>
    </row>
    <row r="7651">
      <c r="A7651" s="194" t="inlineStr">
        <is>
          <t>custom.forma.8.exige_tr</t>
        </is>
      </c>
      <c r="B7651" s="194">
        <f>IF(ISBLANK('CONFIGURAÇÃO'!$M$2028),"",'CONFIGURAÇÃO'!$M$2028&amp;"")</f>
        <v/>
      </c>
      <c r="C7651" s="194">
        <f>"'CONFIGURAÇÃO'!M2028"</f>
        <v/>
      </c>
      <c r="D7651" s="194" t="inlineStr">
        <is>
          <t>configuração</t>
        </is>
      </c>
    </row>
    <row r="7652">
      <c r="A7652" s="194" t="inlineStr">
        <is>
          <t>custom.forma.8.classe_zero</t>
        </is>
      </c>
      <c r="B7652" s="194">
        <f>IF(ISBLANK('CONFIGURAÇÃO'!$M$2029),"",'CONFIGURAÇÃO'!$M$2029&amp;"")</f>
        <v/>
      </c>
      <c r="C7652" s="194">
        <f>"'CONFIGURAÇÃO'!M2029"</f>
        <v/>
      </c>
      <c r="D7652" s="194" t="inlineStr">
        <is>
          <t>configuração</t>
        </is>
      </c>
    </row>
    <row r="7653">
      <c r="A7653" s="194" t="inlineStr">
        <is>
          <t>custom.forma.8.restricao_embutida</t>
        </is>
      </c>
      <c r="B7653" s="194">
        <f>IF(ISBLANK('CONFIGURAÇÃO'!$M$2030),"",'CONFIGURAÇÃO'!$M$2030&amp;"")</f>
        <v/>
      </c>
      <c r="C7653" s="194">
        <f>"'CONFIGURAÇÃO'!M2030"</f>
        <v/>
      </c>
      <c r="D7653" s="194" t="inlineStr">
        <is>
          <t>configuração</t>
        </is>
      </c>
    </row>
    <row r="7654">
      <c r="A7654" s="194" t="inlineStr">
        <is>
          <t>custom.forma.8.alcance_escada</t>
        </is>
      </c>
      <c r="B7654" s="194">
        <f>IF(ISBLANK('CONFIGURAÇÃO'!$M$2031),"",'CONFIGURAÇÃO'!$M$2031&amp;"")</f>
        <v/>
      </c>
      <c r="C7654" s="194">
        <f>"'CONFIGURAÇÃO'!M2031"</f>
        <v/>
      </c>
      <c r="D7654" s="194" t="inlineStr">
        <is>
          <t>configuração</t>
        </is>
      </c>
    </row>
    <row r="7655">
      <c r="A7655" s="194" t="inlineStr">
        <is>
          <t>custom.forma.8.area_escada</t>
        </is>
      </c>
      <c r="B7655" s="194">
        <f>IF(ISBLANK('CONFIGURAÇÃO'!$M$2032),"",'CONFIGURAÇÃO'!$M$2032&amp;"")</f>
        <v/>
      </c>
      <c r="C7655" s="194">
        <f>"'CONFIGURAÇÃO'!M2032"</f>
        <v/>
      </c>
      <c r="D7655" s="194" t="inlineStr">
        <is>
          <t>configuração</t>
        </is>
      </c>
    </row>
    <row r="7656">
      <c r="A7656" s="194" t="inlineStr">
        <is>
          <t>custom.forma.8.alcance_personagem_classe_0</t>
        </is>
      </c>
      <c r="B7656" s="194">
        <f>IF(ISBLANK('CONFIGURAÇÃO'!$M$2033),"",'CONFIGURAÇÃO'!$M$2033&amp;"")</f>
        <v/>
      </c>
      <c r="C7656" s="194">
        <f>"'CONFIGURAÇÃO'!M2033"</f>
        <v/>
      </c>
      <c r="D7656" s="194" t="inlineStr">
        <is>
          <t>configuração</t>
        </is>
      </c>
    </row>
    <row r="7657">
      <c r="A7657" s="194" t="inlineStr">
        <is>
          <t>custom.forma.8.alcance_personagem_classes_1_a_5</t>
        </is>
      </c>
      <c r="B7657" s="194">
        <f>IF(ISBLANK('CONFIGURAÇÃO'!$M$2034),"",'CONFIGURAÇÃO'!$M$2034&amp;"")</f>
        <v/>
      </c>
      <c r="C7657" s="194">
        <f>"'CONFIGURAÇÃO'!M2034"</f>
        <v/>
      </c>
      <c r="D7657" s="194" t="inlineStr">
        <is>
          <t>configuração</t>
        </is>
      </c>
    </row>
    <row r="7658">
      <c r="A7658" s="194" t="inlineStr">
        <is>
          <t>custom.forma.8.alcance_personagem_classes_6_e_7</t>
        </is>
      </c>
      <c r="B7658" s="194">
        <f>IF(ISBLANK('CONFIGURAÇÃO'!$M$2035),"",'CONFIGURAÇÃO'!$M$2035&amp;"")</f>
        <v/>
      </c>
      <c r="C7658" s="194">
        <f>"'CONFIGURAÇÃO'!M2035"</f>
        <v/>
      </c>
      <c r="D7658" s="194" t="inlineStr">
        <is>
          <t>configuração</t>
        </is>
      </c>
    </row>
    <row r="7659">
      <c r="A7659" s="194" t="inlineStr">
        <is>
          <t>custom.forma.8.alcance_entidade_classe_0</t>
        </is>
      </c>
      <c r="B7659" s="194">
        <f>IF(ISBLANK('CONFIGURAÇÃO'!$M$2036),"",'CONFIGURAÇÃO'!$M$2036&amp;"")</f>
        <v/>
      </c>
      <c r="C7659" s="194">
        <f>"'CONFIGURAÇÃO'!M2036"</f>
        <v/>
      </c>
      <c r="D7659" s="194" t="inlineStr">
        <is>
          <t>configuração</t>
        </is>
      </c>
    </row>
    <row r="7660">
      <c r="A7660" s="194" t="inlineStr">
        <is>
          <t>custom.forma.8.alcance_entidade_classes_1_a_5</t>
        </is>
      </c>
      <c r="B7660" s="194">
        <f>IF(ISBLANK('CONFIGURAÇÃO'!$M$2037),"",'CONFIGURAÇÃO'!$M$2037&amp;"")</f>
        <v/>
      </c>
      <c r="C7660" s="194">
        <f>"'CONFIGURAÇÃO'!M2037"</f>
        <v/>
      </c>
      <c r="D7660" s="194" t="inlineStr">
        <is>
          <t>configuração</t>
        </is>
      </c>
    </row>
    <row r="7661">
      <c r="A7661" s="194" t="inlineStr">
        <is>
          <t>custom.forma.8.alcance_entidade_classe_6</t>
        </is>
      </c>
      <c r="B7661" s="194">
        <f>IF(ISBLANK('CONFIGURAÇÃO'!$M$2038),"",'CONFIGURAÇÃO'!$M$2038&amp;"")</f>
        <v/>
      </c>
      <c r="C7661" s="194">
        <f>"'CONFIGURAÇÃO'!M2038"</f>
        <v/>
      </c>
      <c r="D7661" s="194" t="inlineStr">
        <is>
          <t>configuração</t>
        </is>
      </c>
    </row>
    <row r="7662">
      <c r="A7662" s="194" t="inlineStr">
        <is>
          <t>custom.forma.8.alcance_entidade_classe_7</t>
        </is>
      </c>
      <c r="B7662" s="194">
        <f>IF(ISBLANK('CONFIGURAÇÃO'!$M$2039),"",'CONFIGURAÇÃO'!$M$2039&amp;"")</f>
        <v/>
      </c>
      <c r="C7662" s="194">
        <f>"'CONFIGURAÇÃO'!M2039"</f>
        <v/>
      </c>
      <c r="D7662" s="194" t="inlineStr">
        <is>
          <t>configuração</t>
        </is>
      </c>
    </row>
    <row r="7663">
      <c r="A7663" s="194" t="inlineStr">
        <is>
          <t>custom.forma.8.area_personagem_classe_0</t>
        </is>
      </c>
      <c r="B7663" s="194">
        <f>IF(ISBLANK('CONFIGURAÇÃO'!$M$2040),"",'CONFIGURAÇÃO'!$M$2040&amp;"")</f>
        <v/>
      </c>
      <c r="C7663" s="194">
        <f>"'CONFIGURAÇÃO'!M2040"</f>
        <v/>
      </c>
      <c r="D7663" s="194" t="inlineStr">
        <is>
          <t>configuração</t>
        </is>
      </c>
    </row>
    <row r="7664">
      <c r="A7664" s="194" t="inlineStr">
        <is>
          <t>custom.forma.8.area_personagem_classes_1_a_5</t>
        </is>
      </c>
      <c r="B7664" s="194">
        <f>IF(ISBLANK('CONFIGURAÇÃO'!$M$2041),"",'CONFIGURAÇÃO'!$M$2041&amp;"")</f>
        <v/>
      </c>
      <c r="C7664" s="194">
        <f>"'CONFIGURAÇÃO'!M2041"</f>
        <v/>
      </c>
      <c r="D7664" s="194" t="inlineStr">
        <is>
          <t>configuração</t>
        </is>
      </c>
    </row>
    <row r="7665">
      <c r="A7665" s="194" t="inlineStr">
        <is>
          <t>custom.forma.8.area_personagem_classes_6_e_7</t>
        </is>
      </c>
      <c r="B7665" s="194">
        <f>IF(ISBLANK('CONFIGURAÇÃO'!$M$2042),"",'CONFIGURAÇÃO'!$M$2042&amp;"")</f>
        <v/>
      </c>
      <c r="C7665" s="194">
        <f>"'CONFIGURAÇÃO'!M2042"</f>
        <v/>
      </c>
      <c r="D7665" s="194" t="inlineStr">
        <is>
          <t>configuração</t>
        </is>
      </c>
    </row>
    <row r="7666">
      <c r="A7666" s="194" t="inlineStr">
        <is>
          <t>custom.forma.8.area_entidade_classe_0</t>
        </is>
      </c>
      <c r="B7666" s="194">
        <f>IF(ISBLANK('CONFIGURAÇÃO'!$M$2043),"",'CONFIGURAÇÃO'!$M$2043&amp;"")</f>
        <v/>
      </c>
      <c r="C7666" s="194">
        <f>"'CONFIGURAÇÃO'!M2043"</f>
        <v/>
      </c>
      <c r="D7666" s="194" t="inlineStr">
        <is>
          <t>configuração</t>
        </is>
      </c>
    </row>
    <row r="7667">
      <c r="A7667" s="194" t="inlineStr">
        <is>
          <t>custom.forma.8.area_entidade_classes_1_a_5</t>
        </is>
      </c>
      <c r="B7667" s="194">
        <f>IF(ISBLANK('CONFIGURAÇÃO'!$M$2044),"",'CONFIGURAÇÃO'!$M$2044&amp;"")</f>
        <v/>
      </c>
      <c r="C7667" s="194">
        <f>"'CONFIGURAÇÃO'!M2044"</f>
        <v/>
      </c>
      <c r="D7667" s="194" t="inlineStr">
        <is>
          <t>configuração</t>
        </is>
      </c>
    </row>
    <row r="7668">
      <c r="A7668" s="194" t="inlineStr">
        <is>
          <t>custom.forma.8.area_entidade_classe_6</t>
        </is>
      </c>
      <c r="B7668" s="194">
        <f>IF(ISBLANK('CONFIGURAÇÃO'!$M$2045),"",'CONFIGURAÇÃO'!$M$2045&amp;"")</f>
        <v/>
      </c>
      <c r="C7668" s="194">
        <f>"'CONFIGURAÇÃO'!M2045"</f>
        <v/>
      </c>
      <c r="D7668" s="194" t="inlineStr">
        <is>
          <t>configuração</t>
        </is>
      </c>
    </row>
    <row r="7669">
      <c r="A7669" s="194" t="inlineStr">
        <is>
          <t>custom.forma.8.area_entidade_classe_7</t>
        </is>
      </c>
      <c r="B7669" s="194">
        <f>IF(ISBLANK('CONFIGURAÇÃO'!$M$2046),"",'CONFIGURAÇÃO'!$M$2046&amp;"")</f>
        <v/>
      </c>
      <c r="C7669" s="194">
        <f>"'CONFIGURAÇÃO'!M2046"</f>
        <v/>
      </c>
      <c r="D7669" s="194" t="inlineStr">
        <is>
          <t>configuração</t>
        </is>
      </c>
    </row>
    <row r="7670">
      <c r="A7670" s="194" t="inlineStr">
        <is>
          <t>custom.forma.9.tipo</t>
        </is>
      </c>
      <c r="B7670" s="194">
        <f>IF(ISBLANK('CONFIGURAÇÃO'!$B$2066),"",'CONFIGURAÇÃO'!$B$2066&amp;"")</f>
        <v/>
      </c>
      <c r="C7670" s="194">
        <f>"'CONFIGURAÇÃO'!B2066"</f>
        <v/>
      </c>
      <c r="D7670" s="194" t="inlineStr">
        <is>
          <t>configuração</t>
        </is>
      </c>
    </row>
    <row r="7671">
      <c r="A7671" s="194" t="inlineStr">
        <is>
          <t>custom.forma.9.nome</t>
        </is>
      </c>
      <c r="B7671" s="194">
        <f>IF(ISBLANK('CONFIGURAÇÃO'!$B$2068),"",'CONFIGURAÇÃO'!$B$2068&amp;"")</f>
        <v/>
      </c>
      <c r="C7671" s="194">
        <f>"'CONFIGURAÇÃO'!B2068"</f>
        <v/>
      </c>
      <c r="D7671" s="194" t="inlineStr">
        <is>
          <t>configuração</t>
        </is>
      </c>
    </row>
    <row r="7672">
      <c r="A7672" s="194" t="inlineStr">
        <is>
          <t>custom.forma.9.base</t>
        </is>
      </c>
      <c r="B7672" s="194">
        <f>IF(ISBLANK('CONFIGURAÇÃO'!$E$2069),"",'CONFIGURAÇÃO'!$E$2069&amp;"")</f>
        <v/>
      </c>
      <c r="C7672" s="194">
        <f>"'CONFIGURAÇÃO'!E2069"</f>
        <v/>
      </c>
      <c r="D7672" s="194" t="inlineStr">
        <is>
          <t>configuração</t>
        </is>
      </c>
    </row>
    <row r="7673">
      <c r="A7673" s="194" t="inlineStr">
        <is>
          <t>custom.forma.9.mestre_viu</t>
        </is>
      </c>
      <c r="B7673" s="194">
        <f>N('CONFIGURAÇÃO'!$F$2066)&amp;""</f>
        <v/>
      </c>
      <c r="C7673" s="194">
        <f>"'CONFIGURAÇÃO'!F2066"</f>
        <v/>
      </c>
      <c r="D7673" s="194" t="inlineStr">
        <is>
          <t>configuração</t>
        </is>
      </c>
    </row>
    <row r="7674">
      <c r="A7674" s="194" t="inlineStr">
        <is>
          <t>custom.forma.9.requisitos</t>
        </is>
      </c>
      <c r="B7674" s="194">
        <f>IF(ISBLANK('CONFIGURAÇÃO'!$B$2095),"",'CONFIGURAÇÃO'!$B$2095&amp;"")</f>
        <v/>
      </c>
      <c r="C7674" s="194">
        <f>"'CONFIGURAÇÃO'!B2095"</f>
        <v/>
      </c>
      <c r="D7674" s="194" t="inlineStr">
        <is>
          <t>configuração</t>
        </is>
      </c>
    </row>
    <row r="7675">
      <c r="A7675" s="194" t="inlineStr">
        <is>
          <t>custom.forma.9.efeito</t>
        </is>
      </c>
      <c r="B7675" s="194">
        <f>IF(ISBLANK('CONFIGURAÇÃO'!$B$2101),"",'CONFIGURAÇÃO'!$B$2101&amp;"")</f>
        <v/>
      </c>
      <c r="C7675" s="194">
        <f>"'CONFIGURAÇÃO'!B2101"</f>
        <v/>
      </c>
      <c r="D7675" s="194" t="inlineStr">
        <is>
          <t>configuração</t>
        </is>
      </c>
    </row>
    <row r="7676">
      <c r="A7676" s="194" t="inlineStr">
        <is>
          <t>custom.forma.9.familia</t>
        </is>
      </c>
      <c r="B7676" s="194">
        <f>IF(ISBLANK('CONFIGURAÇÃO'!$E$2070),"",'CONFIGURAÇÃO'!$E$2070&amp;"")</f>
        <v/>
      </c>
      <c r="C7676" s="194">
        <f>"'CONFIGURAÇÃO'!E2070"</f>
        <v/>
      </c>
      <c r="D7676" s="194" t="inlineStr">
        <is>
          <t>configuração</t>
        </is>
      </c>
    </row>
    <row r="7677">
      <c r="A7677" s="194" t="inlineStr">
        <is>
          <t>custom.forma.9.peso</t>
        </is>
      </c>
      <c r="B7677" s="194">
        <f>IF(ISBLANK('CONFIGURAÇÃO'!$E$2071),"",'CONFIGURAÇÃO'!$E$2071&amp;"")</f>
        <v/>
      </c>
      <c r="C7677" s="194">
        <f>"'CONFIGURAÇÃO'!E2071"</f>
        <v/>
      </c>
      <c r="D7677" s="194" t="inlineStr">
        <is>
          <t>configuração</t>
        </is>
      </c>
    </row>
    <row r="7678">
      <c r="A7678" s="194" t="inlineStr">
        <is>
          <t>custom.forma.9.resolucao</t>
        </is>
      </c>
      <c r="B7678" s="194">
        <f>IF(ISBLANK('CONFIGURAÇÃO'!$E$2072),"",'CONFIGURAÇÃO'!$E$2072&amp;"")</f>
        <v/>
      </c>
      <c r="C7678" s="194">
        <f>"'CONFIGURAÇÃO'!E2072"</f>
        <v/>
      </c>
      <c r="D7678" s="194" t="inlineStr">
        <is>
          <t>configuração</t>
        </is>
      </c>
    </row>
    <row r="7679">
      <c r="A7679" s="194" t="inlineStr">
        <is>
          <t>custom.forma.9.resultado</t>
        </is>
      </c>
      <c r="B7679" s="194">
        <f>IF(ISBLANK('CONFIGURAÇÃO'!$E$2073),"",'CONFIGURAÇÃO'!$E$2073&amp;"")</f>
        <v/>
      </c>
      <c r="C7679" s="194">
        <f>"'CONFIGURAÇÃO'!E2073"</f>
        <v/>
      </c>
      <c r="D7679" s="194" t="inlineStr">
        <is>
          <t>configuração</t>
        </is>
      </c>
    </row>
    <row r="7680">
      <c r="A7680" s="194" t="inlineStr">
        <is>
          <t>custom.forma.9.exige_tr</t>
        </is>
      </c>
      <c r="B7680" s="194">
        <f>IF(ISBLANK('CONFIGURAÇÃO'!$E$2074),"",'CONFIGURAÇÃO'!$E$2074&amp;"")</f>
        <v/>
      </c>
      <c r="C7680" s="194">
        <f>"'CONFIGURAÇÃO'!E2074"</f>
        <v/>
      </c>
      <c r="D7680" s="194" t="inlineStr">
        <is>
          <t>configuração</t>
        </is>
      </c>
    </row>
    <row r="7681">
      <c r="A7681" s="194" t="inlineStr">
        <is>
          <t>custom.forma.9.classe_zero</t>
        </is>
      </c>
      <c r="B7681" s="194">
        <f>IF(ISBLANK('CONFIGURAÇÃO'!$E$2075),"",'CONFIGURAÇÃO'!$E$2075&amp;"")</f>
        <v/>
      </c>
      <c r="C7681" s="194">
        <f>"'CONFIGURAÇÃO'!E2075"</f>
        <v/>
      </c>
      <c r="D7681" s="194" t="inlineStr">
        <is>
          <t>configuração</t>
        </is>
      </c>
    </row>
    <row r="7682">
      <c r="A7682" s="194" t="inlineStr">
        <is>
          <t>custom.forma.9.restricao_embutida</t>
        </is>
      </c>
      <c r="B7682" s="194">
        <f>IF(ISBLANK('CONFIGURAÇÃO'!$E$2076),"",'CONFIGURAÇÃO'!$E$2076&amp;"")</f>
        <v/>
      </c>
      <c r="C7682" s="194">
        <f>"'CONFIGURAÇÃO'!E2076"</f>
        <v/>
      </c>
      <c r="D7682" s="194" t="inlineStr">
        <is>
          <t>configuração</t>
        </is>
      </c>
    </row>
    <row r="7683">
      <c r="A7683" s="194" t="inlineStr">
        <is>
          <t>custom.forma.9.alcance_escada</t>
        </is>
      </c>
      <c r="B7683" s="194">
        <f>IF(ISBLANK('CONFIGURAÇÃO'!$E$2077),"",'CONFIGURAÇÃO'!$E$2077&amp;"")</f>
        <v/>
      </c>
      <c r="C7683" s="194">
        <f>"'CONFIGURAÇÃO'!E2077"</f>
        <v/>
      </c>
      <c r="D7683" s="194" t="inlineStr">
        <is>
          <t>configuração</t>
        </is>
      </c>
    </row>
    <row r="7684">
      <c r="A7684" s="194" t="inlineStr">
        <is>
          <t>custom.forma.9.area_escada</t>
        </is>
      </c>
      <c r="B7684" s="194">
        <f>IF(ISBLANK('CONFIGURAÇÃO'!$E$2078),"",'CONFIGURAÇÃO'!$E$2078&amp;"")</f>
        <v/>
      </c>
      <c r="C7684" s="194">
        <f>"'CONFIGURAÇÃO'!E2078"</f>
        <v/>
      </c>
      <c r="D7684" s="194" t="inlineStr">
        <is>
          <t>configuração</t>
        </is>
      </c>
    </row>
    <row r="7685">
      <c r="A7685" s="194" t="inlineStr">
        <is>
          <t>custom.forma.9.alcance_personagem_classe_0</t>
        </is>
      </c>
      <c r="B7685" s="194">
        <f>IF(ISBLANK('CONFIGURAÇÃO'!$E$2079),"",'CONFIGURAÇÃO'!$E$2079&amp;"")</f>
        <v/>
      </c>
      <c r="C7685" s="194">
        <f>"'CONFIGURAÇÃO'!E2079"</f>
        <v/>
      </c>
      <c r="D7685" s="194" t="inlineStr">
        <is>
          <t>configuração</t>
        </is>
      </c>
    </row>
    <row r="7686">
      <c r="A7686" s="194" t="inlineStr">
        <is>
          <t>custom.forma.9.alcance_personagem_classes_1_a_5</t>
        </is>
      </c>
      <c r="B7686" s="194">
        <f>IF(ISBLANK('CONFIGURAÇÃO'!$E$2080),"",'CONFIGURAÇÃO'!$E$2080&amp;"")</f>
        <v/>
      </c>
      <c r="C7686" s="194">
        <f>"'CONFIGURAÇÃO'!E2080"</f>
        <v/>
      </c>
      <c r="D7686" s="194" t="inlineStr">
        <is>
          <t>configuração</t>
        </is>
      </c>
    </row>
    <row r="7687">
      <c r="A7687" s="194" t="inlineStr">
        <is>
          <t>custom.forma.9.alcance_personagem_classes_6_e_7</t>
        </is>
      </c>
      <c r="B7687" s="194">
        <f>IF(ISBLANK('CONFIGURAÇÃO'!$E$2081),"",'CONFIGURAÇÃO'!$E$2081&amp;"")</f>
        <v/>
      </c>
      <c r="C7687" s="194">
        <f>"'CONFIGURAÇÃO'!E2081"</f>
        <v/>
      </c>
      <c r="D7687" s="194" t="inlineStr">
        <is>
          <t>configuração</t>
        </is>
      </c>
    </row>
    <row r="7688">
      <c r="A7688" s="194" t="inlineStr">
        <is>
          <t>custom.forma.9.alcance_entidade_classe_0</t>
        </is>
      </c>
      <c r="B7688" s="194">
        <f>IF(ISBLANK('CONFIGURAÇÃO'!$E$2082),"",'CONFIGURAÇÃO'!$E$2082&amp;"")</f>
        <v/>
      </c>
      <c r="C7688" s="194">
        <f>"'CONFIGURAÇÃO'!E2082"</f>
        <v/>
      </c>
      <c r="D7688" s="194" t="inlineStr">
        <is>
          <t>configuração</t>
        </is>
      </c>
    </row>
    <row r="7689">
      <c r="A7689" s="194" t="inlineStr">
        <is>
          <t>custom.forma.9.alcance_entidade_classes_1_a_5</t>
        </is>
      </c>
      <c r="B7689" s="194">
        <f>IF(ISBLANK('CONFIGURAÇÃO'!$E$2083),"",'CONFIGURAÇÃO'!$E$2083&amp;"")</f>
        <v/>
      </c>
      <c r="C7689" s="194">
        <f>"'CONFIGURAÇÃO'!E2083"</f>
        <v/>
      </c>
      <c r="D7689" s="194" t="inlineStr">
        <is>
          <t>configuração</t>
        </is>
      </c>
    </row>
    <row r="7690">
      <c r="A7690" s="194" t="inlineStr">
        <is>
          <t>custom.forma.9.alcance_entidade_classe_6</t>
        </is>
      </c>
      <c r="B7690" s="194">
        <f>IF(ISBLANK('CONFIGURAÇÃO'!$E$2084),"",'CONFIGURAÇÃO'!$E$2084&amp;"")</f>
        <v/>
      </c>
      <c r="C7690" s="194">
        <f>"'CONFIGURAÇÃO'!E2084"</f>
        <v/>
      </c>
      <c r="D7690" s="194" t="inlineStr">
        <is>
          <t>configuração</t>
        </is>
      </c>
    </row>
    <row r="7691">
      <c r="A7691" s="194" t="inlineStr">
        <is>
          <t>custom.forma.9.alcance_entidade_classe_7</t>
        </is>
      </c>
      <c r="B7691" s="194">
        <f>IF(ISBLANK('CONFIGURAÇÃO'!$E$2085),"",'CONFIGURAÇÃO'!$E$2085&amp;"")</f>
        <v/>
      </c>
      <c r="C7691" s="194">
        <f>"'CONFIGURAÇÃO'!E2085"</f>
        <v/>
      </c>
      <c r="D7691" s="194" t="inlineStr">
        <is>
          <t>configuração</t>
        </is>
      </c>
    </row>
    <row r="7692">
      <c r="A7692" s="194" t="inlineStr">
        <is>
          <t>custom.forma.9.area_personagem_classe_0</t>
        </is>
      </c>
      <c r="B7692" s="194">
        <f>IF(ISBLANK('CONFIGURAÇÃO'!$E$2086),"",'CONFIGURAÇÃO'!$E$2086&amp;"")</f>
        <v/>
      </c>
      <c r="C7692" s="194">
        <f>"'CONFIGURAÇÃO'!E2086"</f>
        <v/>
      </c>
      <c r="D7692" s="194" t="inlineStr">
        <is>
          <t>configuração</t>
        </is>
      </c>
    </row>
    <row r="7693">
      <c r="A7693" s="194" t="inlineStr">
        <is>
          <t>custom.forma.9.area_personagem_classes_1_a_5</t>
        </is>
      </c>
      <c r="B7693" s="194">
        <f>IF(ISBLANK('CONFIGURAÇÃO'!$E$2087),"",'CONFIGURAÇÃO'!$E$2087&amp;"")</f>
        <v/>
      </c>
      <c r="C7693" s="194">
        <f>"'CONFIGURAÇÃO'!E2087"</f>
        <v/>
      </c>
      <c r="D7693" s="194" t="inlineStr">
        <is>
          <t>configuração</t>
        </is>
      </c>
    </row>
    <row r="7694">
      <c r="A7694" s="194" t="inlineStr">
        <is>
          <t>custom.forma.9.area_personagem_classes_6_e_7</t>
        </is>
      </c>
      <c r="B7694" s="194">
        <f>IF(ISBLANK('CONFIGURAÇÃO'!$E$2088),"",'CONFIGURAÇÃO'!$E$2088&amp;"")</f>
        <v/>
      </c>
      <c r="C7694" s="194">
        <f>"'CONFIGURAÇÃO'!E2088"</f>
        <v/>
      </c>
      <c r="D7694" s="194" t="inlineStr">
        <is>
          <t>configuração</t>
        </is>
      </c>
    </row>
    <row r="7695">
      <c r="A7695" s="194" t="inlineStr">
        <is>
          <t>custom.forma.9.area_entidade_classe_0</t>
        </is>
      </c>
      <c r="B7695" s="194">
        <f>IF(ISBLANK('CONFIGURAÇÃO'!$E$2089),"",'CONFIGURAÇÃO'!$E$2089&amp;"")</f>
        <v/>
      </c>
      <c r="C7695" s="194">
        <f>"'CONFIGURAÇÃO'!E2089"</f>
        <v/>
      </c>
      <c r="D7695" s="194" t="inlineStr">
        <is>
          <t>configuração</t>
        </is>
      </c>
    </row>
    <row r="7696">
      <c r="A7696" s="194" t="inlineStr">
        <is>
          <t>custom.forma.9.area_entidade_classes_1_a_5</t>
        </is>
      </c>
      <c r="B7696" s="194">
        <f>IF(ISBLANK('CONFIGURAÇÃO'!$E$2090),"",'CONFIGURAÇÃO'!$E$2090&amp;"")</f>
        <v/>
      </c>
      <c r="C7696" s="194">
        <f>"'CONFIGURAÇÃO'!E2090"</f>
        <v/>
      </c>
      <c r="D7696" s="194" t="inlineStr">
        <is>
          <t>configuração</t>
        </is>
      </c>
    </row>
    <row r="7697">
      <c r="A7697" s="194" t="inlineStr">
        <is>
          <t>custom.forma.9.area_entidade_classe_6</t>
        </is>
      </c>
      <c r="B7697" s="194">
        <f>IF(ISBLANK('CONFIGURAÇÃO'!$E$2091),"",'CONFIGURAÇÃO'!$E$2091&amp;"")</f>
        <v/>
      </c>
      <c r="C7697" s="194">
        <f>"'CONFIGURAÇÃO'!E2091"</f>
        <v/>
      </c>
      <c r="D7697" s="194" t="inlineStr">
        <is>
          <t>configuração</t>
        </is>
      </c>
    </row>
    <row r="7698">
      <c r="A7698" s="194" t="inlineStr">
        <is>
          <t>custom.forma.9.area_entidade_classe_7</t>
        </is>
      </c>
      <c r="B7698" s="194">
        <f>IF(ISBLANK('CONFIGURAÇÃO'!$E$2092),"",'CONFIGURAÇÃO'!$E$2092&amp;"")</f>
        <v/>
      </c>
      <c r="C7698" s="194">
        <f>"'CONFIGURAÇÃO'!E2092"</f>
        <v/>
      </c>
      <c r="D7698" s="194" t="inlineStr">
        <is>
          <t>configuração</t>
        </is>
      </c>
    </row>
    <row r="7699">
      <c r="A7699" s="194" t="inlineStr">
        <is>
          <t>custom.forma.10.tipo</t>
        </is>
      </c>
      <c r="B7699" s="194">
        <f>IF(ISBLANK('CONFIGURAÇÃO'!$J$2066),"",'CONFIGURAÇÃO'!$J$2066&amp;"")</f>
        <v/>
      </c>
      <c r="C7699" s="194">
        <f>"'CONFIGURAÇÃO'!J2066"</f>
        <v/>
      </c>
      <c r="D7699" s="194" t="inlineStr">
        <is>
          <t>configuração</t>
        </is>
      </c>
    </row>
    <row r="7700">
      <c r="A7700" s="194" t="inlineStr">
        <is>
          <t>custom.forma.10.nome</t>
        </is>
      </c>
      <c r="B7700" s="194">
        <f>IF(ISBLANK('CONFIGURAÇÃO'!$J$2068),"",'CONFIGURAÇÃO'!$J$2068&amp;"")</f>
        <v/>
      </c>
      <c r="C7700" s="194">
        <f>"'CONFIGURAÇÃO'!J2068"</f>
        <v/>
      </c>
      <c r="D7700" s="194" t="inlineStr">
        <is>
          <t>configuração</t>
        </is>
      </c>
    </row>
    <row r="7701">
      <c r="A7701" s="194" t="inlineStr">
        <is>
          <t>custom.forma.10.base</t>
        </is>
      </c>
      <c r="B7701" s="194">
        <f>IF(ISBLANK('CONFIGURAÇÃO'!$M$2069),"",'CONFIGURAÇÃO'!$M$2069&amp;"")</f>
        <v/>
      </c>
      <c r="C7701" s="194">
        <f>"'CONFIGURAÇÃO'!M2069"</f>
        <v/>
      </c>
      <c r="D7701" s="194" t="inlineStr">
        <is>
          <t>configuração</t>
        </is>
      </c>
    </row>
    <row r="7702">
      <c r="A7702" s="194" t="inlineStr">
        <is>
          <t>custom.forma.10.mestre_viu</t>
        </is>
      </c>
      <c r="B7702" s="194">
        <f>N('CONFIGURAÇÃO'!$N$2066)&amp;""</f>
        <v/>
      </c>
      <c r="C7702" s="194">
        <f>"'CONFIGURAÇÃO'!N2066"</f>
        <v/>
      </c>
      <c r="D7702" s="194" t="inlineStr">
        <is>
          <t>configuração</t>
        </is>
      </c>
    </row>
    <row r="7703">
      <c r="A7703" s="194" t="inlineStr">
        <is>
          <t>custom.forma.10.requisitos</t>
        </is>
      </c>
      <c r="B7703" s="194">
        <f>IF(ISBLANK('CONFIGURAÇÃO'!$J$2095),"",'CONFIGURAÇÃO'!$J$2095&amp;"")</f>
        <v/>
      </c>
      <c r="C7703" s="194">
        <f>"'CONFIGURAÇÃO'!J2095"</f>
        <v/>
      </c>
      <c r="D7703" s="194" t="inlineStr">
        <is>
          <t>configuração</t>
        </is>
      </c>
    </row>
    <row r="7704">
      <c r="A7704" s="194" t="inlineStr">
        <is>
          <t>custom.forma.10.efeito</t>
        </is>
      </c>
      <c r="B7704" s="194">
        <f>IF(ISBLANK('CONFIGURAÇÃO'!$J$2101),"",'CONFIGURAÇÃO'!$J$2101&amp;"")</f>
        <v/>
      </c>
      <c r="C7704" s="194">
        <f>"'CONFIGURAÇÃO'!J2101"</f>
        <v/>
      </c>
      <c r="D7704" s="194" t="inlineStr">
        <is>
          <t>configuração</t>
        </is>
      </c>
    </row>
    <row r="7705">
      <c r="A7705" s="194" t="inlineStr">
        <is>
          <t>custom.forma.10.familia</t>
        </is>
      </c>
      <c r="B7705" s="194">
        <f>IF(ISBLANK('CONFIGURAÇÃO'!$M$2070),"",'CONFIGURAÇÃO'!$M$2070&amp;"")</f>
        <v/>
      </c>
      <c r="C7705" s="194">
        <f>"'CONFIGURAÇÃO'!M2070"</f>
        <v/>
      </c>
      <c r="D7705" s="194" t="inlineStr">
        <is>
          <t>configuração</t>
        </is>
      </c>
    </row>
    <row r="7706">
      <c r="A7706" s="194" t="inlineStr">
        <is>
          <t>custom.forma.10.peso</t>
        </is>
      </c>
      <c r="B7706" s="194">
        <f>IF(ISBLANK('CONFIGURAÇÃO'!$M$2071),"",'CONFIGURAÇÃO'!$M$2071&amp;"")</f>
        <v/>
      </c>
      <c r="C7706" s="194">
        <f>"'CONFIGURAÇÃO'!M2071"</f>
        <v/>
      </c>
      <c r="D7706" s="194" t="inlineStr">
        <is>
          <t>configuração</t>
        </is>
      </c>
    </row>
    <row r="7707">
      <c r="A7707" s="194" t="inlineStr">
        <is>
          <t>custom.forma.10.resolucao</t>
        </is>
      </c>
      <c r="B7707" s="194">
        <f>IF(ISBLANK('CONFIGURAÇÃO'!$M$2072),"",'CONFIGURAÇÃO'!$M$2072&amp;"")</f>
        <v/>
      </c>
      <c r="C7707" s="194">
        <f>"'CONFIGURAÇÃO'!M2072"</f>
        <v/>
      </c>
      <c r="D7707" s="194" t="inlineStr">
        <is>
          <t>configuração</t>
        </is>
      </c>
    </row>
    <row r="7708">
      <c r="A7708" s="194" t="inlineStr">
        <is>
          <t>custom.forma.10.resultado</t>
        </is>
      </c>
      <c r="B7708" s="194">
        <f>IF(ISBLANK('CONFIGURAÇÃO'!$M$2073),"",'CONFIGURAÇÃO'!$M$2073&amp;"")</f>
        <v/>
      </c>
      <c r="C7708" s="194">
        <f>"'CONFIGURAÇÃO'!M2073"</f>
        <v/>
      </c>
      <c r="D7708" s="194" t="inlineStr">
        <is>
          <t>configuração</t>
        </is>
      </c>
    </row>
    <row r="7709">
      <c r="A7709" s="194" t="inlineStr">
        <is>
          <t>custom.forma.10.exige_tr</t>
        </is>
      </c>
      <c r="B7709" s="194">
        <f>IF(ISBLANK('CONFIGURAÇÃO'!$M$2074),"",'CONFIGURAÇÃO'!$M$2074&amp;"")</f>
        <v/>
      </c>
      <c r="C7709" s="194">
        <f>"'CONFIGURAÇÃO'!M2074"</f>
        <v/>
      </c>
      <c r="D7709" s="194" t="inlineStr">
        <is>
          <t>configuração</t>
        </is>
      </c>
    </row>
    <row r="7710">
      <c r="A7710" s="194" t="inlineStr">
        <is>
          <t>custom.forma.10.classe_zero</t>
        </is>
      </c>
      <c r="B7710" s="194">
        <f>IF(ISBLANK('CONFIGURAÇÃO'!$M$2075),"",'CONFIGURAÇÃO'!$M$2075&amp;"")</f>
        <v/>
      </c>
      <c r="C7710" s="194">
        <f>"'CONFIGURAÇÃO'!M2075"</f>
        <v/>
      </c>
      <c r="D7710" s="194" t="inlineStr">
        <is>
          <t>configuração</t>
        </is>
      </c>
    </row>
    <row r="7711">
      <c r="A7711" s="194" t="inlineStr">
        <is>
          <t>custom.forma.10.restricao_embutida</t>
        </is>
      </c>
      <c r="B7711" s="194">
        <f>IF(ISBLANK('CONFIGURAÇÃO'!$M$2076),"",'CONFIGURAÇÃO'!$M$2076&amp;"")</f>
        <v/>
      </c>
      <c r="C7711" s="194">
        <f>"'CONFIGURAÇÃO'!M2076"</f>
        <v/>
      </c>
      <c r="D7711" s="194" t="inlineStr">
        <is>
          <t>configuração</t>
        </is>
      </c>
    </row>
    <row r="7712">
      <c r="A7712" s="194" t="inlineStr">
        <is>
          <t>custom.forma.10.alcance_escada</t>
        </is>
      </c>
      <c r="B7712" s="194">
        <f>IF(ISBLANK('CONFIGURAÇÃO'!$M$2077),"",'CONFIGURAÇÃO'!$M$2077&amp;"")</f>
        <v/>
      </c>
      <c r="C7712" s="194">
        <f>"'CONFIGURAÇÃO'!M2077"</f>
        <v/>
      </c>
      <c r="D7712" s="194" t="inlineStr">
        <is>
          <t>configuração</t>
        </is>
      </c>
    </row>
    <row r="7713">
      <c r="A7713" s="194" t="inlineStr">
        <is>
          <t>custom.forma.10.area_escada</t>
        </is>
      </c>
      <c r="B7713" s="194">
        <f>IF(ISBLANK('CONFIGURAÇÃO'!$M$2078),"",'CONFIGURAÇÃO'!$M$2078&amp;"")</f>
        <v/>
      </c>
      <c r="C7713" s="194">
        <f>"'CONFIGURAÇÃO'!M2078"</f>
        <v/>
      </c>
      <c r="D7713" s="194" t="inlineStr">
        <is>
          <t>configuração</t>
        </is>
      </c>
    </row>
    <row r="7714">
      <c r="A7714" s="194" t="inlineStr">
        <is>
          <t>custom.forma.10.alcance_personagem_classe_0</t>
        </is>
      </c>
      <c r="B7714" s="194">
        <f>IF(ISBLANK('CONFIGURAÇÃO'!$M$2079),"",'CONFIGURAÇÃO'!$M$2079&amp;"")</f>
        <v/>
      </c>
      <c r="C7714" s="194">
        <f>"'CONFIGURAÇÃO'!M2079"</f>
        <v/>
      </c>
      <c r="D7714" s="194" t="inlineStr">
        <is>
          <t>configuração</t>
        </is>
      </c>
    </row>
    <row r="7715">
      <c r="A7715" s="194" t="inlineStr">
        <is>
          <t>custom.forma.10.alcance_personagem_classes_1_a_5</t>
        </is>
      </c>
      <c r="B7715" s="194">
        <f>IF(ISBLANK('CONFIGURAÇÃO'!$M$2080),"",'CONFIGURAÇÃO'!$M$2080&amp;"")</f>
        <v/>
      </c>
      <c r="C7715" s="194">
        <f>"'CONFIGURAÇÃO'!M2080"</f>
        <v/>
      </c>
      <c r="D7715" s="194" t="inlineStr">
        <is>
          <t>configuração</t>
        </is>
      </c>
    </row>
    <row r="7716">
      <c r="A7716" s="194" t="inlineStr">
        <is>
          <t>custom.forma.10.alcance_personagem_classes_6_e_7</t>
        </is>
      </c>
      <c r="B7716" s="194">
        <f>IF(ISBLANK('CONFIGURAÇÃO'!$M$2081),"",'CONFIGURAÇÃO'!$M$2081&amp;"")</f>
        <v/>
      </c>
      <c r="C7716" s="194">
        <f>"'CONFIGURAÇÃO'!M2081"</f>
        <v/>
      </c>
      <c r="D7716" s="194" t="inlineStr">
        <is>
          <t>configuração</t>
        </is>
      </c>
    </row>
    <row r="7717">
      <c r="A7717" s="194" t="inlineStr">
        <is>
          <t>custom.forma.10.alcance_entidade_classe_0</t>
        </is>
      </c>
      <c r="B7717" s="194">
        <f>IF(ISBLANK('CONFIGURAÇÃO'!$M$2082),"",'CONFIGURAÇÃO'!$M$2082&amp;"")</f>
        <v/>
      </c>
      <c r="C7717" s="194">
        <f>"'CONFIGURAÇÃO'!M2082"</f>
        <v/>
      </c>
      <c r="D7717" s="194" t="inlineStr">
        <is>
          <t>configuração</t>
        </is>
      </c>
    </row>
    <row r="7718">
      <c r="A7718" s="194" t="inlineStr">
        <is>
          <t>custom.forma.10.alcance_entidade_classes_1_a_5</t>
        </is>
      </c>
      <c r="B7718" s="194">
        <f>IF(ISBLANK('CONFIGURAÇÃO'!$M$2083),"",'CONFIGURAÇÃO'!$M$2083&amp;"")</f>
        <v/>
      </c>
      <c r="C7718" s="194">
        <f>"'CONFIGURAÇÃO'!M2083"</f>
        <v/>
      </c>
      <c r="D7718" s="194" t="inlineStr">
        <is>
          <t>configuração</t>
        </is>
      </c>
    </row>
    <row r="7719">
      <c r="A7719" s="194" t="inlineStr">
        <is>
          <t>custom.forma.10.alcance_entidade_classe_6</t>
        </is>
      </c>
      <c r="B7719" s="194">
        <f>IF(ISBLANK('CONFIGURAÇÃO'!$M$2084),"",'CONFIGURAÇÃO'!$M$2084&amp;"")</f>
        <v/>
      </c>
      <c r="C7719" s="194">
        <f>"'CONFIGURAÇÃO'!M2084"</f>
        <v/>
      </c>
      <c r="D7719" s="194" t="inlineStr">
        <is>
          <t>configuração</t>
        </is>
      </c>
    </row>
    <row r="7720">
      <c r="A7720" s="194" t="inlineStr">
        <is>
          <t>custom.forma.10.alcance_entidade_classe_7</t>
        </is>
      </c>
      <c r="B7720" s="194">
        <f>IF(ISBLANK('CONFIGURAÇÃO'!$M$2085),"",'CONFIGURAÇÃO'!$M$2085&amp;"")</f>
        <v/>
      </c>
      <c r="C7720" s="194">
        <f>"'CONFIGURAÇÃO'!M2085"</f>
        <v/>
      </c>
      <c r="D7720" s="194" t="inlineStr">
        <is>
          <t>configuração</t>
        </is>
      </c>
    </row>
    <row r="7721">
      <c r="A7721" s="194" t="inlineStr">
        <is>
          <t>custom.forma.10.area_personagem_classe_0</t>
        </is>
      </c>
      <c r="B7721" s="194">
        <f>IF(ISBLANK('CONFIGURAÇÃO'!$M$2086),"",'CONFIGURAÇÃO'!$M$2086&amp;"")</f>
        <v/>
      </c>
      <c r="C7721" s="194">
        <f>"'CONFIGURAÇÃO'!M2086"</f>
        <v/>
      </c>
      <c r="D7721" s="194" t="inlineStr">
        <is>
          <t>configuração</t>
        </is>
      </c>
    </row>
    <row r="7722">
      <c r="A7722" s="194" t="inlineStr">
        <is>
          <t>custom.forma.10.area_personagem_classes_1_a_5</t>
        </is>
      </c>
      <c r="B7722" s="194">
        <f>IF(ISBLANK('CONFIGURAÇÃO'!$M$2087),"",'CONFIGURAÇÃO'!$M$2087&amp;"")</f>
        <v/>
      </c>
      <c r="C7722" s="194">
        <f>"'CONFIGURAÇÃO'!M2087"</f>
        <v/>
      </c>
      <c r="D7722" s="194" t="inlineStr">
        <is>
          <t>configuração</t>
        </is>
      </c>
    </row>
    <row r="7723">
      <c r="A7723" s="194" t="inlineStr">
        <is>
          <t>custom.forma.10.area_personagem_classes_6_e_7</t>
        </is>
      </c>
      <c r="B7723" s="194">
        <f>IF(ISBLANK('CONFIGURAÇÃO'!$M$2088),"",'CONFIGURAÇÃO'!$M$2088&amp;"")</f>
        <v/>
      </c>
      <c r="C7723" s="194">
        <f>"'CONFIGURAÇÃO'!M2088"</f>
        <v/>
      </c>
      <c r="D7723" s="194" t="inlineStr">
        <is>
          <t>configuração</t>
        </is>
      </c>
    </row>
    <row r="7724">
      <c r="A7724" s="194" t="inlineStr">
        <is>
          <t>custom.forma.10.area_entidade_classe_0</t>
        </is>
      </c>
      <c r="B7724" s="194">
        <f>IF(ISBLANK('CONFIGURAÇÃO'!$M$2089),"",'CONFIGURAÇÃO'!$M$2089&amp;"")</f>
        <v/>
      </c>
      <c r="C7724" s="194">
        <f>"'CONFIGURAÇÃO'!M2089"</f>
        <v/>
      </c>
      <c r="D7724" s="194" t="inlineStr">
        <is>
          <t>configuração</t>
        </is>
      </c>
    </row>
    <row r="7725">
      <c r="A7725" s="194" t="inlineStr">
        <is>
          <t>custom.forma.10.area_entidade_classes_1_a_5</t>
        </is>
      </c>
      <c r="B7725" s="194">
        <f>IF(ISBLANK('CONFIGURAÇÃO'!$M$2090),"",'CONFIGURAÇÃO'!$M$2090&amp;"")</f>
        <v/>
      </c>
      <c r="C7725" s="194">
        <f>"'CONFIGURAÇÃO'!M2090"</f>
        <v/>
      </c>
      <c r="D7725" s="194" t="inlineStr">
        <is>
          <t>configuração</t>
        </is>
      </c>
    </row>
    <row r="7726">
      <c r="A7726" s="194" t="inlineStr">
        <is>
          <t>custom.forma.10.area_entidade_classe_6</t>
        </is>
      </c>
      <c r="B7726" s="194">
        <f>IF(ISBLANK('CONFIGURAÇÃO'!$M$2091),"",'CONFIGURAÇÃO'!$M$2091&amp;"")</f>
        <v/>
      </c>
      <c r="C7726" s="194">
        <f>"'CONFIGURAÇÃO'!M2091"</f>
        <v/>
      </c>
      <c r="D7726" s="194" t="inlineStr">
        <is>
          <t>configuração</t>
        </is>
      </c>
    </row>
    <row r="7727">
      <c r="A7727" s="194" t="inlineStr">
        <is>
          <t>custom.forma.10.area_entidade_classe_7</t>
        </is>
      </c>
      <c r="B7727" s="194">
        <f>IF(ISBLANK('CONFIGURAÇÃO'!$M$2092),"",'CONFIGURAÇÃO'!$M$2092&amp;"")</f>
        <v/>
      </c>
      <c r="C7727" s="194">
        <f>"'CONFIGURAÇÃO'!M2092"</f>
        <v/>
      </c>
      <c r="D7727" s="194" t="inlineStr">
        <is>
          <t>configuração</t>
        </is>
      </c>
    </row>
    <row r="7728">
      <c r="A7728" s="194" t="inlineStr">
        <is>
          <t>custom.aptidao.1.tipo</t>
        </is>
      </c>
      <c r="B7728" s="194">
        <f>IF(ISBLANK('CONFIGURAÇÃO'!$B$2118),"",'CONFIGURAÇÃO'!$B$2118&amp;"")</f>
        <v/>
      </c>
      <c r="C7728" s="194">
        <f>"'CONFIGURAÇÃO'!B2118"</f>
        <v/>
      </c>
      <c r="D7728" s="194" t="inlineStr">
        <is>
          <t>configuração</t>
        </is>
      </c>
    </row>
    <row r="7729">
      <c r="A7729" s="194" t="inlineStr">
        <is>
          <t>custom.aptidao.1.nome</t>
        </is>
      </c>
      <c r="B7729" s="194">
        <f>IF(ISBLANK('CONFIGURAÇÃO'!$B$2120),"",'CONFIGURAÇÃO'!$B$2120&amp;"")</f>
        <v/>
      </c>
      <c r="C7729" s="194">
        <f>"'CONFIGURAÇÃO'!B2120"</f>
        <v/>
      </c>
      <c r="D7729" s="194" t="inlineStr">
        <is>
          <t>configuração</t>
        </is>
      </c>
    </row>
    <row r="7730">
      <c r="A7730" s="194" t="inlineStr">
        <is>
          <t>custom.aptidao.1.base</t>
        </is>
      </c>
      <c r="B7730" s="194">
        <f>IF(ISBLANK('CONFIGURAÇÃO'!$E$2121),"",'CONFIGURAÇÃO'!$E$2121&amp;"")</f>
        <v/>
      </c>
      <c r="C7730" s="194">
        <f>"'CONFIGURAÇÃO'!E2121"</f>
        <v/>
      </c>
      <c r="D7730" s="194" t="inlineStr">
        <is>
          <t>configuração</t>
        </is>
      </c>
    </row>
    <row r="7731">
      <c r="A7731" s="194" t="inlineStr">
        <is>
          <t>custom.aptidao.1.mestre_viu</t>
        </is>
      </c>
      <c r="B7731" s="194">
        <f>N('CONFIGURAÇÃO'!$F$2118)&amp;""</f>
        <v/>
      </c>
      <c r="C7731" s="194">
        <f>"'CONFIGURAÇÃO'!F2118"</f>
        <v/>
      </c>
      <c r="D7731" s="194" t="inlineStr">
        <is>
          <t>configuração</t>
        </is>
      </c>
    </row>
    <row r="7732">
      <c r="A7732" s="194" t="inlineStr">
        <is>
          <t>custom.aptidao.1.requisitos</t>
        </is>
      </c>
      <c r="B7732" s="194">
        <f>IF(ISBLANK('CONFIGURAÇÃO'!$B$2128),"",'CONFIGURAÇÃO'!$B$2128&amp;"")</f>
        <v/>
      </c>
      <c r="C7732" s="194">
        <f>"'CONFIGURAÇÃO'!B2128"</f>
        <v/>
      </c>
      <c r="D7732" s="194" t="inlineStr">
        <is>
          <t>configuração</t>
        </is>
      </c>
    </row>
    <row r="7733">
      <c r="A7733" s="194" t="inlineStr">
        <is>
          <t>custom.aptidao.1.efeito</t>
        </is>
      </c>
      <c r="B7733" s="194">
        <f>IF(ISBLANK('CONFIGURAÇÃO'!$B$2134),"",'CONFIGURAÇÃO'!$B$2134&amp;"")</f>
        <v/>
      </c>
      <c r="C7733" s="194">
        <f>"'CONFIGURAÇÃO'!B2134"</f>
        <v/>
      </c>
      <c r="D7733" s="194" t="inlineStr">
        <is>
          <t>configuração</t>
        </is>
      </c>
    </row>
    <row r="7734">
      <c r="A7734" s="194" t="inlineStr">
        <is>
          <t>custom.aptidao.1.categoria</t>
        </is>
      </c>
      <c r="B7734" s="194">
        <f>IF(ISBLANK('CONFIGURAÇÃO'!$E$2122),"",'CONFIGURAÇÃO'!$E$2122&amp;"")</f>
        <v/>
      </c>
      <c r="C7734" s="194">
        <f>"'CONFIGURAÇÃO'!E2122"</f>
        <v/>
      </c>
      <c r="D7734" s="194" t="inlineStr">
        <is>
          <t>configuração</t>
        </is>
      </c>
    </row>
    <row r="7735">
      <c r="A7735" s="194" t="inlineStr">
        <is>
          <t>custom.aptidao.1.nivel_minimo</t>
        </is>
      </c>
      <c r="B7735" s="194">
        <f>IF(ISBLANK('CONFIGURAÇÃO'!$E$2123),"",'CONFIGURAÇÃO'!$E$2123&amp;"")</f>
        <v/>
      </c>
      <c r="C7735" s="194">
        <f>"'CONFIGURAÇÃO'!E2123"</f>
        <v/>
      </c>
      <c r="D7735" s="194" t="inlineStr">
        <is>
          <t>configuração</t>
        </is>
      </c>
    </row>
    <row r="7736">
      <c r="A7736" s="194" t="inlineStr">
        <is>
          <t>custom.aptidao.1.refino_minimo</t>
        </is>
      </c>
      <c r="B7736" s="194">
        <f>IF(ISBLANK('CONFIGURAÇÃO'!$E$2124),"",'CONFIGURAÇÃO'!$E$2124&amp;"")</f>
        <v/>
      </c>
      <c r="C7736" s="194">
        <f>"'CONFIGURAÇÃO'!E2124"</f>
        <v/>
      </c>
      <c r="D7736" s="194" t="inlineStr">
        <is>
          <t>configuração</t>
        </is>
      </c>
    </row>
    <row r="7737">
      <c r="A7737" s="194" t="inlineStr">
        <is>
          <t>custom.aptidao.1.escolha</t>
        </is>
      </c>
      <c r="B7737" s="194">
        <f>IF(ISBLANK('CONFIGURAÇÃO'!$E$2125),"",'CONFIGURAÇÃO'!$E$2125&amp;"")</f>
        <v/>
      </c>
      <c r="C7737" s="194">
        <f>"'CONFIGURAÇÃO'!E2125"</f>
        <v/>
      </c>
      <c r="D7737" s="194" t="inlineStr">
        <is>
          <t>configuração</t>
        </is>
      </c>
    </row>
    <row r="7738">
      <c r="A7738" s="194" t="inlineStr">
        <is>
          <t>custom.aptidao.2.tipo</t>
        </is>
      </c>
      <c r="B7738" s="194">
        <f>IF(ISBLANK('CONFIGURAÇÃO'!$J$2118),"",'CONFIGURAÇÃO'!$J$2118&amp;"")</f>
        <v/>
      </c>
      <c r="C7738" s="194">
        <f>"'CONFIGURAÇÃO'!J2118"</f>
        <v/>
      </c>
      <c r="D7738" s="194" t="inlineStr">
        <is>
          <t>configuração</t>
        </is>
      </c>
    </row>
    <row r="7739">
      <c r="A7739" s="194" t="inlineStr">
        <is>
          <t>custom.aptidao.2.nome</t>
        </is>
      </c>
      <c r="B7739" s="194">
        <f>IF(ISBLANK('CONFIGURAÇÃO'!$J$2120),"",'CONFIGURAÇÃO'!$J$2120&amp;"")</f>
        <v/>
      </c>
      <c r="C7739" s="194">
        <f>"'CONFIGURAÇÃO'!J2120"</f>
        <v/>
      </c>
      <c r="D7739" s="194" t="inlineStr">
        <is>
          <t>configuração</t>
        </is>
      </c>
    </row>
    <row r="7740">
      <c r="A7740" s="194" t="inlineStr">
        <is>
          <t>custom.aptidao.2.base</t>
        </is>
      </c>
      <c r="B7740" s="194">
        <f>IF(ISBLANK('CONFIGURAÇÃO'!$M$2121),"",'CONFIGURAÇÃO'!$M$2121&amp;"")</f>
        <v/>
      </c>
      <c r="C7740" s="194">
        <f>"'CONFIGURAÇÃO'!M2121"</f>
        <v/>
      </c>
      <c r="D7740" s="194" t="inlineStr">
        <is>
          <t>configuração</t>
        </is>
      </c>
    </row>
    <row r="7741">
      <c r="A7741" s="194" t="inlineStr">
        <is>
          <t>custom.aptidao.2.mestre_viu</t>
        </is>
      </c>
      <c r="B7741" s="194">
        <f>N('CONFIGURAÇÃO'!$N$2118)&amp;""</f>
        <v/>
      </c>
      <c r="C7741" s="194">
        <f>"'CONFIGURAÇÃO'!N2118"</f>
        <v/>
      </c>
      <c r="D7741" s="194" t="inlineStr">
        <is>
          <t>configuração</t>
        </is>
      </c>
    </row>
    <row r="7742">
      <c r="A7742" s="194" t="inlineStr">
        <is>
          <t>custom.aptidao.2.requisitos</t>
        </is>
      </c>
      <c r="B7742" s="194">
        <f>IF(ISBLANK('CONFIGURAÇÃO'!$J$2128),"",'CONFIGURAÇÃO'!$J$2128&amp;"")</f>
        <v/>
      </c>
      <c r="C7742" s="194">
        <f>"'CONFIGURAÇÃO'!J2128"</f>
        <v/>
      </c>
      <c r="D7742" s="194" t="inlineStr">
        <is>
          <t>configuração</t>
        </is>
      </c>
    </row>
    <row r="7743">
      <c r="A7743" s="194" t="inlineStr">
        <is>
          <t>custom.aptidao.2.efeito</t>
        </is>
      </c>
      <c r="B7743" s="194">
        <f>IF(ISBLANK('CONFIGURAÇÃO'!$J$2134),"",'CONFIGURAÇÃO'!$J$2134&amp;"")</f>
        <v/>
      </c>
      <c r="C7743" s="194">
        <f>"'CONFIGURAÇÃO'!J2134"</f>
        <v/>
      </c>
      <c r="D7743" s="194" t="inlineStr">
        <is>
          <t>configuração</t>
        </is>
      </c>
    </row>
    <row r="7744">
      <c r="A7744" s="194" t="inlineStr">
        <is>
          <t>custom.aptidao.2.categoria</t>
        </is>
      </c>
      <c r="B7744" s="194">
        <f>IF(ISBLANK('CONFIGURAÇÃO'!$M$2122),"",'CONFIGURAÇÃO'!$M$2122&amp;"")</f>
        <v/>
      </c>
      <c r="C7744" s="194">
        <f>"'CONFIGURAÇÃO'!M2122"</f>
        <v/>
      </c>
      <c r="D7744" s="194" t="inlineStr">
        <is>
          <t>configuração</t>
        </is>
      </c>
    </row>
    <row r="7745">
      <c r="A7745" s="194" t="inlineStr">
        <is>
          <t>custom.aptidao.2.nivel_minimo</t>
        </is>
      </c>
      <c r="B7745" s="194">
        <f>IF(ISBLANK('CONFIGURAÇÃO'!$M$2123),"",'CONFIGURAÇÃO'!$M$2123&amp;"")</f>
        <v/>
      </c>
      <c r="C7745" s="194">
        <f>"'CONFIGURAÇÃO'!M2123"</f>
        <v/>
      </c>
      <c r="D7745" s="194" t="inlineStr">
        <is>
          <t>configuração</t>
        </is>
      </c>
    </row>
    <row r="7746">
      <c r="A7746" s="194" t="inlineStr">
        <is>
          <t>custom.aptidao.2.refino_minimo</t>
        </is>
      </c>
      <c r="B7746" s="194">
        <f>IF(ISBLANK('CONFIGURAÇÃO'!$M$2124),"",'CONFIGURAÇÃO'!$M$2124&amp;"")</f>
        <v/>
      </c>
      <c r="C7746" s="194">
        <f>"'CONFIGURAÇÃO'!M2124"</f>
        <v/>
      </c>
      <c r="D7746" s="194" t="inlineStr">
        <is>
          <t>configuração</t>
        </is>
      </c>
    </row>
    <row r="7747">
      <c r="A7747" s="194" t="inlineStr">
        <is>
          <t>custom.aptidao.2.escolha</t>
        </is>
      </c>
      <c r="B7747" s="194">
        <f>IF(ISBLANK('CONFIGURAÇÃO'!$M$2125),"",'CONFIGURAÇÃO'!$M$2125&amp;"")</f>
        <v/>
      </c>
      <c r="C7747" s="194">
        <f>"'CONFIGURAÇÃO'!M2125"</f>
        <v/>
      </c>
      <c r="D7747" s="194" t="inlineStr">
        <is>
          <t>configuração</t>
        </is>
      </c>
    </row>
    <row r="7748">
      <c r="A7748" s="194" t="inlineStr">
        <is>
          <t>custom.aptidao.3.tipo</t>
        </is>
      </c>
      <c r="B7748" s="194">
        <f>IF(ISBLANK('CONFIGURAÇÃO'!$B$2145),"",'CONFIGURAÇÃO'!$B$2145&amp;"")</f>
        <v/>
      </c>
      <c r="C7748" s="194">
        <f>"'CONFIGURAÇÃO'!B2145"</f>
        <v/>
      </c>
      <c r="D7748" s="194" t="inlineStr">
        <is>
          <t>configuração</t>
        </is>
      </c>
    </row>
    <row r="7749">
      <c r="A7749" s="194" t="inlineStr">
        <is>
          <t>custom.aptidao.3.nome</t>
        </is>
      </c>
      <c r="B7749" s="194">
        <f>IF(ISBLANK('CONFIGURAÇÃO'!$B$2147),"",'CONFIGURAÇÃO'!$B$2147&amp;"")</f>
        <v/>
      </c>
      <c r="C7749" s="194">
        <f>"'CONFIGURAÇÃO'!B2147"</f>
        <v/>
      </c>
      <c r="D7749" s="194" t="inlineStr">
        <is>
          <t>configuração</t>
        </is>
      </c>
    </row>
    <row r="7750">
      <c r="A7750" s="194" t="inlineStr">
        <is>
          <t>custom.aptidao.3.base</t>
        </is>
      </c>
      <c r="B7750" s="194">
        <f>IF(ISBLANK('CONFIGURAÇÃO'!$E$2148),"",'CONFIGURAÇÃO'!$E$2148&amp;"")</f>
        <v/>
      </c>
      <c r="C7750" s="194">
        <f>"'CONFIGURAÇÃO'!E2148"</f>
        <v/>
      </c>
      <c r="D7750" s="194" t="inlineStr">
        <is>
          <t>configuração</t>
        </is>
      </c>
    </row>
    <row r="7751">
      <c r="A7751" s="194" t="inlineStr">
        <is>
          <t>custom.aptidao.3.mestre_viu</t>
        </is>
      </c>
      <c r="B7751" s="194">
        <f>N('CONFIGURAÇÃO'!$F$2145)&amp;""</f>
        <v/>
      </c>
      <c r="C7751" s="194">
        <f>"'CONFIGURAÇÃO'!F2145"</f>
        <v/>
      </c>
      <c r="D7751" s="194" t="inlineStr">
        <is>
          <t>configuração</t>
        </is>
      </c>
    </row>
    <row r="7752">
      <c r="A7752" s="194" t="inlineStr">
        <is>
          <t>custom.aptidao.3.requisitos</t>
        </is>
      </c>
      <c r="B7752" s="194">
        <f>IF(ISBLANK('CONFIGURAÇÃO'!$B$2155),"",'CONFIGURAÇÃO'!$B$2155&amp;"")</f>
        <v/>
      </c>
      <c r="C7752" s="194">
        <f>"'CONFIGURAÇÃO'!B2155"</f>
        <v/>
      </c>
      <c r="D7752" s="194" t="inlineStr">
        <is>
          <t>configuração</t>
        </is>
      </c>
    </row>
    <row r="7753">
      <c r="A7753" s="194" t="inlineStr">
        <is>
          <t>custom.aptidao.3.efeito</t>
        </is>
      </c>
      <c r="B7753" s="194">
        <f>IF(ISBLANK('CONFIGURAÇÃO'!$B$2161),"",'CONFIGURAÇÃO'!$B$2161&amp;"")</f>
        <v/>
      </c>
      <c r="C7753" s="194">
        <f>"'CONFIGURAÇÃO'!B2161"</f>
        <v/>
      </c>
      <c r="D7753" s="194" t="inlineStr">
        <is>
          <t>configuração</t>
        </is>
      </c>
    </row>
    <row r="7754">
      <c r="A7754" s="194" t="inlineStr">
        <is>
          <t>custom.aptidao.3.categoria</t>
        </is>
      </c>
      <c r="B7754" s="194">
        <f>IF(ISBLANK('CONFIGURAÇÃO'!$E$2149),"",'CONFIGURAÇÃO'!$E$2149&amp;"")</f>
        <v/>
      </c>
      <c r="C7754" s="194">
        <f>"'CONFIGURAÇÃO'!E2149"</f>
        <v/>
      </c>
      <c r="D7754" s="194" t="inlineStr">
        <is>
          <t>configuração</t>
        </is>
      </c>
    </row>
    <row r="7755">
      <c r="A7755" s="194" t="inlineStr">
        <is>
          <t>custom.aptidao.3.nivel_minimo</t>
        </is>
      </c>
      <c r="B7755" s="194">
        <f>IF(ISBLANK('CONFIGURAÇÃO'!$E$2150),"",'CONFIGURAÇÃO'!$E$2150&amp;"")</f>
        <v/>
      </c>
      <c r="C7755" s="194">
        <f>"'CONFIGURAÇÃO'!E2150"</f>
        <v/>
      </c>
      <c r="D7755" s="194" t="inlineStr">
        <is>
          <t>configuração</t>
        </is>
      </c>
    </row>
    <row r="7756">
      <c r="A7756" s="194" t="inlineStr">
        <is>
          <t>custom.aptidao.3.refino_minimo</t>
        </is>
      </c>
      <c r="B7756" s="194">
        <f>IF(ISBLANK('CONFIGURAÇÃO'!$E$2151),"",'CONFIGURAÇÃO'!$E$2151&amp;"")</f>
        <v/>
      </c>
      <c r="C7756" s="194">
        <f>"'CONFIGURAÇÃO'!E2151"</f>
        <v/>
      </c>
      <c r="D7756" s="194" t="inlineStr">
        <is>
          <t>configuração</t>
        </is>
      </c>
    </row>
    <row r="7757">
      <c r="A7757" s="194" t="inlineStr">
        <is>
          <t>custom.aptidao.3.escolha</t>
        </is>
      </c>
      <c r="B7757" s="194">
        <f>IF(ISBLANK('CONFIGURAÇÃO'!$E$2152),"",'CONFIGURAÇÃO'!$E$2152&amp;"")</f>
        <v/>
      </c>
      <c r="C7757" s="194">
        <f>"'CONFIGURAÇÃO'!E2152"</f>
        <v/>
      </c>
      <c r="D7757" s="194" t="inlineStr">
        <is>
          <t>configuração</t>
        </is>
      </c>
    </row>
    <row r="7758">
      <c r="A7758" s="194" t="inlineStr">
        <is>
          <t>custom.aptidao.4.tipo</t>
        </is>
      </c>
      <c r="B7758" s="194">
        <f>IF(ISBLANK('CONFIGURAÇÃO'!$J$2145),"",'CONFIGURAÇÃO'!$J$2145&amp;"")</f>
        <v/>
      </c>
      <c r="C7758" s="194">
        <f>"'CONFIGURAÇÃO'!J2145"</f>
        <v/>
      </c>
      <c r="D7758" s="194" t="inlineStr">
        <is>
          <t>configuração</t>
        </is>
      </c>
    </row>
    <row r="7759">
      <c r="A7759" s="194" t="inlineStr">
        <is>
          <t>custom.aptidao.4.nome</t>
        </is>
      </c>
      <c r="B7759" s="194">
        <f>IF(ISBLANK('CONFIGURAÇÃO'!$J$2147),"",'CONFIGURAÇÃO'!$J$2147&amp;"")</f>
        <v/>
      </c>
      <c r="C7759" s="194">
        <f>"'CONFIGURAÇÃO'!J2147"</f>
        <v/>
      </c>
      <c r="D7759" s="194" t="inlineStr">
        <is>
          <t>configuração</t>
        </is>
      </c>
    </row>
    <row r="7760">
      <c r="A7760" s="194" t="inlineStr">
        <is>
          <t>custom.aptidao.4.base</t>
        </is>
      </c>
      <c r="B7760" s="194">
        <f>IF(ISBLANK('CONFIGURAÇÃO'!$M$2148),"",'CONFIGURAÇÃO'!$M$2148&amp;"")</f>
        <v/>
      </c>
      <c r="C7760" s="194">
        <f>"'CONFIGURAÇÃO'!M2148"</f>
        <v/>
      </c>
      <c r="D7760" s="194" t="inlineStr">
        <is>
          <t>configuração</t>
        </is>
      </c>
    </row>
    <row r="7761">
      <c r="A7761" s="194" t="inlineStr">
        <is>
          <t>custom.aptidao.4.mestre_viu</t>
        </is>
      </c>
      <c r="B7761" s="194">
        <f>N('CONFIGURAÇÃO'!$N$2145)&amp;""</f>
        <v/>
      </c>
      <c r="C7761" s="194">
        <f>"'CONFIGURAÇÃO'!N2145"</f>
        <v/>
      </c>
      <c r="D7761" s="194" t="inlineStr">
        <is>
          <t>configuração</t>
        </is>
      </c>
    </row>
    <row r="7762">
      <c r="A7762" s="194" t="inlineStr">
        <is>
          <t>custom.aptidao.4.requisitos</t>
        </is>
      </c>
      <c r="B7762" s="194">
        <f>IF(ISBLANK('CONFIGURAÇÃO'!$J$2155),"",'CONFIGURAÇÃO'!$J$2155&amp;"")</f>
        <v/>
      </c>
      <c r="C7762" s="194">
        <f>"'CONFIGURAÇÃO'!J2155"</f>
        <v/>
      </c>
      <c r="D7762" s="194" t="inlineStr">
        <is>
          <t>configuração</t>
        </is>
      </c>
    </row>
    <row r="7763">
      <c r="A7763" s="194" t="inlineStr">
        <is>
          <t>custom.aptidao.4.efeito</t>
        </is>
      </c>
      <c r="B7763" s="194">
        <f>IF(ISBLANK('CONFIGURAÇÃO'!$J$2161),"",'CONFIGURAÇÃO'!$J$2161&amp;"")</f>
        <v/>
      </c>
      <c r="C7763" s="194">
        <f>"'CONFIGURAÇÃO'!J2161"</f>
        <v/>
      </c>
      <c r="D7763" s="194" t="inlineStr">
        <is>
          <t>configuração</t>
        </is>
      </c>
    </row>
    <row r="7764">
      <c r="A7764" s="194" t="inlineStr">
        <is>
          <t>custom.aptidao.4.categoria</t>
        </is>
      </c>
      <c r="B7764" s="194">
        <f>IF(ISBLANK('CONFIGURAÇÃO'!$M$2149),"",'CONFIGURAÇÃO'!$M$2149&amp;"")</f>
        <v/>
      </c>
      <c r="C7764" s="194">
        <f>"'CONFIGURAÇÃO'!M2149"</f>
        <v/>
      </c>
      <c r="D7764" s="194" t="inlineStr">
        <is>
          <t>configuração</t>
        </is>
      </c>
    </row>
    <row r="7765">
      <c r="A7765" s="194" t="inlineStr">
        <is>
          <t>custom.aptidao.4.nivel_minimo</t>
        </is>
      </c>
      <c r="B7765" s="194">
        <f>IF(ISBLANK('CONFIGURAÇÃO'!$M$2150),"",'CONFIGURAÇÃO'!$M$2150&amp;"")</f>
        <v/>
      </c>
      <c r="C7765" s="194">
        <f>"'CONFIGURAÇÃO'!M2150"</f>
        <v/>
      </c>
      <c r="D7765" s="194" t="inlineStr">
        <is>
          <t>configuração</t>
        </is>
      </c>
    </row>
    <row r="7766">
      <c r="A7766" s="194" t="inlineStr">
        <is>
          <t>custom.aptidao.4.refino_minimo</t>
        </is>
      </c>
      <c r="B7766" s="194">
        <f>IF(ISBLANK('CONFIGURAÇÃO'!$M$2151),"",'CONFIGURAÇÃO'!$M$2151&amp;"")</f>
        <v/>
      </c>
      <c r="C7766" s="194">
        <f>"'CONFIGURAÇÃO'!M2151"</f>
        <v/>
      </c>
      <c r="D7766" s="194" t="inlineStr">
        <is>
          <t>configuração</t>
        </is>
      </c>
    </row>
    <row r="7767">
      <c r="A7767" s="194" t="inlineStr">
        <is>
          <t>custom.aptidao.4.escolha</t>
        </is>
      </c>
      <c r="B7767" s="194">
        <f>IF(ISBLANK('CONFIGURAÇÃO'!$M$2152),"",'CONFIGURAÇÃO'!$M$2152&amp;"")</f>
        <v/>
      </c>
      <c r="C7767" s="194">
        <f>"'CONFIGURAÇÃO'!M2152"</f>
        <v/>
      </c>
      <c r="D7767" s="194" t="inlineStr">
        <is>
          <t>configuração</t>
        </is>
      </c>
    </row>
    <row r="7768">
      <c r="A7768" s="194" t="inlineStr">
        <is>
          <t>custom.aptidao.5.tipo</t>
        </is>
      </c>
      <c r="B7768" s="194">
        <f>IF(ISBLANK('CONFIGURAÇÃO'!$B$2172),"",'CONFIGURAÇÃO'!$B$2172&amp;"")</f>
        <v/>
      </c>
      <c r="C7768" s="194">
        <f>"'CONFIGURAÇÃO'!B2172"</f>
        <v/>
      </c>
      <c r="D7768" s="194" t="inlineStr">
        <is>
          <t>configuração</t>
        </is>
      </c>
    </row>
    <row r="7769">
      <c r="A7769" s="194" t="inlineStr">
        <is>
          <t>custom.aptidao.5.nome</t>
        </is>
      </c>
      <c r="B7769" s="194">
        <f>IF(ISBLANK('CONFIGURAÇÃO'!$B$2174),"",'CONFIGURAÇÃO'!$B$2174&amp;"")</f>
        <v/>
      </c>
      <c r="C7769" s="194">
        <f>"'CONFIGURAÇÃO'!B2174"</f>
        <v/>
      </c>
      <c r="D7769" s="194" t="inlineStr">
        <is>
          <t>configuração</t>
        </is>
      </c>
    </row>
    <row r="7770">
      <c r="A7770" s="194" t="inlineStr">
        <is>
          <t>custom.aptidao.5.base</t>
        </is>
      </c>
      <c r="B7770" s="194">
        <f>IF(ISBLANK('CONFIGURAÇÃO'!$E$2175),"",'CONFIGURAÇÃO'!$E$2175&amp;"")</f>
        <v/>
      </c>
      <c r="C7770" s="194">
        <f>"'CONFIGURAÇÃO'!E2175"</f>
        <v/>
      </c>
      <c r="D7770" s="194" t="inlineStr">
        <is>
          <t>configuração</t>
        </is>
      </c>
    </row>
    <row r="7771">
      <c r="A7771" s="194" t="inlineStr">
        <is>
          <t>custom.aptidao.5.mestre_viu</t>
        </is>
      </c>
      <c r="B7771" s="194">
        <f>N('CONFIGURAÇÃO'!$F$2172)&amp;""</f>
        <v/>
      </c>
      <c r="C7771" s="194">
        <f>"'CONFIGURAÇÃO'!F2172"</f>
        <v/>
      </c>
      <c r="D7771" s="194" t="inlineStr">
        <is>
          <t>configuração</t>
        </is>
      </c>
    </row>
    <row r="7772">
      <c r="A7772" s="194" t="inlineStr">
        <is>
          <t>custom.aptidao.5.requisitos</t>
        </is>
      </c>
      <c r="B7772" s="194">
        <f>IF(ISBLANK('CONFIGURAÇÃO'!$B$2182),"",'CONFIGURAÇÃO'!$B$2182&amp;"")</f>
        <v/>
      </c>
      <c r="C7772" s="194">
        <f>"'CONFIGURAÇÃO'!B2182"</f>
        <v/>
      </c>
      <c r="D7772" s="194" t="inlineStr">
        <is>
          <t>configuração</t>
        </is>
      </c>
    </row>
    <row r="7773">
      <c r="A7773" s="194" t="inlineStr">
        <is>
          <t>custom.aptidao.5.efeito</t>
        </is>
      </c>
      <c r="B7773" s="194">
        <f>IF(ISBLANK('CONFIGURAÇÃO'!$B$2188),"",'CONFIGURAÇÃO'!$B$2188&amp;"")</f>
        <v/>
      </c>
      <c r="C7773" s="194">
        <f>"'CONFIGURAÇÃO'!B2188"</f>
        <v/>
      </c>
      <c r="D7773" s="194" t="inlineStr">
        <is>
          <t>configuração</t>
        </is>
      </c>
    </row>
    <row r="7774">
      <c r="A7774" s="194" t="inlineStr">
        <is>
          <t>custom.aptidao.5.categoria</t>
        </is>
      </c>
      <c r="B7774" s="194">
        <f>IF(ISBLANK('CONFIGURAÇÃO'!$E$2176),"",'CONFIGURAÇÃO'!$E$2176&amp;"")</f>
        <v/>
      </c>
      <c r="C7774" s="194">
        <f>"'CONFIGURAÇÃO'!E2176"</f>
        <v/>
      </c>
      <c r="D7774" s="194" t="inlineStr">
        <is>
          <t>configuração</t>
        </is>
      </c>
    </row>
    <row r="7775">
      <c r="A7775" s="194" t="inlineStr">
        <is>
          <t>custom.aptidao.5.nivel_minimo</t>
        </is>
      </c>
      <c r="B7775" s="194">
        <f>IF(ISBLANK('CONFIGURAÇÃO'!$E$2177),"",'CONFIGURAÇÃO'!$E$2177&amp;"")</f>
        <v/>
      </c>
      <c r="C7775" s="194">
        <f>"'CONFIGURAÇÃO'!E2177"</f>
        <v/>
      </c>
      <c r="D7775" s="194" t="inlineStr">
        <is>
          <t>configuração</t>
        </is>
      </c>
    </row>
    <row r="7776">
      <c r="A7776" s="194" t="inlineStr">
        <is>
          <t>custom.aptidao.5.refino_minimo</t>
        </is>
      </c>
      <c r="B7776" s="194">
        <f>IF(ISBLANK('CONFIGURAÇÃO'!$E$2178),"",'CONFIGURAÇÃO'!$E$2178&amp;"")</f>
        <v/>
      </c>
      <c r="C7776" s="194">
        <f>"'CONFIGURAÇÃO'!E2178"</f>
        <v/>
      </c>
      <c r="D7776" s="194" t="inlineStr">
        <is>
          <t>configuração</t>
        </is>
      </c>
    </row>
    <row r="7777">
      <c r="A7777" s="194" t="inlineStr">
        <is>
          <t>custom.aptidao.5.escolha</t>
        </is>
      </c>
      <c r="B7777" s="194">
        <f>IF(ISBLANK('CONFIGURAÇÃO'!$E$2179),"",'CONFIGURAÇÃO'!$E$2179&amp;"")</f>
        <v/>
      </c>
      <c r="C7777" s="194">
        <f>"'CONFIGURAÇÃO'!E2179"</f>
        <v/>
      </c>
      <c r="D7777" s="194" t="inlineStr">
        <is>
          <t>configuração</t>
        </is>
      </c>
    </row>
    <row r="7778">
      <c r="A7778" s="194" t="inlineStr">
        <is>
          <t>custom.aptidao.6.tipo</t>
        </is>
      </c>
      <c r="B7778" s="194">
        <f>IF(ISBLANK('CONFIGURAÇÃO'!$J$2172),"",'CONFIGURAÇÃO'!$J$2172&amp;"")</f>
        <v/>
      </c>
      <c r="C7778" s="194">
        <f>"'CONFIGURAÇÃO'!J2172"</f>
        <v/>
      </c>
      <c r="D7778" s="194" t="inlineStr">
        <is>
          <t>configuração</t>
        </is>
      </c>
    </row>
    <row r="7779">
      <c r="A7779" s="194" t="inlineStr">
        <is>
          <t>custom.aptidao.6.nome</t>
        </is>
      </c>
      <c r="B7779" s="194">
        <f>IF(ISBLANK('CONFIGURAÇÃO'!$J$2174),"",'CONFIGURAÇÃO'!$J$2174&amp;"")</f>
        <v/>
      </c>
      <c r="C7779" s="194">
        <f>"'CONFIGURAÇÃO'!J2174"</f>
        <v/>
      </c>
      <c r="D7779" s="194" t="inlineStr">
        <is>
          <t>configuração</t>
        </is>
      </c>
    </row>
    <row r="7780">
      <c r="A7780" s="194" t="inlineStr">
        <is>
          <t>custom.aptidao.6.base</t>
        </is>
      </c>
      <c r="B7780" s="194">
        <f>IF(ISBLANK('CONFIGURAÇÃO'!$M$2175),"",'CONFIGURAÇÃO'!$M$2175&amp;"")</f>
        <v/>
      </c>
      <c r="C7780" s="194">
        <f>"'CONFIGURAÇÃO'!M2175"</f>
        <v/>
      </c>
      <c r="D7780" s="194" t="inlineStr">
        <is>
          <t>configuração</t>
        </is>
      </c>
    </row>
    <row r="7781">
      <c r="A7781" s="194" t="inlineStr">
        <is>
          <t>custom.aptidao.6.mestre_viu</t>
        </is>
      </c>
      <c r="B7781" s="194">
        <f>N('CONFIGURAÇÃO'!$N$2172)&amp;""</f>
        <v/>
      </c>
      <c r="C7781" s="194">
        <f>"'CONFIGURAÇÃO'!N2172"</f>
        <v/>
      </c>
      <c r="D7781" s="194" t="inlineStr">
        <is>
          <t>configuração</t>
        </is>
      </c>
    </row>
    <row r="7782">
      <c r="A7782" s="194" t="inlineStr">
        <is>
          <t>custom.aptidao.6.requisitos</t>
        </is>
      </c>
      <c r="B7782" s="194">
        <f>IF(ISBLANK('CONFIGURAÇÃO'!$J$2182),"",'CONFIGURAÇÃO'!$J$2182&amp;"")</f>
        <v/>
      </c>
      <c r="C7782" s="194">
        <f>"'CONFIGURAÇÃO'!J2182"</f>
        <v/>
      </c>
      <c r="D7782" s="194" t="inlineStr">
        <is>
          <t>configuração</t>
        </is>
      </c>
    </row>
    <row r="7783">
      <c r="A7783" s="194" t="inlineStr">
        <is>
          <t>custom.aptidao.6.efeito</t>
        </is>
      </c>
      <c r="B7783" s="194">
        <f>IF(ISBLANK('CONFIGURAÇÃO'!$J$2188),"",'CONFIGURAÇÃO'!$J$2188&amp;"")</f>
        <v/>
      </c>
      <c r="C7783" s="194">
        <f>"'CONFIGURAÇÃO'!J2188"</f>
        <v/>
      </c>
      <c r="D7783" s="194" t="inlineStr">
        <is>
          <t>configuração</t>
        </is>
      </c>
    </row>
    <row r="7784">
      <c r="A7784" s="194" t="inlineStr">
        <is>
          <t>custom.aptidao.6.categoria</t>
        </is>
      </c>
      <c r="B7784" s="194">
        <f>IF(ISBLANK('CONFIGURAÇÃO'!$M$2176),"",'CONFIGURAÇÃO'!$M$2176&amp;"")</f>
        <v/>
      </c>
      <c r="C7784" s="194">
        <f>"'CONFIGURAÇÃO'!M2176"</f>
        <v/>
      </c>
      <c r="D7784" s="194" t="inlineStr">
        <is>
          <t>configuração</t>
        </is>
      </c>
    </row>
    <row r="7785">
      <c r="A7785" s="194" t="inlineStr">
        <is>
          <t>custom.aptidao.6.nivel_minimo</t>
        </is>
      </c>
      <c r="B7785" s="194">
        <f>IF(ISBLANK('CONFIGURAÇÃO'!$M$2177),"",'CONFIGURAÇÃO'!$M$2177&amp;"")</f>
        <v/>
      </c>
      <c r="C7785" s="194">
        <f>"'CONFIGURAÇÃO'!M2177"</f>
        <v/>
      </c>
      <c r="D7785" s="194" t="inlineStr">
        <is>
          <t>configuração</t>
        </is>
      </c>
    </row>
    <row r="7786">
      <c r="A7786" s="194" t="inlineStr">
        <is>
          <t>custom.aptidao.6.refino_minimo</t>
        </is>
      </c>
      <c r="B7786" s="194">
        <f>IF(ISBLANK('CONFIGURAÇÃO'!$M$2178),"",'CONFIGURAÇÃO'!$M$2178&amp;"")</f>
        <v/>
      </c>
      <c r="C7786" s="194">
        <f>"'CONFIGURAÇÃO'!M2178"</f>
        <v/>
      </c>
      <c r="D7786" s="194" t="inlineStr">
        <is>
          <t>configuração</t>
        </is>
      </c>
    </row>
    <row r="7787">
      <c r="A7787" s="194" t="inlineStr">
        <is>
          <t>custom.aptidao.6.escolha</t>
        </is>
      </c>
      <c r="B7787" s="194">
        <f>IF(ISBLANK('CONFIGURAÇÃO'!$M$2179),"",'CONFIGURAÇÃO'!$M$2179&amp;"")</f>
        <v/>
      </c>
      <c r="C7787" s="194">
        <f>"'CONFIGURAÇÃO'!M2179"</f>
        <v/>
      </c>
      <c r="D7787" s="194" t="inlineStr">
        <is>
          <t>configuração</t>
        </is>
      </c>
    </row>
    <row r="7788">
      <c r="A7788" s="194" t="inlineStr">
        <is>
          <t>custom.aptidao.7.tipo</t>
        </is>
      </c>
      <c r="B7788" s="194">
        <f>IF(ISBLANK('CONFIGURAÇÃO'!$B$2199),"",'CONFIGURAÇÃO'!$B$2199&amp;"")</f>
        <v/>
      </c>
      <c r="C7788" s="194">
        <f>"'CONFIGURAÇÃO'!B2199"</f>
        <v/>
      </c>
      <c r="D7788" s="194" t="inlineStr">
        <is>
          <t>configuração</t>
        </is>
      </c>
    </row>
    <row r="7789">
      <c r="A7789" s="194" t="inlineStr">
        <is>
          <t>custom.aptidao.7.nome</t>
        </is>
      </c>
      <c r="B7789" s="194">
        <f>IF(ISBLANK('CONFIGURAÇÃO'!$B$2201),"",'CONFIGURAÇÃO'!$B$2201&amp;"")</f>
        <v/>
      </c>
      <c r="C7789" s="194">
        <f>"'CONFIGURAÇÃO'!B2201"</f>
        <v/>
      </c>
      <c r="D7789" s="194" t="inlineStr">
        <is>
          <t>configuração</t>
        </is>
      </c>
    </row>
    <row r="7790">
      <c r="A7790" s="194" t="inlineStr">
        <is>
          <t>custom.aptidao.7.base</t>
        </is>
      </c>
      <c r="B7790" s="194">
        <f>IF(ISBLANK('CONFIGURAÇÃO'!$E$2202),"",'CONFIGURAÇÃO'!$E$2202&amp;"")</f>
        <v/>
      </c>
      <c r="C7790" s="194">
        <f>"'CONFIGURAÇÃO'!E2202"</f>
        <v/>
      </c>
      <c r="D7790" s="194" t="inlineStr">
        <is>
          <t>configuração</t>
        </is>
      </c>
    </row>
    <row r="7791">
      <c r="A7791" s="194" t="inlineStr">
        <is>
          <t>custom.aptidao.7.mestre_viu</t>
        </is>
      </c>
      <c r="B7791" s="194">
        <f>N('CONFIGURAÇÃO'!$F$2199)&amp;""</f>
        <v/>
      </c>
      <c r="C7791" s="194">
        <f>"'CONFIGURAÇÃO'!F2199"</f>
        <v/>
      </c>
      <c r="D7791" s="194" t="inlineStr">
        <is>
          <t>configuração</t>
        </is>
      </c>
    </row>
    <row r="7792">
      <c r="A7792" s="194" t="inlineStr">
        <is>
          <t>custom.aptidao.7.requisitos</t>
        </is>
      </c>
      <c r="B7792" s="194">
        <f>IF(ISBLANK('CONFIGURAÇÃO'!$B$2209),"",'CONFIGURAÇÃO'!$B$2209&amp;"")</f>
        <v/>
      </c>
      <c r="C7792" s="194">
        <f>"'CONFIGURAÇÃO'!B2209"</f>
        <v/>
      </c>
      <c r="D7792" s="194" t="inlineStr">
        <is>
          <t>configuração</t>
        </is>
      </c>
    </row>
    <row r="7793">
      <c r="A7793" s="194" t="inlineStr">
        <is>
          <t>custom.aptidao.7.efeito</t>
        </is>
      </c>
      <c r="B7793" s="194">
        <f>IF(ISBLANK('CONFIGURAÇÃO'!$B$2215),"",'CONFIGURAÇÃO'!$B$2215&amp;"")</f>
        <v/>
      </c>
      <c r="C7793" s="194">
        <f>"'CONFIGURAÇÃO'!B2215"</f>
        <v/>
      </c>
      <c r="D7793" s="194" t="inlineStr">
        <is>
          <t>configuração</t>
        </is>
      </c>
    </row>
    <row r="7794">
      <c r="A7794" s="194" t="inlineStr">
        <is>
          <t>custom.aptidao.7.categoria</t>
        </is>
      </c>
      <c r="B7794" s="194">
        <f>IF(ISBLANK('CONFIGURAÇÃO'!$E$2203),"",'CONFIGURAÇÃO'!$E$2203&amp;"")</f>
        <v/>
      </c>
      <c r="C7794" s="194">
        <f>"'CONFIGURAÇÃO'!E2203"</f>
        <v/>
      </c>
      <c r="D7794" s="194" t="inlineStr">
        <is>
          <t>configuração</t>
        </is>
      </c>
    </row>
    <row r="7795">
      <c r="A7795" s="194" t="inlineStr">
        <is>
          <t>custom.aptidao.7.nivel_minimo</t>
        </is>
      </c>
      <c r="B7795" s="194">
        <f>IF(ISBLANK('CONFIGURAÇÃO'!$E$2204),"",'CONFIGURAÇÃO'!$E$2204&amp;"")</f>
        <v/>
      </c>
      <c r="C7795" s="194">
        <f>"'CONFIGURAÇÃO'!E2204"</f>
        <v/>
      </c>
      <c r="D7795" s="194" t="inlineStr">
        <is>
          <t>configuração</t>
        </is>
      </c>
    </row>
    <row r="7796">
      <c r="A7796" s="194" t="inlineStr">
        <is>
          <t>custom.aptidao.7.refino_minimo</t>
        </is>
      </c>
      <c r="B7796" s="194">
        <f>IF(ISBLANK('CONFIGURAÇÃO'!$E$2205),"",'CONFIGURAÇÃO'!$E$2205&amp;"")</f>
        <v/>
      </c>
      <c r="C7796" s="194">
        <f>"'CONFIGURAÇÃO'!E2205"</f>
        <v/>
      </c>
      <c r="D7796" s="194" t="inlineStr">
        <is>
          <t>configuração</t>
        </is>
      </c>
    </row>
    <row r="7797">
      <c r="A7797" s="194" t="inlineStr">
        <is>
          <t>custom.aptidao.7.escolha</t>
        </is>
      </c>
      <c r="B7797" s="194">
        <f>IF(ISBLANK('CONFIGURAÇÃO'!$E$2206),"",'CONFIGURAÇÃO'!$E$2206&amp;"")</f>
        <v/>
      </c>
      <c r="C7797" s="194">
        <f>"'CONFIGURAÇÃO'!E2206"</f>
        <v/>
      </c>
      <c r="D7797" s="194" t="inlineStr">
        <is>
          <t>configuração</t>
        </is>
      </c>
    </row>
    <row r="7798">
      <c r="A7798" s="194" t="inlineStr">
        <is>
          <t>custom.aptidao.8.tipo</t>
        </is>
      </c>
      <c r="B7798" s="194">
        <f>IF(ISBLANK('CONFIGURAÇÃO'!$J$2199),"",'CONFIGURAÇÃO'!$J$2199&amp;"")</f>
        <v/>
      </c>
      <c r="C7798" s="194">
        <f>"'CONFIGURAÇÃO'!J2199"</f>
        <v/>
      </c>
      <c r="D7798" s="194" t="inlineStr">
        <is>
          <t>configuração</t>
        </is>
      </c>
    </row>
    <row r="7799">
      <c r="A7799" s="194" t="inlineStr">
        <is>
          <t>custom.aptidao.8.nome</t>
        </is>
      </c>
      <c r="B7799" s="194">
        <f>IF(ISBLANK('CONFIGURAÇÃO'!$J$2201),"",'CONFIGURAÇÃO'!$J$2201&amp;"")</f>
        <v/>
      </c>
      <c r="C7799" s="194">
        <f>"'CONFIGURAÇÃO'!J2201"</f>
        <v/>
      </c>
      <c r="D7799" s="194" t="inlineStr">
        <is>
          <t>configuração</t>
        </is>
      </c>
    </row>
    <row r="7800">
      <c r="A7800" s="194" t="inlineStr">
        <is>
          <t>custom.aptidao.8.base</t>
        </is>
      </c>
      <c r="B7800" s="194">
        <f>IF(ISBLANK('CONFIGURAÇÃO'!$M$2202),"",'CONFIGURAÇÃO'!$M$2202&amp;"")</f>
        <v/>
      </c>
      <c r="C7800" s="194">
        <f>"'CONFIGURAÇÃO'!M2202"</f>
        <v/>
      </c>
      <c r="D7800" s="194" t="inlineStr">
        <is>
          <t>configuração</t>
        </is>
      </c>
    </row>
    <row r="7801">
      <c r="A7801" s="194" t="inlineStr">
        <is>
          <t>custom.aptidao.8.mestre_viu</t>
        </is>
      </c>
      <c r="B7801" s="194">
        <f>N('CONFIGURAÇÃO'!$N$2199)&amp;""</f>
        <v/>
      </c>
      <c r="C7801" s="194">
        <f>"'CONFIGURAÇÃO'!N2199"</f>
        <v/>
      </c>
      <c r="D7801" s="194" t="inlineStr">
        <is>
          <t>configuração</t>
        </is>
      </c>
    </row>
    <row r="7802">
      <c r="A7802" s="194" t="inlineStr">
        <is>
          <t>custom.aptidao.8.requisitos</t>
        </is>
      </c>
      <c r="B7802" s="194">
        <f>IF(ISBLANK('CONFIGURAÇÃO'!$J$2209),"",'CONFIGURAÇÃO'!$J$2209&amp;"")</f>
        <v/>
      </c>
      <c r="C7802" s="194">
        <f>"'CONFIGURAÇÃO'!J2209"</f>
        <v/>
      </c>
      <c r="D7802" s="194" t="inlineStr">
        <is>
          <t>configuração</t>
        </is>
      </c>
    </row>
    <row r="7803">
      <c r="A7803" s="194" t="inlineStr">
        <is>
          <t>custom.aptidao.8.efeito</t>
        </is>
      </c>
      <c r="B7803" s="194">
        <f>IF(ISBLANK('CONFIGURAÇÃO'!$J$2215),"",'CONFIGURAÇÃO'!$J$2215&amp;"")</f>
        <v/>
      </c>
      <c r="C7803" s="194">
        <f>"'CONFIGURAÇÃO'!J2215"</f>
        <v/>
      </c>
      <c r="D7803" s="194" t="inlineStr">
        <is>
          <t>configuração</t>
        </is>
      </c>
    </row>
    <row r="7804">
      <c r="A7804" s="194" t="inlineStr">
        <is>
          <t>custom.aptidao.8.categoria</t>
        </is>
      </c>
      <c r="B7804" s="194">
        <f>IF(ISBLANK('CONFIGURAÇÃO'!$M$2203),"",'CONFIGURAÇÃO'!$M$2203&amp;"")</f>
        <v/>
      </c>
      <c r="C7804" s="194">
        <f>"'CONFIGURAÇÃO'!M2203"</f>
        <v/>
      </c>
      <c r="D7804" s="194" t="inlineStr">
        <is>
          <t>configuração</t>
        </is>
      </c>
    </row>
    <row r="7805">
      <c r="A7805" s="194" t="inlineStr">
        <is>
          <t>custom.aptidao.8.nivel_minimo</t>
        </is>
      </c>
      <c r="B7805" s="194">
        <f>IF(ISBLANK('CONFIGURAÇÃO'!$M$2204),"",'CONFIGURAÇÃO'!$M$2204&amp;"")</f>
        <v/>
      </c>
      <c r="C7805" s="194">
        <f>"'CONFIGURAÇÃO'!M2204"</f>
        <v/>
      </c>
      <c r="D7805" s="194" t="inlineStr">
        <is>
          <t>configuração</t>
        </is>
      </c>
    </row>
    <row r="7806">
      <c r="A7806" s="194" t="inlineStr">
        <is>
          <t>custom.aptidao.8.refino_minimo</t>
        </is>
      </c>
      <c r="B7806" s="194">
        <f>IF(ISBLANK('CONFIGURAÇÃO'!$M$2205),"",'CONFIGURAÇÃO'!$M$2205&amp;"")</f>
        <v/>
      </c>
      <c r="C7806" s="194">
        <f>"'CONFIGURAÇÃO'!M2205"</f>
        <v/>
      </c>
      <c r="D7806" s="194" t="inlineStr">
        <is>
          <t>configuração</t>
        </is>
      </c>
    </row>
    <row r="7807">
      <c r="A7807" s="194" t="inlineStr">
        <is>
          <t>custom.aptidao.8.escolha</t>
        </is>
      </c>
      <c r="B7807" s="194">
        <f>IF(ISBLANK('CONFIGURAÇÃO'!$M$2206),"",'CONFIGURAÇÃO'!$M$2206&amp;"")</f>
        <v/>
      </c>
      <c r="C7807" s="194">
        <f>"'CONFIGURAÇÃO'!M2206"</f>
        <v/>
      </c>
      <c r="D7807" s="194" t="inlineStr">
        <is>
          <t>configuração</t>
        </is>
      </c>
    </row>
    <row r="7808">
      <c r="A7808" s="194" t="inlineStr">
        <is>
          <t>custom.aptidao.9.tipo</t>
        </is>
      </c>
      <c r="B7808" s="194">
        <f>IF(ISBLANK('CONFIGURAÇÃO'!$B$2226),"",'CONFIGURAÇÃO'!$B$2226&amp;"")</f>
        <v/>
      </c>
      <c r="C7808" s="194">
        <f>"'CONFIGURAÇÃO'!B2226"</f>
        <v/>
      </c>
      <c r="D7808" s="194" t="inlineStr">
        <is>
          <t>configuração</t>
        </is>
      </c>
    </row>
    <row r="7809">
      <c r="A7809" s="194" t="inlineStr">
        <is>
          <t>custom.aptidao.9.nome</t>
        </is>
      </c>
      <c r="B7809" s="194">
        <f>IF(ISBLANK('CONFIGURAÇÃO'!$B$2228),"",'CONFIGURAÇÃO'!$B$2228&amp;"")</f>
        <v/>
      </c>
      <c r="C7809" s="194">
        <f>"'CONFIGURAÇÃO'!B2228"</f>
        <v/>
      </c>
      <c r="D7809" s="194" t="inlineStr">
        <is>
          <t>configuração</t>
        </is>
      </c>
    </row>
    <row r="7810">
      <c r="A7810" s="194" t="inlineStr">
        <is>
          <t>custom.aptidao.9.base</t>
        </is>
      </c>
      <c r="B7810" s="194">
        <f>IF(ISBLANK('CONFIGURAÇÃO'!$E$2229),"",'CONFIGURAÇÃO'!$E$2229&amp;"")</f>
        <v/>
      </c>
      <c r="C7810" s="194">
        <f>"'CONFIGURAÇÃO'!E2229"</f>
        <v/>
      </c>
      <c r="D7810" s="194" t="inlineStr">
        <is>
          <t>configuração</t>
        </is>
      </c>
    </row>
    <row r="7811">
      <c r="A7811" s="194" t="inlineStr">
        <is>
          <t>custom.aptidao.9.mestre_viu</t>
        </is>
      </c>
      <c r="B7811" s="194">
        <f>N('CONFIGURAÇÃO'!$F$2226)&amp;""</f>
        <v/>
      </c>
      <c r="C7811" s="194">
        <f>"'CONFIGURAÇÃO'!F2226"</f>
        <v/>
      </c>
      <c r="D7811" s="194" t="inlineStr">
        <is>
          <t>configuração</t>
        </is>
      </c>
    </row>
    <row r="7812">
      <c r="A7812" s="194" t="inlineStr">
        <is>
          <t>custom.aptidao.9.requisitos</t>
        </is>
      </c>
      <c r="B7812" s="194">
        <f>IF(ISBLANK('CONFIGURAÇÃO'!$B$2236),"",'CONFIGURAÇÃO'!$B$2236&amp;"")</f>
        <v/>
      </c>
      <c r="C7812" s="194">
        <f>"'CONFIGURAÇÃO'!B2236"</f>
        <v/>
      </c>
      <c r="D7812" s="194" t="inlineStr">
        <is>
          <t>configuração</t>
        </is>
      </c>
    </row>
    <row r="7813">
      <c r="A7813" s="194" t="inlineStr">
        <is>
          <t>custom.aptidao.9.efeito</t>
        </is>
      </c>
      <c r="B7813" s="194">
        <f>IF(ISBLANK('CONFIGURAÇÃO'!$B$2242),"",'CONFIGURAÇÃO'!$B$2242&amp;"")</f>
        <v/>
      </c>
      <c r="C7813" s="194">
        <f>"'CONFIGURAÇÃO'!B2242"</f>
        <v/>
      </c>
      <c r="D7813" s="194" t="inlineStr">
        <is>
          <t>configuração</t>
        </is>
      </c>
    </row>
    <row r="7814">
      <c r="A7814" s="194" t="inlineStr">
        <is>
          <t>custom.aptidao.9.categoria</t>
        </is>
      </c>
      <c r="B7814" s="194">
        <f>IF(ISBLANK('CONFIGURAÇÃO'!$E$2230),"",'CONFIGURAÇÃO'!$E$2230&amp;"")</f>
        <v/>
      </c>
      <c r="C7814" s="194">
        <f>"'CONFIGURAÇÃO'!E2230"</f>
        <v/>
      </c>
      <c r="D7814" s="194" t="inlineStr">
        <is>
          <t>configuração</t>
        </is>
      </c>
    </row>
    <row r="7815">
      <c r="A7815" s="194" t="inlineStr">
        <is>
          <t>custom.aptidao.9.nivel_minimo</t>
        </is>
      </c>
      <c r="B7815" s="194">
        <f>IF(ISBLANK('CONFIGURAÇÃO'!$E$2231),"",'CONFIGURAÇÃO'!$E$2231&amp;"")</f>
        <v/>
      </c>
      <c r="C7815" s="194">
        <f>"'CONFIGURAÇÃO'!E2231"</f>
        <v/>
      </c>
      <c r="D7815" s="194" t="inlineStr">
        <is>
          <t>configuração</t>
        </is>
      </c>
    </row>
    <row r="7816">
      <c r="A7816" s="194" t="inlineStr">
        <is>
          <t>custom.aptidao.9.refino_minimo</t>
        </is>
      </c>
      <c r="B7816" s="194">
        <f>IF(ISBLANK('CONFIGURAÇÃO'!$E$2232),"",'CONFIGURAÇÃO'!$E$2232&amp;"")</f>
        <v/>
      </c>
      <c r="C7816" s="194">
        <f>"'CONFIGURAÇÃO'!E2232"</f>
        <v/>
      </c>
      <c r="D7816" s="194" t="inlineStr">
        <is>
          <t>configuração</t>
        </is>
      </c>
    </row>
    <row r="7817">
      <c r="A7817" s="194" t="inlineStr">
        <is>
          <t>custom.aptidao.9.escolha</t>
        </is>
      </c>
      <c r="B7817" s="194">
        <f>IF(ISBLANK('CONFIGURAÇÃO'!$E$2233),"",'CONFIGURAÇÃO'!$E$2233&amp;"")</f>
        <v/>
      </c>
      <c r="C7817" s="194">
        <f>"'CONFIGURAÇÃO'!E2233"</f>
        <v/>
      </c>
      <c r="D7817" s="194" t="inlineStr">
        <is>
          <t>configuração</t>
        </is>
      </c>
    </row>
    <row r="7818">
      <c r="A7818" s="194" t="inlineStr">
        <is>
          <t>custom.aptidao.10.tipo</t>
        </is>
      </c>
      <c r="B7818" s="194">
        <f>IF(ISBLANK('CONFIGURAÇÃO'!$J$2226),"",'CONFIGURAÇÃO'!$J$2226&amp;"")</f>
        <v/>
      </c>
      <c r="C7818" s="194">
        <f>"'CONFIGURAÇÃO'!J2226"</f>
        <v/>
      </c>
      <c r="D7818" s="194" t="inlineStr">
        <is>
          <t>configuração</t>
        </is>
      </c>
    </row>
    <row r="7819">
      <c r="A7819" s="194" t="inlineStr">
        <is>
          <t>custom.aptidao.10.nome</t>
        </is>
      </c>
      <c r="B7819" s="194">
        <f>IF(ISBLANK('CONFIGURAÇÃO'!$J$2228),"",'CONFIGURAÇÃO'!$J$2228&amp;"")</f>
        <v/>
      </c>
      <c r="C7819" s="194">
        <f>"'CONFIGURAÇÃO'!J2228"</f>
        <v/>
      </c>
      <c r="D7819" s="194" t="inlineStr">
        <is>
          <t>configuração</t>
        </is>
      </c>
    </row>
    <row r="7820">
      <c r="A7820" s="194" t="inlineStr">
        <is>
          <t>custom.aptidao.10.base</t>
        </is>
      </c>
      <c r="B7820" s="194">
        <f>IF(ISBLANK('CONFIGURAÇÃO'!$M$2229),"",'CONFIGURAÇÃO'!$M$2229&amp;"")</f>
        <v/>
      </c>
      <c r="C7820" s="194">
        <f>"'CONFIGURAÇÃO'!M2229"</f>
        <v/>
      </c>
      <c r="D7820" s="194" t="inlineStr">
        <is>
          <t>configuração</t>
        </is>
      </c>
    </row>
    <row r="7821">
      <c r="A7821" s="194" t="inlineStr">
        <is>
          <t>custom.aptidao.10.mestre_viu</t>
        </is>
      </c>
      <c r="B7821" s="194">
        <f>N('CONFIGURAÇÃO'!$N$2226)&amp;""</f>
        <v/>
      </c>
      <c r="C7821" s="194">
        <f>"'CONFIGURAÇÃO'!N2226"</f>
        <v/>
      </c>
      <c r="D7821" s="194" t="inlineStr">
        <is>
          <t>configuração</t>
        </is>
      </c>
    </row>
    <row r="7822">
      <c r="A7822" s="194" t="inlineStr">
        <is>
          <t>custom.aptidao.10.requisitos</t>
        </is>
      </c>
      <c r="B7822" s="194">
        <f>IF(ISBLANK('CONFIGURAÇÃO'!$J$2236),"",'CONFIGURAÇÃO'!$J$2236&amp;"")</f>
        <v/>
      </c>
      <c r="C7822" s="194">
        <f>"'CONFIGURAÇÃO'!J2236"</f>
        <v/>
      </c>
      <c r="D7822" s="194" t="inlineStr">
        <is>
          <t>configuração</t>
        </is>
      </c>
    </row>
    <row r="7823">
      <c r="A7823" s="194" t="inlineStr">
        <is>
          <t>custom.aptidao.10.efeito</t>
        </is>
      </c>
      <c r="B7823" s="194">
        <f>IF(ISBLANK('CONFIGURAÇÃO'!$J$2242),"",'CONFIGURAÇÃO'!$J$2242&amp;"")</f>
        <v/>
      </c>
      <c r="C7823" s="194">
        <f>"'CONFIGURAÇÃO'!J2242"</f>
        <v/>
      </c>
      <c r="D7823" s="194" t="inlineStr">
        <is>
          <t>configuração</t>
        </is>
      </c>
    </row>
    <row r="7824">
      <c r="A7824" s="194" t="inlineStr">
        <is>
          <t>custom.aptidao.10.categoria</t>
        </is>
      </c>
      <c r="B7824" s="194">
        <f>IF(ISBLANK('CONFIGURAÇÃO'!$M$2230),"",'CONFIGURAÇÃO'!$M$2230&amp;"")</f>
        <v/>
      </c>
      <c r="C7824" s="194">
        <f>"'CONFIGURAÇÃO'!M2230"</f>
        <v/>
      </c>
      <c r="D7824" s="194" t="inlineStr">
        <is>
          <t>configuração</t>
        </is>
      </c>
    </row>
    <row r="7825">
      <c r="A7825" s="194" t="inlineStr">
        <is>
          <t>custom.aptidao.10.nivel_minimo</t>
        </is>
      </c>
      <c r="B7825" s="194">
        <f>IF(ISBLANK('CONFIGURAÇÃO'!$M$2231),"",'CONFIGURAÇÃO'!$M$2231&amp;"")</f>
        <v/>
      </c>
      <c r="C7825" s="194">
        <f>"'CONFIGURAÇÃO'!M2231"</f>
        <v/>
      </c>
      <c r="D7825" s="194" t="inlineStr">
        <is>
          <t>configuração</t>
        </is>
      </c>
    </row>
    <row r="7826">
      <c r="A7826" s="194" t="inlineStr">
        <is>
          <t>custom.aptidao.10.refino_minimo</t>
        </is>
      </c>
      <c r="B7826" s="194">
        <f>IF(ISBLANK('CONFIGURAÇÃO'!$M$2232),"",'CONFIGURAÇÃO'!$M$2232&amp;"")</f>
        <v/>
      </c>
      <c r="C7826" s="194">
        <f>"'CONFIGURAÇÃO'!M2232"</f>
        <v/>
      </c>
      <c r="D7826" s="194" t="inlineStr">
        <is>
          <t>configuração</t>
        </is>
      </c>
    </row>
    <row r="7827">
      <c r="A7827" s="194" t="inlineStr">
        <is>
          <t>custom.aptidao.10.escolha</t>
        </is>
      </c>
      <c r="B7827" s="194">
        <f>IF(ISBLANK('CONFIGURAÇÃO'!$M$2233),"",'CONFIGURAÇÃO'!$M$2233&amp;"")</f>
        <v/>
      </c>
      <c r="C7827" s="194">
        <f>"'CONFIGURAÇÃO'!M2233"</f>
        <v/>
      </c>
      <c r="D7827" s="194" t="inlineStr">
        <is>
          <t>configuração</t>
        </is>
      </c>
    </row>
    <row r="7828">
      <c r="A7828" s="194" t="inlineStr">
        <is>
          <t>custom.talento.1.tipo</t>
        </is>
      </c>
      <c r="B7828" s="194">
        <f>IF(ISBLANK('CONFIGURAÇÃO'!$B$2259),"",'CONFIGURAÇÃO'!$B$2259&amp;"")</f>
        <v/>
      </c>
      <c r="C7828" s="194">
        <f>"'CONFIGURAÇÃO'!B2259"</f>
        <v/>
      </c>
      <c r="D7828" s="194" t="inlineStr">
        <is>
          <t>configuração</t>
        </is>
      </c>
    </row>
    <row r="7829">
      <c r="A7829" s="194" t="inlineStr">
        <is>
          <t>custom.talento.1.nome</t>
        </is>
      </c>
      <c r="B7829" s="194">
        <f>IF(ISBLANK('CONFIGURAÇÃO'!$B$2261),"",'CONFIGURAÇÃO'!$B$2261&amp;"")</f>
        <v/>
      </c>
      <c r="C7829" s="194">
        <f>"'CONFIGURAÇÃO'!B2261"</f>
        <v/>
      </c>
      <c r="D7829" s="194" t="inlineStr">
        <is>
          <t>configuração</t>
        </is>
      </c>
    </row>
    <row r="7830">
      <c r="A7830" s="194" t="inlineStr">
        <is>
          <t>custom.talento.1.base</t>
        </is>
      </c>
      <c r="B7830" s="194">
        <f>IF(ISBLANK('CONFIGURAÇÃO'!$E$2262),"",'CONFIGURAÇÃO'!$E$2262&amp;"")</f>
        <v/>
      </c>
      <c r="C7830" s="194">
        <f>"'CONFIGURAÇÃO'!E2262"</f>
        <v/>
      </c>
      <c r="D7830" s="194" t="inlineStr">
        <is>
          <t>configuração</t>
        </is>
      </c>
    </row>
    <row r="7831">
      <c r="A7831" s="194" t="inlineStr">
        <is>
          <t>custom.talento.1.mestre_viu</t>
        </is>
      </c>
      <c r="B7831" s="194">
        <f>N('CONFIGURAÇÃO'!$F$2259)&amp;""</f>
        <v/>
      </c>
      <c r="C7831" s="194">
        <f>"'CONFIGURAÇÃO'!F2259"</f>
        <v/>
      </c>
      <c r="D7831" s="194" t="inlineStr">
        <is>
          <t>configuração</t>
        </is>
      </c>
    </row>
    <row r="7832">
      <c r="A7832" s="194" t="inlineStr">
        <is>
          <t>custom.talento.1.requisitos</t>
        </is>
      </c>
      <c r="B7832" s="194">
        <f>IF(ISBLANK('CONFIGURAÇÃO'!$B$2267),"",'CONFIGURAÇÃO'!$B$2267&amp;"")</f>
        <v/>
      </c>
      <c r="C7832" s="194">
        <f>"'CONFIGURAÇÃO'!B2267"</f>
        <v/>
      </c>
      <c r="D7832" s="194" t="inlineStr">
        <is>
          <t>configuração</t>
        </is>
      </c>
    </row>
    <row r="7833">
      <c r="A7833" s="194" t="inlineStr">
        <is>
          <t>custom.talento.1.efeito</t>
        </is>
      </c>
      <c r="B7833" s="194">
        <f>IF(ISBLANK('CONFIGURAÇÃO'!$B$2273),"",'CONFIGURAÇÃO'!$B$2273&amp;"")</f>
        <v/>
      </c>
      <c r="C7833" s="194">
        <f>"'CONFIGURAÇÃO'!B2273"</f>
        <v/>
      </c>
      <c r="D7833" s="194" t="inlineStr">
        <is>
          <t>configuração</t>
        </is>
      </c>
    </row>
    <row r="7834">
      <c r="A7834" s="194" t="inlineStr">
        <is>
          <t>custom.talento.1.categoria</t>
        </is>
      </c>
      <c r="B7834" s="194">
        <f>IF(ISBLANK('CONFIGURAÇÃO'!$E$2263),"",'CONFIGURAÇÃO'!$E$2263&amp;"")</f>
        <v/>
      </c>
      <c r="C7834" s="194">
        <f>"'CONFIGURAÇÃO'!E2263"</f>
        <v/>
      </c>
      <c r="D7834" s="194" t="inlineStr">
        <is>
          <t>configuração</t>
        </is>
      </c>
    </row>
    <row r="7835">
      <c r="A7835" s="194" t="inlineStr">
        <is>
          <t>custom.talento.1.rota</t>
        </is>
      </c>
      <c r="B7835" s="194">
        <f>IF(ISBLANK('CONFIGURAÇÃO'!$E$2264),"",'CONFIGURAÇÃO'!$E$2264&amp;"")</f>
        <v/>
      </c>
      <c r="C7835" s="194">
        <f>"'CONFIGURAÇÃO'!E2264"</f>
        <v/>
      </c>
      <c r="D7835" s="194" t="inlineStr">
        <is>
          <t>configuração</t>
        </is>
      </c>
    </row>
    <row r="7836">
      <c r="A7836" s="194" t="inlineStr">
        <is>
          <t>custom.talento.2.tipo</t>
        </is>
      </c>
      <c r="B7836" s="194">
        <f>IF(ISBLANK('CONFIGURAÇÃO'!$J$2259),"",'CONFIGURAÇÃO'!$J$2259&amp;"")</f>
        <v/>
      </c>
      <c r="C7836" s="194">
        <f>"'CONFIGURAÇÃO'!J2259"</f>
        <v/>
      </c>
      <c r="D7836" s="194" t="inlineStr">
        <is>
          <t>configuração</t>
        </is>
      </c>
    </row>
    <row r="7837">
      <c r="A7837" s="194" t="inlineStr">
        <is>
          <t>custom.talento.2.nome</t>
        </is>
      </c>
      <c r="B7837" s="194">
        <f>IF(ISBLANK('CONFIGURAÇÃO'!$J$2261),"",'CONFIGURAÇÃO'!$J$2261&amp;"")</f>
        <v/>
      </c>
      <c r="C7837" s="194">
        <f>"'CONFIGURAÇÃO'!J2261"</f>
        <v/>
      </c>
      <c r="D7837" s="194" t="inlineStr">
        <is>
          <t>configuração</t>
        </is>
      </c>
    </row>
    <row r="7838">
      <c r="A7838" s="194" t="inlineStr">
        <is>
          <t>custom.talento.2.base</t>
        </is>
      </c>
      <c r="B7838" s="194">
        <f>IF(ISBLANK('CONFIGURAÇÃO'!$M$2262),"",'CONFIGURAÇÃO'!$M$2262&amp;"")</f>
        <v/>
      </c>
      <c r="C7838" s="194">
        <f>"'CONFIGURAÇÃO'!M2262"</f>
        <v/>
      </c>
      <c r="D7838" s="194" t="inlineStr">
        <is>
          <t>configuração</t>
        </is>
      </c>
    </row>
    <row r="7839">
      <c r="A7839" s="194" t="inlineStr">
        <is>
          <t>custom.talento.2.mestre_viu</t>
        </is>
      </c>
      <c r="B7839" s="194">
        <f>N('CONFIGURAÇÃO'!$N$2259)&amp;""</f>
        <v/>
      </c>
      <c r="C7839" s="194">
        <f>"'CONFIGURAÇÃO'!N2259"</f>
        <v/>
      </c>
      <c r="D7839" s="194" t="inlineStr">
        <is>
          <t>configuração</t>
        </is>
      </c>
    </row>
    <row r="7840">
      <c r="A7840" s="194" t="inlineStr">
        <is>
          <t>custom.talento.2.requisitos</t>
        </is>
      </c>
      <c r="B7840" s="194">
        <f>IF(ISBLANK('CONFIGURAÇÃO'!$J$2267),"",'CONFIGURAÇÃO'!$J$2267&amp;"")</f>
        <v/>
      </c>
      <c r="C7840" s="194">
        <f>"'CONFIGURAÇÃO'!J2267"</f>
        <v/>
      </c>
      <c r="D7840" s="194" t="inlineStr">
        <is>
          <t>configuração</t>
        </is>
      </c>
    </row>
    <row r="7841">
      <c r="A7841" s="194" t="inlineStr">
        <is>
          <t>custom.talento.2.efeito</t>
        </is>
      </c>
      <c r="B7841" s="194">
        <f>IF(ISBLANK('CONFIGURAÇÃO'!$J$2273),"",'CONFIGURAÇÃO'!$J$2273&amp;"")</f>
        <v/>
      </c>
      <c r="C7841" s="194">
        <f>"'CONFIGURAÇÃO'!J2273"</f>
        <v/>
      </c>
      <c r="D7841" s="194" t="inlineStr">
        <is>
          <t>configuração</t>
        </is>
      </c>
    </row>
    <row r="7842">
      <c r="A7842" s="194" t="inlineStr">
        <is>
          <t>custom.talento.2.categoria</t>
        </is>
      </c>
      <c r="B7842" s="194">
        <f>IF(ISBLANK('CONFIGURAÇÃO'!$M$2263),"",'CONFIGURAÇÃO'!$M$2263&amp;"")</f>
        <v/>
      </c>
      <c r="C7842" s="194">
        <f>"'CONFIGURAÇÃO'!M2263"</f>
        <v/>
      </c>
      <c r="D7842" s="194" t="inlineStr">
        <is>
          <t>configuração</t>
        </is>
      </c>
    </row>
    <row r="7843">
      <c r="A7843" s="194" t="inlineStr">
        <is>
          <t>custom.talento.2.rota</t>
        </is>
      </c>
      <c r="B7843" s="194">
        <f>IF(ISBLANK('CONFIGURAÇÃO'!$M$2264),"",'CONFIGURAÇÃO'!$M$2264&amp;"")</f>
        <v/>
      </c>
      <c r="C7843" s="194">
        <f>"'CONFIGURAÇÃO'!M2264"</f>
        <v/>
      </c>
      <c r="D7843" s="194" t="inlineStr">
        <is>
          <t>configuração</t>
        </is>
      </c>
    </row>
    <row r="7844">
      <c r="A7844" s="194" t="inlineStr">
        <is>
          <t>custom.talento.3.tipo</t>
        </is>
      </c>
      <c r="B7844" s="194">
        <f>IF(ISBLANK('CONFIGURAÇÃO'!$B$2284),"",'CONFIGURAÇÃO'!$B$2284&amp;"")</f>
        <v/>
      </c>
      <c r="C7844" s="194">
        <f>"'CONFIGURAÇÃO'!B2284"</f>
        <v/>
      </c>
      <c r="D7844" s="194" t="inlineStr">
        <is>
          <t>configuração</t>
        </is>
      </c>
    </row>
    <row r="7845">
      <c r="A7845" s="194" t="inlineStr">
        <is>
          <t>custom.talento.3.nome</t>
        </is>
      </c>
      <c r="B7845" s="194">
        <f>IF(ISBLANK('CONFIGURAÇÃO'!$B$2286),"",'CONFIGURAÇÃO'!$B$2286&amp;"")</f>
        <v/>
      </c>
      <c r="C7845" s="194">
        <f>"'CONFIGURAÇÃO'!B2286"</f>
        <v/>
      </c>
      <c r="D7845" s="194" t="inlineStr">
        <is>
          <t>configuração</t>
        </is>
      </c>
    </row>
    <row r="7846">
      <c r="A7846" s="194" t="inlineStr">
        <is>
          <t>custom.talento.3.base</t>
        </is>
      </c>
      <c r="B7846" s="194">
        <f>IF(ISBLANK('CONFIGURAÇÃO'!$E$2287),"",'CONFIGURAÇÃO'!$E$2287&amp;"")</f>
        <v/>
      </c>
      <c r="C7846" s="194">
        <f>"'CONFIGURAÇÃO'!E2287"</f>
        <v/>
      </c>
      <c r="D7846" s="194" t="inlineStr">
        <is>
          <t>configuração</t>
        </is>
      </c>
    </row>
    <row r="7847">
      <c r="A7847" s="194" t="inlineStr">
        <is>
          <t>custom.talento.3.mestre_viu</t>
        </is>
      </c>
      <c r="B7847" s="194">
        <f>N('CONFIGURAÇÃO'!$F$2284)&amp;""</f>
        <v/>
      </c>
      <c r="C7847" s="194">
        <f>"'CONFIGURAÇÃO'!F2284"</f>
        <v/>
      </c>
      <c r="D7847" s="194" t="inlineStr">
        <is>
          <t>configuração</t>
        </is>
      </c>
    </row>
    <row r="7848">
      <c r="A7848" s="194" t="inlineStr">
        <is>
          <t>custom.talento.3.requisitos</t>
        </is>
      </c>
      <c r="B7848" s="194">
        <f>IF(ISBLANK('CONFIGURAÇÃO'!$B$2292),"",'CONFIGURAÇÃO'!$B$2292&amp;"")</f>
        <v/>
      </c>
      <c r="C7848" s="194">
        <f>"'CONFIGURAÇÃO'!B2292"</f>
        <v/>
      </c>
      <c r="D7848" s="194" t="inlineStr">
        <is>
          <t>configuração</t>
        </is>
      </c>
    </row>
    <row r="7849">
      <c r="A7849" s="194" t="inlineStr">
        <is>
          <t>custom.talento.3.efeito</t>
        </is>
      </c>
      <c r="B7849" s="194">
        <f>IF(ISBLANK('CONFIGURAÇÃO'!$B$2298),"",'CONFIGURAÇÃO'!$B$2298&amp;"")</f>
        <v/>
      </c>
      <c r="C7849" s="194">
        <f>"'CONFIGURAÇÃO'!B2298"</f>
        <v/>
      </c>
      <c r="D7849" s="194" t="inlineStr">
        <is>
          <t>configuração</t>
        </is>
      </c>
    </row>
    <row r="7850">
      <c r="A7850" s="194" t="inlineStr">
        <is>
          <t>custom.talento.3.categoria</t>
        </is>
      </c>
      <c r="B7850" s="194">
        <f>IF(ISBLANK('CONFIGURAÇÃO'!$E$2288),"",'CONFIGURAÇÃO'!$E$2288&amp;"")</f>
        <v/>
      </c>
      <c r="C7850" s="194">
        <f>"'CONFIGURAÇÃO'!E2288"</f>
        <v/>
      </c>
      <c r="D7850" s="194" t="inlineStr">
        <is>
          <t>configuração</t>
        </is>
      </c>
    </row>
    <row r="7851">
      <c r="A7851" s="194" t="inlineStr">
        <is>
          <t>custom.talento.3.rota</t>
        </is>
      </c>
      <c r="B7851" s="194">
        <f>IF(ISBLANK('CONFIGURAÇÃO'!$E$2289),"",'CONFIGURAÇÃO'!$E$2289&amp;"")</f>
        <v/>
      </c>
      <c r="C7851" s="194">
        <f>"'CONFIGURAÇÃO'!E2289"</f>
        <v/>
      </c>
      <c r="D7851" s="194" t="inlineStr">
        <is>
          <t>configuração</t>
        </is>
      </c>
    </row>
    <row r="7852">
      <c r="A7852" s="194" t="inlineStr">
        <is>
          <t>custom.talento.4.tipo</t>
        </is>
      </c>
      <c r="B7852" s="194">
        <f>IF(ISBLANK('CONFIGURAÇÃO'!$J$2284),"",'CONFIGURAÇÃO'!$J$2284&amp;"")</f>
        <v/>
      </c>
      <c r="C7852" s="194">
        <f>"'CONFIGURAÇÃO'!J2284"</f>
        <v/>
      </c>
      <c r="D7852" s="194" t="inlineStr">
        <is>
          <t>configuração</t>
        </is>
      </c>
    </row>
    <row r="7853">
      <c r="A7853" s="194" t="inlineStr">
        <is>
          <t>custom.talento.4.nome</t>
        </is>
      </c>
      <c r="B7853" s="194">
        <f>IF(ISBLANK('CONFIGURAÇÃO'!$J$2286),"",'CONFIGURAÇÃO'!$J$2286&amp;"")</f>
        <v/>
      </c>
      <c r="C7853" s="194">
        <f>"'CONFIGURAÇÃO'!J2286"</f>
        <v/>
      </c>
      <c r="D7853" s="194" t="inlineStr">
        <is>
          <t>configuração</t>
        </is>
      </c>
    </row>
    <row r="7854">
      <c r="A7854" s="194" t="inlineStr">
        <is>
          <t>custom.talento.4.base</t>
        </is>
      </c>
      <c r="B7854" s="194">
        <f>IF(ISBLANK('CONFIGURAÇÃO'!$M$2287),"",'CONFIGURAÇÃO'!$M$2287&amp;"")</f>
        <v/>
      </c>
      <c r="C7854" s="194">
        <f>"'CONFIGURAÇÃO'!M2287"</f>
        <v/>
      </c>
      <c r="D7854" s="194" t="inlineStr">
        <is>
          <t>configuração</t>
        </is>
      </c>
    </row>
    <row r="7855">
      <c r="A7855" s="194" t="inlineStr">
        <is>
          <t>custom.talento.4.mestre_viu</t>
        </is>
      </c>
      <c r="B7855" s="194">
        <f>N('CONFIGURAÇÃO'!$N$2284)&amp;""</f>
        <v/>
      </c>
      <c r="C7855" s="194">
        <f>"'CONFIGURAÇÃO'!N2284"</f>
        <v/>
      </c>
      <c r="D7855" s="194" t="inlineStr">
        <is>
          <t>configuração</t>
        </is>
      </c>
    </row>
    <row r="7856">
      <c r="A7856" s="194" t="inlineStr">
        <is>
          <t>custom.talento.4.requisitos</t>
        </is>
      </c>
      <c r="B7856" s="194">
        <f>IF(ISBLANK('CONFIGURAÇÃO'!$J$2292),"",'CONFIGURAÇÃO'!$J$2292&amp;"")</f>
        <v/>
      </c>
      <c r="C7856" s="194">
        <f>"'CONFIGURAÇÃO'!J2292"</f>
        <v/>
      </c>
      <c r="D7856" s="194" t="inlineStr">
        <is>
          <t>configuração</t>
        </is>
      </c>
    </row>
    <row r="7857">
      <c r="A7857" s="194" t="inlineStr">
        <is>
          <t>custom.talento.4.efeito</t>
        </is>
      </c>
      <c r="B7857" s="194">
        <f>IF(ISBLANK('CONFIGURAÇÃO'!$J$2298),"",'CONFIGURAÇÃO'!$J$2298&amp;"")</f>
        <v/>
      </c>
      <c r="C7857" s="194">
        <f>"'CONFIGURAÇÃO'!J2298"</f>
        <v/>
      </c>
      <c r="D7857" s="194" t="inlineStr">
        <is>
          <t>configuração</t>
        </is>
      </c>
    </row>
    <row r="7858">
      <c r="A7858" s="194" t="inlineStr">
        <is>
          <t>custom.talento.4.categoria</t>
        </is>
      </c>
      <c r="B7858" s="194">
        <f>IF(ISBLANK('CONFIGURAÇÃO'!$M$2288),"",'CONFIGURAÇÃO'!$M$2288&amp;"")</f>
        <v/>
      </c>
      <c r="C7858" s="194">
        <f>"'CONFIGURAÇÃO'!M2288"</f>
        <v/>
      </c>
      <c r="D7858" s="194" t="inlineStr">
        <is>
          <t>configuração</t>
        </is>
      </c>
    </row>
    <row r="7859">
      <c r="A7859" s="194" t="inlineStr">
        <is>
          <t>custom.talento.4.rota</t>
        </is>
      </c>
      <c r="B7859" s="194">
        <f>IF(ISBLANK('CONFIGURAÇÃO'!$M$2289),"",'CONFIGURAÇÃO'!$M$2289&amp;"")</f>
        <v/>
      </c>
      <c r="C7859" s="194">
        <f>"'CONFIGURAÇÃO'!M2289"</f>
        <v/>
      </c>
      <c r="D7859" s="194" t="inlineStr">
        <is>
          <t>configuração</t>
        </is>
      </c>
    </row>
    <row r="7860">
      <c r="A7860" s="194" t="inlineStr">
        <is>
          <t>custom.talento.5.tipo</t>
        </is>
      </c>
      <c r="B7860" s="194">
        <f>IF(ISBLANK('CONFIGURAÇÃO'!$B$2309),"",'CONFIGURAÇÃO'!$B$2309&amp;"")</f>
        <v/>
      </c>
      <c r="C7860" s="194">
        <f>"'CONFIGURAÇÃO'!B2309"</f>
        <v/>
      </c>
      <c r="D7860" s="194" t="inlineStr">
        <is>
          <t>configuração</t>
        </is>
      </c>
    </row>
    <row r="7861">
      <c r="A7861" s="194" t="inlineStr">
        <is>
          <t>custom.talento.5.nome</t>
        </is>
      </c>
      <c r="B7861" s="194">
        <f>IF(ISBLANK('CONFIGURAÇÃO'!$B$2311),"",'CONFIGURAÇÃO'!$B$2311&amp;"")</f>
        <v/>
      </c>
      <c r="C7861" s="194">
        <f>"'CONFIGURAÇÃO'!B2311"</f>
        <v/>
      </c>
      <c r="D7861" s="194" t="inlineStr">
        <is>
          <t>configuração</t>
        </is>
      </c>
    </row>
    <row r="7862">
      <c r="A7862" s="194" t="inlineStr">
        <is>
          <t>custom.talento.5.base</t>
        </is>
      </c>
      <c r="B7862" s="194">
        <f>IF(ISBLANK('CONFIGURAÇÃO'!$E$2312),"",'CONFIGURAÇÃO'!$E$2312&amp;"")</f>
        <v/>
      </c>
      <c r="C7862" s="194">
        <f>"'CONFIGURAÇÃO'!E2312"</f>
        <v/>
      </c>
      <c r="D7862" s="194" t="inlineStr">
        <is>
          <t>configuração</t>
        </is>
      </c>
    </row>
    <row r="7863">
      <c r="A7863" s="194" t="inlineStr">
        <is>
          <t>custom.talento.5.mestre_viu</t>
        </is>
      </c>
      <c r="B7863" s="194">
        <f>N('CONFIGURAÇÃO'!$F$2309)&amp;""</f>
        <v/>
      </c>
      <c r="C7863" s="194">
        <f>"'CONFIGURAÇÃO'!F2309"</f>
        <v/>
      </c>
      <c r="D7863" s="194" t="inlineStr">
        <is>
          <t>configuração</t>
        </is>
      </c>
    </row>
    <row r="7864">
      <c r="A7864" s="194" t="inlineStr">
        <is>
          <t>custom.talento.5.requisitos</t>
        </is>
      </c>
      <c r="B7864" s="194">
        <f>IF(ISBLANK('CONFIGURAÇÃO'!$B$2317),"",'CONFIGURAÇÃO'!$B$2317&amp;"")</f>
        <v/>
      </c>
      <c r="C7864" s="194">
        <f>"'CONFIGURAÇÃO'!B2317"</f>
        <v/>
      </c>
      <c r="D7864" s="194" t="inlineStr">
        <is>
          <t>configuração</t>
        </is>
      </c>
    </row>
    <row r="7865">
      <c r="A7865" s="194" t="inlineStr">
        <is>
          <t>custom.talento.5.efeito</t>
        </is>
      </c>
      <c r="B7865" s="194">
        <f>IF(ISBLANK('CONFIGURAÇÃO'!$B$2323),"",'CONFIGURAÇÃO'!$B$2323&amp;"")</f>
        <v/>
      </c>
      <c r="C7865" s="194">
        <f>"'CONFIGURAÇÃO'!B2323"</f>
        <v/>
      </c>
      <c r="D7865" s="194" t="inlineStr">
        <is>
          <t>configuração</t>
        </is>
      </c>
    </row>
    <row r="7866">
      <c r="A7866" s="194" t="inlineStr">
        <is>
          <t>custom.talento.5.categoria</t>
        </is>
      </c>
      <c r="B7866" s="194">
        <f>IF(ISBLANK('CONFIGURAÇÃO'!$E$2313),"",'CONFIGURAÇÃO'!$E$2313&amp;"")</f>
        <v/>
      </c>
      <c r="C7866" s="194">
        <f>"'CONFIGURAÇÃO'!E2313"</f>
        <v/>
      </c>
      <c r="D7866" s="194" t="inlineStr">
        <is>
          <t>configuração</t>
        </is>
      </c>
    </row>
    <row r="7867">
      <c r="A7867" s="194" t="inlineStr">
        <is>
          <t>custom.talento.5.rota</t>
        </is>
      </c>
      <c r="B7867" s="194">
        <f>IF(ISBLANK('CONFIGURAÇÃO'!$E$2314),"",'CONFIGURAÇÃO'!$E$2314&amp;"")</f>
        <v/>
      </c>
      <c r="C7867" s="194">
        <f>"'CONFIGURAÇÃO'!E2314"</f>
        <v/>
      </c>
      <c r="D7867" s="194" t="inlineStr">
        <is>
          <t>configuração</t>
        </is>
      </c>
    </row>
    <row r="7868">
      <c r="A7868" s="194" t="inlineStr">
        <is>
          <t>custom.talento.6.tipo</t>
        </is>
      </c>
      <c r="B7868" s="194">
        <f>IF(ISBLANK('CONFIGURAÇÃO'!$J$2309),"",'CONFIGURAÇÃO'!$J$2309&amp;"")</f>
        <v/>
      </c>
      <c r="C7868" s="194">
        <f>"'CONFIGURAÇÃO'!J2309"</f>
        <v/>
      </c>
      <c r="D7868" s="194" t="inlineStr">
        <is>
          <t>configuração</t>
        </is>
      </c>
    </row>
    <row r="7869">
      <c r="A7869" s="194" t="inlineStr">
        <is>
          <t>custom.talento.6.nome</t>
        </is>
      </c>
      <c r="B7869" s="194">
        <f>IF(ISBLANK('CONFIGURAÇÃO'!$J$2311),"",'CONFIGURAÇÃO'!$J$2311&amp;"")</f>
        <v/>
      </c>
      <c r="C7869" s="194">
        <f>"'CONFIGURAÇÃO'!J2311"</f>
        <v/>
      </c>
      <c r="D7869" s="194" t="inlineStr">
        <is>
          <t>configuração</t>
        </is>
      </c>
    </row>
    <row r="7870">
      <c r="A7870" s="194" t="inlineStr">
        <is>
          <t>custom.talento.6.base</t>
        </is>
      </c>
      <c r="B7870" s="194">
        <f>IF(ISBLANK('CONFIGURAÇÃO'!$M$2312),"",'CONFIGURAÇÃO'!$M$2312&amp;"")</f>
        <v/>
      </c>
      <c r="C7870" s="194">
        <f>"'CONFIGURAÇÃO'!M2312"</f>
        <v/>
      </c>
      <c r="D7870" s="194" t="inlineStr">
        <is>
          <t>configuração</t>
        </is>
      </c>
    </row>
    <row r="7871">
      <c r="A7871" s="194" t="inlineStr">
        <is>
          <t>custom.talento.6.mestre_viu</t>
        </is>
      </c>
      <c r="B7871" s="194">
        <f>N('CONFIGURAÇÃO'!$N$2309)&amp;""</f>
        <v/>
      </c>
      <c r="C7871" s="194">
        <f>"'CONFIGURAÇÃO'!N2309"</f>
        <v/>
      </c>
      <c r="D7871" s="194" t="inlineStr">
        <is>
          <t>configuração</t>
        </is>
      </c>
    </row>
    <row r="7872">
      <c r="A7872" s="194" t="inlineStr">
        <is>
          <t>custom.talento.6.requisitos</t>
        </is>
      </c>
      <c r="B7872" s="194">
        <f>IF(ISBLANK('CONFIGURAÇÃO'!$J$2317),"",'CONFIGURAÇÃO'!$J$2317&amp;"")</f>
        <v/>
      </c>
      <c r="C7872" s="194">
        <f>"'CONFIGURAÇÃO'!J2317"</f>
        <v/>
      </c>
      <c r="D7872" s="194" t="inlineStr">
        <is>
          <t>configuração</t>
        </is>
      </c>
    </row>
    <row r="7873">
      <c r="A7873" s="194" t="inlineStr">
        <is>
          <t>custom.talento.6.efeito</t>
        </is>
      </c>
      <c r="B7873" s="194">
        <f>IF(ISBLANK('CONFIGURAÇÃO'!$J$2323),"",'CONFIGURAÇÃO'!$J$2323&amp;"")</f>
        <v/>
      </c>
      <c r="C7873" s="194">
        <f>"'CONFIGURAÇÃO'!J2323"</f>
        <v/>
      </c>
      <c r="D7873" s="194" t="inlineStr">
        <is>
          <t>configuração</t>
        </is>
      </c>
    </row>
    <row r="7874">
      <c r="A7874" s="194" t="inlineStr">
        <is>
          <t>custom.talento.6.categoria</t>
        </is>
      </c>
      <c r="B7874" s="194">
        <f>IF(ISBLANK('CONFIGURAÇÃO'!$M$2313),"",'CONFIGURAÇÃO'!$M$2313&amp;"")</f>
        <v/>
      </c>
      <c r="C7874" s="194">
        <f>"'CONFIGURAÇÃO'!M2313"</f>
        <v/>
      </c>
      <c r="D7874" s="194" t="inlineStr">
        <is>
          <t>configuração</t>
        </is>
      </c>
    </row>
    <row r="7875">
      <c r="A7875" s="194" t="inlineStr">
        <is>
          <t>custom.talento.6.rota</t>
        </is>
      </c>
      <c r="B7875" s="194">
        <f>IF(ISBLANK('CONFIGURAÇÃO'!$M$2314),"",'CONFIGURAÇÃO'!$M$2314&amp;"")</f>
        <v/>
      </c>
      <c r="C7875" s="194">
        <f>"'CONFIGURAÇÃO'!M2314"</f>
        <v/>
      </c>
      <c r="D7875" s="194" t="inlineStr">
        <is>
          <t>configuração</t>
        </is>
      </c>
    </row>
    <row r="7876">
      <c r="A7876" s="194" t="inlineStr">
        <is>
          <t>custom.talento.7.tipo</t>
        </is>
      </c>
      <c r="B7876" s="194">
        <f>IF(ISBLANK('CONFIGURAÇÃO'!$B$2334),"",'CONFIGURAÇÃO'!$B$2334&amp;"")</f>
        <v/>
      </c>
      <c r="C7876" s="194">
        <f>"'CONFIGURAÇÃO'!B2334"</f>
        <v/>
      </c>
      <c r="D7876" s="194" t="inlineStr">
        <is>
          <t>configuração</t>
        </is>
      </c>
    </row>
    <row r="7877">
      <c r="A7877" s="194" t="inlineStr">
        <is>
          <t>custom.talento.7.nome</t>
        </is>
      </c>
      <c r="B7877" s="194">
        <f>IF(ISBLANK('CONFIGURAÇÃO'!$B$2336),"",'CONFIGURAÇÃO'!$B$2336&amp;"")</f>
        <v/>
      </c>
      <c r="C7877" s="194">
        <f>"'CONFIGURAÇÃO'!B2336"</f>
        <v/>
      </c>
      <c r="D7877" s="194" t="inlineStr">
        <is>
          <t>configuração</t>
        </is>
      </c>
    </row>
    <row r="7878">
      <c r="A7878" s="194" t="inlineStr">
        <is>
          <t>custom.talento.7.base</t>
        </is>
      </c>
      <c r="B7878" s="194">
        <f>IF(ISBLANK('CONFIGURAÇÃO'!$E$2337),"",'CONFIGURAÇÃO'!$E$2337&amp;"")</f>
        <v/>
      </c>
      <c r="C7878" s="194">
        <f>"'CONFIGURAÇÃO'!E2337"</f>
        <v/>
      </c>
      <c r="D7878" s="194" t="inlineStr">
        <is>
          <t>configuração</t>
        </is>
      </c>
    </row>
    <row r="7879">
      <c r="A7879" s="194" t="inlineStr">
        <is>
          <t>custom.talento.7.mestre_viu</t>
        </is>
      </c>
      <c r="B7879" s="194">
        <f>N('CONFIGURAÇÃO'!$F$2334)&amp;""</f>
        <v/>
      </c>
      <c r="C7879" s="194">
        <f>"'CONFIGURAÇÃO'!F2334"</f>
        <v/>
      </c>
      <c r="D7879" s="194" t="inlineStr">
        <is>
          <t>configuração</t>
        </is>
      </c>
    </row>
    <row r="7880">
      <c r="A7880" s="194" t="inlineStr">
        <is>
          <t>custom.talento.7.requisitos</t>
        </is>
      </c>
      <c r="B7880" s="194">
        <f>IF(ISBLANK('CONFIGURAÇÃO'!$B$2342),"",'CONFIGURAÇÃO'!$B$2342&amp;"")</f>
        <v/>
      </c>
      <c r="C7880" s="194">
        <f>"'CONFIGURAÇÃO'!B2342"</f>
        <v/>
      </c>
      <c r="D7880" s="194" t="inlineStr">
        <is>
          <t>configuração</t>
        </is>
      </c>
    </row>
    <row r="7881">
      <c r="A7881" s="194" t="inlineStr">
        <is>
          <t>custom.talento.7.efeito</t>
        </is>
      </c>
      <c r="B7881" s="194">
        <f>IF(ISBLANK('CONFIGURAÇÃO'!$B$2348),"",'CONFIGURAÇÃO'!$B$2348&amp;"")</f>
        <v/>
      </c>
      <c r="C7881" s="194">
        <f>"'CONFIGURAÇÃO'!B2348"</f>
        <v/>
      </c>
      <c r="D7881" s="194" t="inlineStr">
        <is>
          <t>configuração</t>
        </is>
      </c>
    </row>
    <row r="7882">
      <c r="A7882" s="194" t="inlineStr">
        <is>
          <t>custom.talento.7.categoria</t>
        </is>
      </c>
      <c r="B7882" s="194">
        <f>IF(ISBLANK('CONFIGURAÇÃO'!$E$2338),"",'CONFIGURAÇÃO'!$E$2338&amp;"")</f>
        <v/>
      </c>
      <c r="C7882" s="194">
        <f>"'CONFIGURAÇÃO'!E2338"</f>
        <v/>
      </c>
      <c r="D7882" s="194" t="inlineStr">
        <is>
          <t>configuração</t>
        </is>
      </c>
    </row>
    <row r="7883">
      <c r="A7883" s="194" t="inlineStr">
        <is>
          <t>custom.talento.7.rota</t>
        </is>
      </c>
      <c r="B7883" s="194">
        <f>IF(ISBLANK('CONFIGURAÇÃO'!$E$2339),"",'CONFIGURAÇÃO'!$E$2339&amp;"")</f>
        <v/>
      </c>
      <c r="C7883" s="194">
        <f>"'CONFIGURAÇÃO'!E2339"</f>
        <v/>
      </c>
      <c r="D7883" s="194" t="inlineStr">
        <is>
          <t>configuração</t>
        </is>
      </c>
    </row>
    <row r="7884">
      <c r="A7884" s="194" t="inlineStr">
        <is>
          <t>custom.talento.8.tipo</t>
        </is>
      </c>
      <c r="B7884" s="194">
        <f>IF(ISBLANK('CONFIGURAÇÃO'!$J$2334),"",'CONFIGURAÇÃO'!$J$2334&amp;"")</f>
        <v/>
      </c>
      <c r="C7884" s="194">
        <f>"'CONFIGURAÇÃO'!J2334"</f>
        <v/>
      </c>
      <c r="D7884" s="194" t="inlineStr">
        <is>
          <t>configuração</t>
        </is>
      </c>
    </row>
    <row r="7885">
      <c r="A7885" s="194" t="inlineStr">
        <is>
          <t>custom.talento.8.nome</t>
        </is>
      </c>
      <c r="B7885" s="194">
        <f>IF(ISBLANK('CONFIGURAÇÃO'!$J$2336),"",'CONFIGURAÇÃO'!$J$2336&amp;"")</f>
        <v/>
      </c>
      <c r="C7885" s="194">
        <f>"'CONFIGURAÇÃO'!J2336"</f>
        <v/>
      </c>
      <c r="D7885" s="194" t="inlineStr">
        <is>
          <t>configuração</t>
        </is>
      </c>
    </row>
    <row r="7886">
      <c r="A7886" s="194" t="inlineStr">
        <is>
          <t>custom.talento.8.base</t>
        </is>
      </c>
      <c r="B7886" s="194">
        <f>IF(ISBLANK('CONFIGURAÇÃO'!$M$2337),"",'CONFIGURAÇÃO'!$M$2337&amp;"")</f>
        <v/>
      </c>
      <c r="C7886" s="194">
        <f>"'CONFIGURAÇÃO'!M2337"</f>
        <v/>
      </c>
      <c r="D7886" s="194" t="inlineStr">
        <is>
          <t>configuração</t>
        </is>
      </c>
    </row>
    <row r="7887">
      <c r="A7887" s="194" t="inlineStr">
        <is>
          <t>custom.talento.8.mestre_viu</t>
        </is>
      </c>
      <c r="B7887" s="194">
        <f>N('CONFIGURAÇÃO'!$N$2334)&amp;""</f>
        <v/>
      </c>
      <c r="C7887" s="194">
        <f>"'CONFIGURAÇÃO'!N2334"</f>
        <v/>
      </c>
      <c r="D7887" s="194" t="inlineStr">
        <is>
          <t>configuração</t>
        </is>
      </c>
    </row>
    <row r="7888">
      <c r="A7888" s="194" t="inlineStr">
        <is>
          <t>custom.talento.8.requisitos</t>
        </is>
      </c>
      <c r="B7888" s="194">
        <f>IF(ISBLANK('CONFIGURAÇÃO'!$J$2342),"",'CONFIGURAÇÃO'!$J$2342&amp;"")</f>
        <v/>
      </c>
      <c r="C7888" s="194">
        <f>"'CONFIGURAÇÃO'!J2342"</f>
        <v/>
      </c>
      <c r="D7888" s="194" t="inlineStr">
        <is>
          <t>configuração</t>
        </is>
      </c>
    </row>
    <row r="7889">
      <c r="A7889" s="194" t="inlineStr">
        <is>
          <t>custom.talento.8.efeito</t>
        </is>
      </c>
      <c r="B7889" s="194">
        <f>IF(ISBLANK('CONFIGURAÇÃO'!$J$2348),"",'CONFIGURAÇÃO'!$J$2348&amp;"")</f>
        <v/>
      </c>
      <c r="C7889" s="194">
        <f>"'CONFIGURAÇÃO'!J2348"</f>
        <v/>
      </c>
      <c r="D7889" s="194" t="inlineStr">
        <is>
          <t>configuração</t>
        </is>
      </c>
    </row>
    <row r="7890">
      <c r="A7890" s="194" t="inlineStr">
        <is>
          <t>custom.talento.8.categoria</t>
        </is>
      </c>
      <c r="B7890" s="194">
        <f>IF(ISBLANK('CONFIGURAÇÃO'!$M$2338),"",'CONFIGURAÇÃO'!$M$2338&amp;"")</f>
        <v/>
      </c>
      <c r="C7890" s="194">
        <f>"'CONFIGURAÇÃO'!M2338"</f>
        <v/>
      </c>
      <c r="D7890" s="194" t="inlineStr">
        <is>
          <t>configuração</t>
        </is>
      </c>
    </row>
    <row r="7891">
      <c r="A7891" s="194" t="inlineStr">
        <is>
          <t>custom.talento.8.rota</t>
        </is>
      </c>
      <c r="B7891" s="194">
        <f>IF(ISBLANK('CONFIGURAÇÃO'!$M$2339),"",'CONFIGURAÇÃO'!$M$2339&amp;"")</f>
        <v/>
      </c>
      <c r="C7891" s="194">
        <f>"'CONFIGURAÇÃO'!M2339"</f>
        <v/>
      </c>
      <c r="D7891" s="194" t="inlineStr">
        <is>
          <t>configuração</t>
        </is>
      </c>
    </row>
    <row r="7892">
      <c r="A7892" s="194" t="inlineStr">
        <is>
          <t>custom.talento.9.tipo</t>
        </is>
      </c>
      <c r="B7892" s="194">
        <f>IF(ISBLANK('CONFIGURAÇÃO'!$B$2359),"",'CONFIGURAÇÃO'!$B$2359&amp;"")</f>
        <v/>
      </c>
      <c r="C7892" s="194">
        <f>"'CONFIGURAÇÃO'!B2359"</f>
        <v/>
      </c>
      <c r="D7892" s="194" t="inlineStr">
        <is>
          <t>configuração</t>
        </is>
      </c>
    </row>
    <row r="7893">
      <c r="A7893" s="194" t="inlineStr">
        <is>
          <t>custom.talento.9.nome</t>
        </is>
      </c>
      <c r="B7893" s="194">
        <f>IF(ISBLANK('CONFIGURAÇÃO'!$B$2361),"",'CONFIGURAÇÃO'!$B$2361&amp;"")</f>
        <v/>
      </c>
      <c r="C7893" s="194">
        <f>"'CONFIGURAÇÃO'!B2361"</f>
        <v/>
      </c>
      <c r="D7893" s="194" t="inlineStr">
        <is>
          <t>configuração</t>
        </is>
      </c>
    </row>
    <row r="7894">
      <c r="A7894" s="194" t="inlineStr">
        <is>
          <t>custom.talento.9.base</t>
        </is>
      </c>
      <c r="B7894" s="194">
        <f>IF(ISBLANK('CONFIGURAÇÃO'!$E$2362),"",'CONFIGURAÇÃO'!$E$2362&amp;"")</f>
        <v/>
      </c>
      <c r="C7894" s="194">
        <f>"'CONFIGURAÇÃO'!E2362"</f>
        <v/>
      </c>
      <c r="D7894" s="194" t="inlineStr">
        <is>
          <t>configuração</t>
        </is>
      </c>
    </row>
    <row r="7895">
      <c r="A7895" s="194" t="inlineStr">
        <is>
          <t>custom.talento.9.mestre_viu</t>
        </is>
      </c>
      <c r="B7895" s="194">
        <f>N('CONFIGURAÇÃO'!$F$2359)&amp;""</f>
        <v/>
      </c>
      <c r="C7895" s="194">
        <f>"'CONFIGURAÇÃO'!F2359"</f>
        <v/>
      </c>
      <c r="D7895" s="194" t="inlineStr">
        <is>
          <t>configuração</t>
        </is>
      </c>
    </row>
    <row r="7896">
      <c r="A7896" s="194" t="inlineStr">
        <is>
          <t>custom.talento.9.requisitos</t>
        </is>
      </c>
      <c r="B7896" s="194">
        <f>IF(ISBLANK('CONFIGURAÇÃO'!$B$2367),"",'CONFIGURAÇÃO'!$B$2367&amp;"")</f>
        <v/>
      </c>
      <c r="C7896" s="194">
        <f>"'CONFIGURAÇÃO'!B2367"</f>
        <v/>
      </c>
      <c r="D7896" s="194" t="inlineStr">
        <is>
          <t>configuração</t>
        </is>
      </c>
    </row>
    <row r="7897">
      <c r="A7897" s="194" t="inlineStr">
        <is>
          <t>custom.talento.9.efeito</t>
        </is>
      </c>
      <c r="B7897" s="194">
        <f>IF(ISBLANK('CONFIGURAÇÃO'!$B$2373),"",'CONFIGURAÇÃO'!$B$2373&amp;"")</f>
        <v/>
      </c>
      <c r="C7897" s="194">
        <f>"'CONFIGURAÇÃO'!B2373"</f>
        <v/>
      </c>
      <c r="D7897" s="194" t="inlineStr">
        <is>
          <t>configuração</t>
        </is>
      </c>
    </row>
    <row r="7898">
      <c r="A7898" s="194" t="inlineStr">
        <is>
          <t>custom.talento.9.categoria</t>
        </is>
      </c>
      <c r="B7898" s="194">
        <f>IF(ISBLANK('CONFIGURAÇÃO'!$E$2363),"",'CONFIGURAÇÃO'!$E$2363&amp;"")</f>
        <v/>
      </c>
      <c r="C7898" s="194">
        <f>"'CONFIGURAÇÃO'!E2363"</f>
        <v/>
      </c>
      <c r="D7898" s="194" t="inlineStr">
        <is>
          <t>configuração</t>
        </is>
      </c>
    </row>
    <row r="7899">
      <c r="A7899" s="194" t="inlineStr">
        <is>
          <t>custom.talento.9.rota</t>
        </is>
      </c>
      <c r="B7899" s="194">
        <f>IF(ISBLANK('CONFIGURAÇÃO'!$E$2364),"",'CONFIGURAÇÃO'!$E$2364&amp;"")</f>
        <v/>
      </c>
      <c r="C7899" s="194">
        <f>"'CONFIGURAÇÃO'!E2364"</f>
        <v/>
      </c>
      <c r="D7899" s="194" t="inlineStr">
        <is>
          <t>configuração</t>
        </is>
      </c>
    </row>
    <row r="7900">
      <c r="A7900" s="194" t="inlineStr">
        <is>
          <t>custom.talento.10.tipo</t>
        </is>
      </c>
      <c r="B7900" s="194">
        <f>IF(ISBLANK('CONFIGURAÇÃO'!$J$2359),"",'CONFIGURAÇÃO'!$J$2359&amp;"")</f>
        <v/>
      </c>
      <c r="C7900" s="194">
        <f>"'CONFIGURAÇÃO'!J2359"</f>
        <v/>
      </c>
      <c r="D7900" s="194" t="inlineStr">
        <is>
          <t>configuração</t>
        </is>
      </c>
    </row>
    <row r="7901">
      <c r="A7901" s="194" t="inlineStr">
        <is>
          <t>custom.talento.10.nome</t>
        </is>
      </c>
      <c r="B7901" s="194">
        <f>IF(ISBLANK('CONFIGURAÇÃO'!$J$2361),"",'CONFIGURAÇÃO'!$J$2361&amp;"")</f>
        <v/>
      </c>
      <c r="C7901" s="194">
        <f>"'CONFIGURAÇÃO'!J2361"</f>
        <v/>
      </c>
      <c r="D7901" s="194" t="inlineStr">
        <is>
          <t>configuração</t>
        </is>
      </c>
    </row>
    <row r="7902">
      <c r="A7902" s="194" t="inlineStr">
        <is>
          <t>custom.talento.10.base</t>
        </is>
      </c>
      <c r="B7902" s="194">
        <f>IF(ISBLANK('CONFIGURAÇÃO'!$M$2362),"",'CONFIGURAÇÃO'!$M$2362&amp;"")</f>
        <v/>
      </c>
      <c r="C7902" s="194">
        <f>"'CONFIGURAÇÃO'!M2362"</f>
        <v/>
      </c>
      <c r="D7902" s="194" t="inlineStr">
        <is>
          <t>configuração</t>
        </is>
      </c>
    </row>
    <row r="7903">
      <c r="A7903" s="194" t="inlineStr">
        <is>
          <t>custom.talento.10.mestre_viu</t>
        </is>
      </c>
      <c r="B7903" s="194">
        <f>N('CONFIGURAÇÃO'!$N$2359)&amp;""</f>
        <v/>
      </c>
      <c r="C7903" s="194">
        <f>"'CONFIGURAÇÃO'!N2359"</f>
        <v/>
      </c>
      <c r="D7903" s="194" t="inlineStr">
        <is>
          <t>configuração</t>
        </is>
      </c>
    </row>
    <row r="7904">
      <c r="A7904" s="194" t="inlineStr">
        <is>
          <t>custom.talento.10.requisitos</t>
        </is>
      </c>
      <c r="B7904" s="194">
        <f>IF(ISBLANK('CONFIGURAÇÃO'!$J$2367),"",'CONFIGURAÇÃO'!$J$2367&amp;"")</f>
        <v/>
      </c>
      <c r="C7904" s="194">
        <f>"'CONFIGURAÇÃO'!J2367"</f>
        <v/>
      </c>
      <c r="D7904" s="194" t="inlineStr">
        <is>
          <t>configuração</t>
        </is>
      </c>
    </row>
    <row r="7905">
      <c r="A7905" s="194" t="inlineStr">
        <is>
          <t>custom.talento.10.efeito</t>
        </is>
      </c>
      <c r="B7905" s="194">
        <f>IF(ISBLANK('CONFIGURAÇÃO'!$J$2373),"",'CONFIGURAÇÃO'!$J$2373&amp;"")</f>
        <v/>
      </c>
      <c r="C7905" s="194">
        <f>"'CONFIGURAÇÃO'!J2373"</f>
        <v/>
      </c>
      <c r="D7905" s="194" t="inlineStr">
        <is>
          <t>configuração</t>
        </is>
      </c>
    </row>
    <row r="7906">
      <c r="A7906" s="194" t="inlineStr">
        <is>
          <t>custom.talento.10.categoria</t>
        </is>
      </c>
      <c r="B7906" s="194">
        <f>IF(ISBLANK('CONFIGURAÇÃO'!$M$2363),"",'CONFIGURAÇÃO'!$M$2363&amp;"")</f>
        <v/>
      </c>
      <c r="C7906" s="194">
        <f>"'CONFIGURAÇÃO'!M2363"</f>
        <v/>
      </c>
      <c r="D7906" s="194" t="inlineStr">
        <is>
          <t>configuração</t>
        </is>
      </c>
    </row>
    <row r="7907">
      <c r="A7907" s="194" t="inlineStr">
        <is>
          <t>custom.talento.10.rota</t>
        </is>
      </c>
      <c r="B7907" s="194">
        <f>IF(ISBLANK('CONFIGURAÇÃO'!$M$2364),"",'CONFIGURAÇÃO'!$M$2364&amp;"")</f>
        <v/>
      </c>
      <c r="C7907" s="194">
        <f>"'CONFIGURAÇÃO'!M2364"</f>
        <v/>
      </c>
      <c r="D7907" s="194" t="inlineStr">
        <is>
          <t>configuração</t>
        </is>
      </c>
    </row>
    <row r="7908">
      <c r="A7908" s="194" t="inlineStr">
        <is>
          <t>aviso.custom.forma.1</t>
        </is>
      </c>
      <c r="B7908" s="194">
        <f>'DADOS_FORMAS'!$AD2&amp;""</f>
        <v/>
      </c>
      <c r="C7908" s="194">
        <f>"'DADOS_FORMAS'!AD2"</f>
        <v/>
      </c>
      <c r="D7908" s="194" t="inlineStr">
        <is>
          <t>aviso</t>
        </is>
      </c>
    </row>
    <row r="7909">
      <c r="A7909" s="194" t="inlineStr">
        <is>
          <t>aviso.custom.forma.2</t>
        </is>
      </c>
      <c r="B7909" s="194">
        <f>'DADOS_FORMAS'!$AD3&amp;""</f>
        <v/>
      </c>
      <c r="C7909" s="194">
        <f>"'DADOS_FORMAS'!AD3"</f>
        <v/>
      </c>
      <c r="D7909" s="194" t="inlineStr">
        <is>
          <t>aviso</t>
        </is>
      </c>
    </row>
    <row r="7910">
      <c r="A7910" s="194" t="inlineStr">
        <is>
          <t>aviso.custom.forma.3</t>
        </is>
      </c>
      <c r="B7910" s="194">
        <f>'DADOS_FORMAS'!$AD4&amp;""</f>
        <v/>
      </c>
      <c r="C7910" s="194">
        <f>"'DADOS_FORMAS'!AD4"</f>
        <v/>
      </c>
      <c r="D7910" s="194" t="inlineStr">
        <is>
          <t>aviso</t>
        </is>
      </c>
    </row>
    <row r="7911">
      <c r="A7911" s="194" t="inlineStr">
        <is>
          <t>aviso.custom.forma.4</t>
        </is>
      </c>
      <c r="B7911" s="194">
        <f>'DADOS_FORMAS'!$AD5&amp;""</f>
        <v/>
      </c>
      <c r="C7911" s="194">
        <f>"'DADOS_FORMAS'!AD5"</f>
        <v/>
      </c>
      <c r="D7911" s="194" t="inlineStr">
        <is>
          <t>aviso</t>
        </is>
      </c>
    </row>
    <row r="7912">
      <c r="A7912" s="194" t="inlineStr">
        <is>
          <t>aviso.custom.forma.5</t>
        </is>
      </c>
      <c r="B7912" s="194">
        <f>'DADOS_FORMAS'!$AD6&amp;""</f>
        <v/>
      </c>
      <c r="C7912" s="194">
        <f>"'DADOS_FORMAS'!AD6"</f>
        <v/>
      </c>
      <c r="D7912" s="194" t="inlineStr">
        <is>
          <t>aviso</t>
        </is>
      </c>
    </row>
    <row r="7913">
      <c r="A7913" s="194" t="inlineStr">
        <is>
          <t>aviso.custom.forma.6</t>
        </is>
      </c>
      <c r="B7913" s="194">
        <f>'DADOS_FORMAS'!$AD7&amp;""</f>
        <v/>
      </c>
      <c r="C7913" s="194">
        <f>"'DADOS_FORMAS'!AD7"</f>
        <v/>
      </c>
      <c r="D7913" s="194" t="inlineStr">
        <is>
          <t>aviso</t>
        </is>
      </c>
    </row>
    <row r="7914">
      <c r="A7914" s="194" t="inlineStr">
        <is>
          <t>aviso.custom.forma.7</t>
        </is>
      </c>
      <c r="B7914" s="194">
        <f>'DADOS_FORMAS'!$AD8&amp;""</f>
        <v/>
      </c>
      <c r="C7914" s="194">
        <f>"'DADOS_FORMAS'!AD8"</f>
        <v/>
      </c>
      <c r="D7914" s="194" t="inlineStr">
        <is>
          <t>aviso</t>
        </is>
      </c>
    </row>
    <row r="7915">
      <c r="A7915" s="194" t="inlineStr">
        <is>
          <t>aviso.custom.forma.8</t>
        </is>
      </c>
      <c r="B7915" s="194">
        <f>'DADOS_FORMAS'!$AD9&amp;""</f>
        <v/>
      </c>
      <c r="C7915" s="194">
        <f>"'DADOS_FORMAS'!AD9"</f>
        <v/>
      </c>
      <c r="D7915" s="194" t="inlineStr">
        <is>
          <t>aviso</t>
        </is>
      </c>
    </row>
    <row r="7916">
      <c r="A7916" s="194" t="inlineStr">
        <is>
          <t>aviso.custom.forma.9</t>
        </is>
      </c>
      <c r="B7916" s="194">
        <f>'DADOS_FORMAS'!$AD10&amp;""</f>
        <v/>
      </c>
      <c r="C7916" s="194">
        <f>"'DADOS_FORMAS'!AD10"</f>
        <v/>
      </c>
      <c r="D7916" s="194" t="inlineStr">
        <is>
          <t>aviso</t>
        </is>
      </c>
    </row>
    <row r="7917">
      <c r="A7917" s="194" t="inlineStr">
        <is>
          <t>aviso.custom.forma.10</t>
        </is>
      </c>
      <c r="B7917" s="194">
        <f>'DADOS_FORMAS'!$AD11&amp;""</f>
        <v/>
      </c>
      <c r="C7917" s="194">
        <f>"'DADOS_FORMAS'!AD11"</f>
        <v/>
      </c>
      <c r="D7917" s="194" t="inlineStr">
        <is>
          <t>aviso</t>
        </is>
      </c>
    </row>
    <row r="7918">
      <c r="A7918" s="194" t="inlineStr">
        <is>
          <t>aviso.custom.aptidao.1</t>
        </is>
      </c>
      <c r="B7918" s="194">
        <f>'DADOS_APTIDOES'!$K2&amp;""</f>
        <v/>
      </c>
      <c r="C7918" s="194">
        <f>"'DADOS_APTIDOES'!K2"</f>
        <v/>
      </c>
      <c r="D7918" s="194" t="inlineStr">
        <is>
          <t>aviso</t>
        </is>
      </c>
    </row>
    <row r="7919">
      <c r="A7919" s="194" t="inlineStr">
        <is>
          <t>aviso.custom.aptidao.2</t>
        </is>
      </c>
      <c r="B7919" s="194">
        <f>'DADOS_APTIDOES'!$K3&amp;""</f>
        <v/>
      </c>
      <c r="C7919" s="194">
        <f>"'DADOS_APTIDOES'!K3"</f>
        <v/>
      </c>
      <c r="D7919" s="194" t="inlineStr">
        <is>
          <t>aviso</t>
        </is>
      </c>
    </row>
    <row r="7920">
      <c r="A7920" s="194" t="inlineStr">
        <is>
          <t>aviso.custom.aptidao.3</t>
        </is>
      </c>
      <c r="B7920" s="194">
        <f>'DADOS_APTIDOES'!$K4&amp;""</f>
        <v/>
      </c>
      <c r="C7920" s="194">
        <f>"'DADOS_APTIDOES'!K4"</f>
        <v/>
      </c>
      <c r="D7920" s="194" t="inlineStr">
        <is>
          <t>aviso</t>
        </is>
      </c>
    </row>
    <row r="7921">
      <c r="A7921" s="194" t="inlineStr">
        <is>
          <t>aviso.custom.aptidao.4</t>
        </is>
      </c>
      <c r="B7921" s="194">
        <f>'DADOS_APTIDOES'!$K5&amp;""</f>
        <v/>
      </c>
      <c r="C7921" s="194">
        <f>"'DADOS_APTIDOES'!K5"</f>
        <v/>
      </c>
      <c r="D7921" s="194" t="inlineStr">
        <is>
          <t>aviso</t>
        </is>
      </c>
    </row>
    <row r="7922">
      <c r="A7922" s="194" t="inlineStr">
        <is>
          <t>aviso.custom.aptidao.5</t>
        </is>
      </c>
      <c r="B7922" s="194">
        <f>'DADOS_APTIDOES'!$K6&amp;""</f>
        <v/>
      </c>
      <c r="C7922" s="194">
        <f>"'DADOS_APTIDOES'!K6"</f>
        <v/>
      </c>
      <c r="D7922" s="194" t="inlineStr">
        <is>
          <t>aviso</t>
        </is>
      </c>
    </row>
    <row r="7923">
      <c r="A7923" s="194" t="inlineStr">
        <is>
          <t>aviso.custom.aptidao.6</t>
        </is>
      </c>
      <c r="B7923" s="194">
        <f>'DADOS_APTIDOES'!$K7&amp;""</f>
        <v/>
      </c>
      <c r="C7923" s="194">
        <f>"'DADOS_APTIDOES'!K7"</f>
        <v/>
      </c>
      <c r="D7923" s="194" t="inlineStr">
        <is>
          <t>aviso</t>
        </is>
      </c>
    </row>
    <row r="7924">
      <c r="A7924" s="194" t="inlineStr">
        <is>
          <t>aviso.custom.aptidao.7</t>
        </is>
      </c>
      <c r="B7924" s="194">
        <f>'DADOS_APTIDOES'!$K8&amp;""</f>
        <v/>
      </c>
      <c r="C7924" s="194">
        <f>"'DADOS_APTIDOES'!K8"</f>
        <v/>
      </c>
      <c r="D7924" s="194" t="inlineStr">
        <is>
          <t>aviso</t>
        </is>
      </c>
    </row>
    <row r="7925">
      <c r="A7925" s="194" t="inlineStr">
        <is>
          <t>aviso.custom.aptidao.8</t>
        </is>
      </c>
      <c r="B7925" s="194">
        <f>'DADOS_APTIDOES'!$K9&amp;""</f>
        <v/>
      </c>
      <c r="C7925" s="194">
        <f>"'DADOS_APTIDOES'!K9"</f>
        <v/>
      </c>
      <c r="D7925" s="194" t="inlineStr">
        <is>
          <t>aviso</t>
        </is>
      </c>
    </row>
    <row r="7926">
      <c r="A7926" s="194" t="inlineStr">
        <is>
          <t>aviso.custom.aptidao.9</t>
        </is>
      </c>
      <c r="B7926" s="194">
        <f>'DADOS_APTIDOES'!$K10&amp;""</f>
        <v/>
      </c>
      <c r="C7926" s="194">
        <f>"'DADOS_APTIDOES'!K10"</f>
        <v/>
      </c>
      <c r="D7926" s="194" t="inlineStr">
        <is>
          <t>aviso</t>
        </is>
      </c>
    </row>
    <row r="7927">
      <c r="A7927" s="194" t="inlineStr">
        <is>
          <t>aviso.custom.aptidao.10</t>
        </is>
      </c>
      <c r="B7927" s="194">
        <f>'DADOS_APTIDOES'!$K11&amp;""</f>
        <v/>
      </c>
      <c r="C7927" s="194">
        <f>"'DADOS_APTIDOES'!K11"</f>
        <v/>
      </c>
      <c r="D7927" s="194" t="inlineStr">
        <is>
          <t>aviso</t>
        </is>
      </c>
    </row>
    <row r="7928">
      <c r="A7928" s="194" t="inlineStr">
        <is>
          <t>aviso.custom.talento.1</t>
        </is>
      </c>
      <c r="B7928" s="194">
        <f>'DADOS_TALENTOS'!$I2&amp;""</f>
        <v/>
      </c>
      <c r="C7928" s="194">
        <f>"'DADOS_TALENTOS'!I2"</f>
        <v/>
      </c>
      <c r="D7928" s="194" t="inlineStr">
        <is>
          <t>aviso</t>
        </is>
      </c>
    </row>
    <row r="7929">
      <c r="A7929" s="194" t="inlineStr">
        <is>
          <t>aviso.custom.talento.2</t>
        </is>
      </c>
      <c r="B7929" s="194">
        <f>'DADOS_TALENTOS'!$I3&amp;""</f>
        <v/>
      </c>
      <c r="C7929" s="194">
        <f>"'DADOS_TALENTOS'!I3"</f>
        <v/>
      </c>
      <c r="D7929" s="194" t="inlineStr">
        <is>
          <t>aviso</t>
        </is>
      </c>
    </row>
    <row r="7930">
      <c r="A7930" s="194" t="inlineStr">
        <is>
          <t>aviso.custom.talento.3</t>
        </is>
      </c>
      <c r="B7930" s="194">
        <f>'DADOS_TALENTOS'!$I4&amp;""</f>
        <v/>
      </c>
      <c r="C7930" s="194">
        <f>"'DADOS_TALENTOS'!I4"</f>
        <v/>
      </c>
      <c r="D7930" s="194" t="inlineStr">
        <is>
          <t>aviso</t>
        </is>
      </c>
    </row>
    <row r="7931">
      <c r="A7931" s="194" t="inlineStr">
        <is>
          <t>aviso.custom.talento.4</t>
        </is>
      </c>
      <c r="B7931" s="194">
        <f>'DADOS_TALENTOS'!$I5&amp;""</f>
        <v/>
      </c>
      <c r="C7931" s="194">
        <f>"'DADOS_TALENTOS'!I5"</f>
        <v/>
      </c>
      <c r="D7931" s="194" t="inlineStr">
        <is>
          <t>aviso</t>
        </is>
      </c>
    </row>
    <row r="7932">
      <c r="A7932" s="194" t="inlineStr">
        <is>
          <t>aviso.custom.talento.5</t>
        </is>
      </c>
      <c r="B7932" s="194">
        <f>'DADOS_TALENTOS'!$I6&amp;""</f>
        <v/>
      </c>
      <c r="C7932" s="194">
        <f>"'DADOS_TALENTOS'!I6"</f>
        <v/>
      </c>
      <c r="D7932" s="194" t="inlineStr">
        <is>
          <t>aviso</t>
        </is>
      </c>
    </row>
    <row r="7933">
      <c r="A7933" s="194" t="inlineStr">
        <is>
          <t>aviso.custom.talento.6</t>
        </is>
      </c>
      <c r="B7933" s="194">
        <f>'DADOS_TALENTOS'!$I7&amp;""</f>
        <v/>
      </c>
      <c r="C7933" s="194">
        <f>"'DADOS_TALENTOS'!I7"</f>
        <v/>
      </c>
      <c r="D7933" s="194" t="inlineStr">
        <is>
          <t>aviso</t>
        </is>
      </c>
    </row>
    <row r="7934">
      <c r="A7934" s="194" t="inlineStr">
        <is>
          <t>aviso.custom.talento.7</t>
        </is>
      </c>
      <c r="B7934" s="194">
        <f>'DADOS_TALENTOS'!$I8&amp;""</f>
        <v/>
      </c>
      <c r="C7934" s="194">
        <f>"'DADOS_TALENTOS'!I8"</f>
        <v/>
      </c>
      <c r="D7934" s="194" t="inlineStr">
        <is>
          <t>aviso</t>
        </is>
      </c>
    </row>
    <row r="7935">
      <c r="A7935" s="194" t="inlineStr">
        <is>
          <t>aviso.custom.talento.8</t>
        </is>
      </c>
      <c r="B7935" s="194">
        <f>'DADOS_TALENTOS'!$I9&amp;""</f>
        <v/>
      </c>
      <c r="C7935" s="194">
        <f>"'DADOS_TALENTOS'!I9"</f>
        <v/>
      </c>
      <c r="D7935" s="194" t="inlineStr">
        <is>
          <t>aviso</t>
        </is>
      </c>
    </row>
    <row r="7936">
      <c r="A7936" s="194" t="inlineStr">
        <is>
          <t>aviso.custom.talento.9</t>
        </is>
      </c>
      <c r="B7936" s="194">
        <f>'DADOS_TALENTOS'!$I10&amp;""</f>
        <v/>
      </c>
      <c r="C7936" s="194">
        <f>"'DADOS_TALENTOS'!I10"</f>
        <v/>
      </c>
      <c r="D7936" s="194" t="inlineStr">
        <is>
          <t>aviso</t>
        </is>
      </c>
    </row>
    <row r="7937">
      <c r="A7937" s="194" t="inlineStr">
        <is>
          <t>aviso.custom.talento.10</t>
        </is>
      </c>
      <c r="B7937" s="194">
        <f>'DADOS_TALENTOS'!$I11&amp;""</f>
        <v/>
      </c>
      <c r="C7937" s="194">
        <f>"'DADOS_TALENTOS'!I11"</f>
        <v/>
      </c>
      <c r="D7937" s="194" t="inlineStr">
        <is>
          <t>aviso</t>
        </is>
      </c>
    </row>
    <row r="7938">
      <c r="A7938" s="194" t="inlineStr">
        <is>
          <t>aviso.personagem.aptidao.1</t>
        </is>
      </c>
      <c r="B7938" s="194">
        <f>'DADOS_AM'!$LK2&amp;""</f>
        <v/>
      </c>
      <c r="C7938" s="194">
        <f>"'DADOS_AM'!LK2"</f>
        <v/>
      </c>
      <c r="D7938" s="194" t="inlineStr">
        <is>
          <t>aviso</t>
        </is>
      </c>
    </row>
    <row r="7939">
      <c r="A7939" s="194" t="inlineStr">
        <is>
          <t>aviso.personagem.aptidao.2</t>
        </is>
      </c>
      <c r="B7939" s="194">
        <f>'DADOS_AM'!$LK3&amp;""</f>
        <v/>
      </c>
      <c r="C7939" s="194">
        <f>"'DADOS_AM'!LK3"</f>
        <v/>
      </c>
      <c r="D7939" s="194" t="inlineStr">
        <is>
          <t>aviso</t>
        </is>
      </c>
    </row>
    <row r="7940">
      <c r="A7940" s="194" t="inlineStr">
        <is>
          <t>aviso.personagem.aptidao.3</t>
        </is>
      </c>
      <c r="B7940" s="194">
        <f>'DADOS_AM'!$LK4&amp;""</f>
        <v/>
      </c>
      <c r="C7940" s="194">
        <f>"'DADOS_AM'!LK4"</f>
        <v/>
      </c>
      <c r="D7940" s="194" t="inlineStr">
        <is>
          <t>aviso</t>
        </is>
      </c>
    </row>
    <row r="7941">
      <c r="A7941" s="194" t="inlineStr">
        <is>
          <t>aviso.personagem.aptidao.4</t>
        </is>
      </c>
      <c r="B7941" s="194">
        <f>'DADOS_AM'!$LK5&amp;""</f>
        <v/>
      </c>
      <c r="C7941" s="194">
        <f>"'DADOS_AM'!LK5"</f>
        <v/>
      </c>
      <c r="D7941" s="194" t="inlineStr">
        <is>
          <t>aviso</t>
        </is>
      </c>
    </row>
    <row r="7942">
      <c r="A7942" s="194" t="inlineStr">
        <is>
          <t>aviso.personagem.aptidao.5</t>
        </is>
      </c>
      <c r="B7942" s="194">
        <f>'DADOS_AM'!$LK6&amp;""</f>
        <v/>
      </c>
      <c r="C7942" s="194">
        <f>"'DADOS_AM'!LK6"</f>
        <v/>
      </c>
      <c r="D7942" s="194" t="inlineStr">
        <is>
          <t>aviso</t>
        </is>
      </c>
    </row>
    <row r="7943">
      <c r="A7943" s="194" t="inlineStr">
        <is>
          <t>aviso.personagem.aptidao.6</t>
        </is>
      </c>
      <c r="B7943" s="194">
        <f>'DADOS_AM'!$LK7&amp;""</f>
        <v/>
      </c>
      <c r="C7943" s="194">
        <f>"'DADOS_AM'!LK7"</f>
        <v/>
      </c>
      <c r="D7943" s="194" t="inlineStr">
        <is>
          <t>aviso</t>
        </is>
      </c>
    </row>
    <row r="7944">
      <c r="A7944" s="194" t="inlineStr">
        <is>
          <t>aviso.personagem.aptidao.7</t>
        </is>
      </c>
      <c r="B7944" s="194">
        <f>'DADOS_AM'!$LK8&amp;""</f>
        <v/>
      </c>
      <c r="C7944" s="194">
        <f>"'DADOS_AM'!LK8"</f>
        <v/>
      </c>
      <c r="D7944" s="194" t="inlineStr">
        <is>
          <t>aviso</t>
        </is>
      </c>
    </row>
    <row r="7945">
      <c r="A7945" s="194" t="inlineStr">
        <is>
          <t>aviso.personagem.aptidao.8</t>
        </is>
      </c>
      <c r="B7945" s="194">
        <f>'DADOS_AM'!$LK9&amp;""</f>
        <v/>
      </c>
      <c r="C7945" s="194">
        <f>"'DADOS_AM'!LK9"</f>
        <v/>
      </c>
      <c r="D7945" s="194" t="inlineStr">
        <is>
          <t>aviso</t>
        </is>
      </c>
    </row>
    <row r="7946">
      <c r="A7946" s="194" t="inlineStr">
        <is>
          <t>aviso.personagem.aptidao.9</t>
        </is>
      </c>
      <c r="B7946" s="194">
        <f>'DADOS_AM'!$LK10&amp;""</f>
        <v/>
      </c>
      <c r="C7946" s="194">
        <f>"'DADOS_AM'!LK10"</f>
        <v/>
      </c>
      <c r="D7946" s="194" t="inlineStr">
        <is>
          <t>aviso</t>
        </is>
      </c>
    </row>
    <row r="7947">
      <c r="A7947" s="194" t="inlineStr">
        <is>
          <t>aviso.personagem.aptidao.10</t>
        </is>
      </c>
      <c r="B7947" s="194">
        <f>'DADOS_AM'!$LK11&amp;""</f>
        <v/>
      </c>
      <c r="C7947" s="194">
        <f>"'DADOS_AM'!LK11"</f>
        <v/>
      </c>
      <c r="D7947" s="194" t="inlineStr">
        <is>
          <t>aviso</t>
        </is>
      </c>
    </row>
    <row r="7948">
      <c r="A7948" s="194" t="inlineStr">
        <is>
          <t>aviso.personagem.aptidao.11</t>
        </is>
      </c>
      <c r="B7948" s="194">
        <f>'DADOS_AM'!$LK12&amp;""</f>
        <v/>
      </c>
      <c r="C7948" s="194">
        <f>"'DADOS_AM'!LK12"</f>
        <v/>
      </c>
      <c r="D7948" s="194" t="inlineStr">
        <is>
          <t>aviso</t>
        </is>
      </c>
    </row>
    <row r="7949">
      <c r="A7949" s="194" t="inlineStr">
        <is>
          <t>aviso.personagem.aptidao.12</t>
        </is>
      </c>
      <c r="B7949" s="194">
        <f>'DADOS_AM'!$LK13&amp;""</f>
        <v/>
      </c>
      <c r="C7949" s="194">
        <f>"'DADOS_AM'!LK13"</f>
        <v/>
      </c>
      <c r="D7949" s="194" t="inlineStr">
        <is>
          <t>aviso</t>
        </is>
      </c>
    </row>
    <row r="7950">
      <c r="A7950" s="194" t="inlineStr">
        <is>
          <t>aviso.personagem.talento.1</t>
        </is>
      </c>
      <c r="B7950" s="194">
        <f>'DADOS_AM'!$LO2&amp;""</f>
        <v/>
      </c>
      <c r="C7950" s="194">
        <f>"'DADOS_AM'!LO2"</f>
        <v/>
      </c>
      <c r="D7950" s="194" t="inlineStr">
        <is>
          <t>aviso</t>
        </is>
      </c>
    </row>
    <row r="7951">
      <c r="A7951" s="194" t="inlineStr">
        <is>
          <t>aviso.personagem.talento.2</t>
        </is>
      </c>
      <c r="B7951" s="194">
        <f>'DADOS_AM'!$LO3&amp;""</f>
        <v/>
      </c>
      <c r="C7951" s="194">
        <f>"'DADOS_AM'!LO3"</f>
        <v/>
      </c>
      <c r="D7951" s="194" t="inlineStr">
        <is>
          <t>aviso</t>
        </is>
      </c>
    </row>
    <row r="7952">
      <c r="A7952" s="194" t="inlineStr">
        <is>
          <t>aviso.personagem.talento.3</t>
        </is>
      </c>
      <c r="B7952" s="194">
        <f>'DADOS_AM'!$LO4&amp;""</f>
        <v/>
      </c>
      <c r="C7952" s="194">
        <f>"'DADOS_AM'!LO4"</f>
        <v/>
      </c>
      <c r="D7952" s="194" t="inlineStr">
        <is>
          <t>aviso</t>
        </is>
      </c>
    </row>
    <row r="7953">
      <c r="A7953" s="194" t="inlineStr">
        <is>
          <t>aviso.personagem.talento.4</t>
        </is>
      </c>
      <c r="B7953" s="194">
        <f>'DADOS_AM'!$LO5&amp;""</f>
        <v/>
      </c>
      <c r="C7953" s="194">
        <f>"'DADOS_AM'!LO5"</f>
        <v/>
      </c>
      <c r="D7953" s="194" t="inlineStr">
        <is>
          <t>aviso</t>
        </is>
      </c>
    </row>
    <row r="7954">
      <c r="A7954" s="194" t="inlineStr">
        <is>
          <t>aviso.personagem.talento.5</t>
        </is>
      </c>
      <c r="B7954" s="194">
        <f>'DADOS_AM'!$LO6&amp;""</f>
        <v/>
      </c>
      <c r="C7954" s="194">
        <f>"'DADOS_AM'!LO6"</f>
        <v/>
      </c>
      <c r="D7954" s="194" t="inlineStr">
        <is>
          <t>aviso</t>
        </is>
      </c>
    </row>
    <row r="7955">
      <c r="A7955" s="194" t="inlineStr">
        <is>
          <t>aviso.personagem.talento.6</t>
        </is>
      </c>
      <c r="B7955" s="194">
        <f>'DADOS_AM'!$LO7&amp;""</f>
        <v/>
      </c>
      <c r="C7955" s="194">
        <f>"'DADOS_AM'!LO7"</f>
        <v/>
      </c>
      <c r="D7955" s="194" t="inlineStr">
        <is>
          <t>aviso</t>
        </is>
      </c>
    </row>
    <row r="7956">
      <c r="A7956" s="194" t="inlineStr">
        <is>
          <t>aviso.personagem.talento.7</t>
        </is>
      </c>
      <c r="B7956" s="194">
        <f>'DADOS_AM'!$LO8&amp;""</f>
        <v/>
      </c>
      <c r="C7956" s="194">
        <f>"'DADOS_AM'!LO8"</f>
        <v/>
      </c>
      <c r="D7956" s="194" t="inlineStr">
        <is>
          <t>aviso</t>
        </is>
      </c>
    </row>
    <row r="7957">
      <c r="A7957" s="194" t="inlineStr">
        <is>
          <t>aviso.personagem.talento.8</t>
        </is>
      </c>
      <c r="B7957" s="194">
        <f>'DADOS_AM'!$LO9&amp;""</f>
        <v/>
      </c>
      <c r="C7957" s="194">
        <f>"'DADOS_AM'!LO9"</f>
        <v/>
      </c>
      <c r="D7957" s="194" t="inlineStr">
        <is>
          <t>aviso</t>
        </is>
      </c>
    </row>
    <row r="7958">
      <c r="A7958" s="194" t="inlineStr">
        <is>
          <t>aviso.personagem.talento.9</t>
        </is>
      </c>
      <c r="B7958" s="194">
        <f>'DADOS_AM'!$LO10&amp;""</f>
        <v/>
      </c>
      <c r="C7958" s="194">
        <f>"'DADOS_AM'!LO10"</f>
        <v/>
      </c>
      <c r="D7958" s="194" t="inlineStr">
        <is>
          <t>aviso</t>
        </is>
      </c>
    </row>
    <row r="7959">
      <c r="A7959" s="194" t="inlineStr">
        <is>
          <t>aviso.personagem.talento.10</t>
        </is>
      </c>
      <c r="B7959" s="194">
        <f>'DADOS_AM'!$LO11&amp;""</f>
        <v/>
      </c>
      <c r="C7959" s="194">
        <f>"'DADOS_AM'!LO11"</f>
        <v/>
      </c>
      <c r="D7959" s="194" t="inlineStr">
        <is>
          <t>aviso</t>
        </is>
      </c>
    </row>
    <row r="7960">
      <c r="A7960" s="194" t="inlineStr">
        <is>
          <t>aviso.personagem.talento.11</t>
        </is>
      </c>
      <c r="B7960" s="194">
        <f>'DADOS_AM'!$LO12&amp;""</f>
        <v/>
      </c>
      <c r="C7960" s="194">
        <f>"'DADOS_AM'!LO12"</f>
        <v/>
      </c>
      <c r="D7960" s="194" t="inlineStr">
        <is>
          <t>aviso</t>
        </is>
      </c>
    </row>
    <row r="7961">
      <c r="A7961" s="194" t="inlineStr">
        <is>
          <t>aviso.personagem.talento.12</t>
        </is>
      </c>
      <c r="B7961" s="194">
        <f>'DADOS_AM'!$LO13&amp;""</f>
        <v/>
      </c>
      <c r="C7961" s="194">
        <f>"'DADOS_AM'!LO13"</f>
        <v/>
      </c>
      <c r="D7961" s="194" t="inlineStr">
        <is>
          <t>aviso</t>
        </is>
      </c>
    </row>
    <row r="7962">
      <c r="A7962" s="194" t="inlineStr">
        <is>
          <t>custom.tipo_entidade.1.nome</t>
        </is>
      </c>
      <c r="B7962" s="194">
        <f>IF(ISBLANK('CONFIGURAÇÃO'!$B$2390),"",'CONFIGURAÇÃO'!$B$2390&amp;"")</f>
        <v/>
      </c>
      <c r="C7962" s="194">
        <f>"'CONFIGURAÇÃO'!B2390"</f>
        <v/>
      </c>
      <c r="D7962" s="194" t="inlineStr">
        <is>
          <t>configuração</t>
        </is>
      </c>
    </row>
    <row r="7963">
      <c r="A7963" s="194" t="inlineStr">
        <is>
          <t>custom.tipo_entidade.1.mestre_viu</t>
        </is>
      </c>
      <c r="B7963" s="194">
        <f>N('CONFIGURAÇÃO'!$F$2390)&amp;""</f>
        <v/>
      </c>
      <c r="C7963" s="194">
        <f>"'CONFIGURAÇÃO'!F2390"</f>
        <v/>
      </c>
      <c r="D7963" s="194" t="inlineStr">
        <is>
          <t>configuração</t>
        </is>
      </c>
    </row>
    <row r="7964">
      <c r="A7964" s="194" t="inlineStr">
        <is>
          <t>custom.tipo_entidade.1.base</t>
        </is>
      </c>
      <c r="B7964" s="194">
        <f>IF(ISBLANK('CONFIGURAÇÃO'!$E$2392),"",'CONFIGURAÇÃO'!$E$2392&amp;"")</f>
        <v/>
      </c>
      <c r="C7964" s="194">
        <f>"'CONFIGURAÇÃO'!E2392"</f>
        <v/>
      </c>
      <c r="D7964" s="194" t="inlineStr">
        <is>
          <t>configuração</t>
        </is>
      </c>
    </row>
    <row r="7965">
      <c r="A7965" s="194" t="inlineStr">
        <is>
          <t>custom.tipo_entidade.1.vida</t>
        </is>
      </c>
      <c r="B7965" s="194">
        <f>IF(ISBLANK('CONFIGURAÇÃO'!$E$2393),"",'CONFIGURAÇÃO'!$E$2393&amp;"")</f>
        <v/>
      </c>
      <c r="C7965" s="194">
        <f>"'CONFIGURAÇÃO'!E2393"</f>
        <v/>
      </c>
      <c r="D7965" s="194" t="inlineStr">
        <is>
          <t>configuração</t>
        </is>
      </c>
    </row>
    <row r="7966">
      <c r="A7966" s="194" t="inlineStr">
        <is>
          <t>custom.tipo_entidade.1.talisma</t>
        </is>
      </c>
      <c r="B7966" s="194">
        <f>IF(ISBLANK('CONFIGURAÇÃO'!$E$2394),"",'CONFIGURAÇÃO'!$E$2394&amp;"")</f>
        <v/>
      </c>
      <c r="C7966" s="194">
        <f>"'CONFIGURAÇÃO'!E2394"</f>
        <v/>
      </c>
      <c r="D7966" s="194" t="inlineStr">
        <is>
          <t>configuração</t>
        </is>
      </c>
    </row>
    <row r="7967">
      <c r="A7967" s="194" t="inlineStr">
        <is>
          <t>custom.tipo_entidade.1.reserva_pe</t>
        </is>
      </c>
      <c r="B7967" s="194">
        <f>IF(ISBLANK('CONFIGURAÇÃO'!$E$2396),"",'CONFIGURAÇÃO'!$E$2396&amp;"")</f>
        <v/>
      </c>
      <c r="C7967" s="194">
        <f>"'CONFIGURAÇÃO'!E2396"</f>
        <v/>
      </c>
      <c r="D7967" s="194" t="inlineStr">
        <is>
          <t>configuração</t>
        </is>
      </c>
    </row>
    <row r="7968">
      <c r="A7968" s="194" t="inlineStr">
        <is>
          <t>custom.tipo_entidade.1.definicao</t>
        </is>
      </c>
      <c r="B7968" s="194">
        <f>IF(ISBLANK('CONFIGURAÇÃO'!$B$2400),"",'CONFIGURAÇÃO'!$B$2400&amp;"")</f>
        <v/>
      </c>
      <c r="C7968" s="194">
        <f>"'CONFIGURAÇÃO'!B2400"</f>
        <v/>
      </c>
      <c r="D7968" s="194" t="inlineStr">
        <is>
          <t>configuração</t>
        </is>
      </c>
    </row>
    <row r="7969">
      <c r="A7969" s="194" t="inlineStr">
        <is>
          <t>custom.tipo_entidade.1.efeito</t>
        </is>
      </c>
      <c r="B7969" s="194">
        <f>IF(ISBLANK('CONFIGURAÇÃO'!$B$2405),"",'CONFIGURAÇÃO'!$B$2405&amp;"")</f>
        <v/>
      </c>
      <c r="C7969" s="194">
        <f>"'CONFIGURAÇÃO'!B2405"</f>
        <v/>
      </c>
      <c r="D7969" s="194" t="inlineStr">
        <is>
          <t>configuração</t>
        </is>
      </c>
    </row>
    <row r="7970">
      <c r="A7970" s="194" t="inlineStr">
        <is>
          <t>custom.tipo_entidade.2.nome</t>
        </is>
      </c>
      <c r="B7970" s="194">
        <f>IF(ISBLANK('CONFIGURAÇÃO'!$J$2390),"",'CONFIGURAÇÃO'!$J$2390&amp;"")</f>
        <v/>
      </c>
      <c r="C7970" s="194">
        <f>"'CONFIGURAÇÃO'!J2390"</f>
        <v/>
      </c>
      <c r="D7970" s="194" t="inlineStr">
        <is>
          <t>configuração</t>
        </is>
      </c>
    </row>
    <row r="7971">
      <c r="A7971" s="194" t="inlineStr">
        <is>
          <t>custom.tipo_entidade.2.mestre_viu</t>
        </is>
      </c>
      <c r="B7971" s="194">
        <f>N('CONFIGURAÇÃO'!$N$2390)&amp;""</f>
        <v/>
      </c>
      <c r="C7971" s="194">
        <f>"'CONFIGURAÇÃO'!N2390"</f>
        <v/>
      </c>
      <c r="D7971" s="194" t="inlineStr">
        <is>
          <t>configuração</t>
        </is>
      </c>
    </row>
    <row r="7972">
      <c r="A7972" s="194" t="inlineStr">
        <is>
          <t>custom.tipo_entidade.2.base</t>
        </is>
      </c>
      <c r="B7972" s="194">
        <f>IF(ISBLANK('CONFIGURAÇÃO'!$M$2392),"",'CONFIGURAÇÃO'!$M$2392&amp;"")</f>
        <v/>
      </c>
      <c r="C7972" s="194">
        <f>"'CONFIGURAÇÃO'!M2392"</f>
        <v/>
      </c>
      <c r="D7972" s="194" t="inlineStr">
        <is>
          <t>configuração</t>
        </is>
      </c>
    </row>
    <row r="7973">
      <c r="A7973" s="194" t="inlineStr">
        <is>
          <t>custom.tipo_entidade.2.vida</t>
        </is>
      </c>
      <c r="B7973" s="194">
        <f>IF(ISBLANK('CONFIGURAÇÃO'!$M$2393),"",'CONFIGURAÇÃO'!$M$2393&amp;"")</f>
        <v/>
      </c>
      <c r="C7973" s="194">
        <f>"'CONFIGURAÇÃO'!M2393"</f>
        <v/>
      </c>
      <c r="D7973" s="194" t="inlineStr">
        <is>
          <t>configuração</t>
        </is>
      </c>
    </row>
    <row r="7974">
      <c r="A7974" s="194" t="inlineStr">
        <is>
          <t>custom.tipo_entidade.2.talisma</t>
        </is>
      </c>
      <c r="B7974" s="194">
        <f>IF(ISBLANK('CONFIGURAÇÃO'!$M$2394),"",'CONFIGURAÇÃO'!$M$2394&amp;"")</f>
        <v/>
      </c>
      <c r="C7974" s="194">
        <f>"'CONFIGURAÇÃO'!M2394"</f>
        <v/>
      </c>
      <c r="D7974" s="194" t="inlineStr">
        <is>
          <t>configuração</t>
        </is>
      </c>
    </row>
    <row r="7975">
      <c r="A7975" s="194" t="inlineStr">
        <is>
          <t>custom.tipo_entidade.2.reserva_pe</t>
        </is>
      </c>
      <c r="B7975" s="194">
        <f>IF(ISBLANK('CONFIGURAÇÃO'!$M$2396),"",'CONFIGURAÇÃO'!$M$2396&amp;"")</f>
        <v/>
      </c>
      <c r="C7975" s="194">
        <f>"'CONFIGURAÇÃO'!M2396"</f>
        <v/>
      </c>
      <c r="D7975" s="194" t="inlineStr">
        <is>
          <t>configuração</t>
        </is>
      </c>
    </row>
    <row r="7976">
      <c r="A7976" s="194" t="inlineStr">
        <is>
          <t>custom.tipo_entidade.2.definicao</t>
        </is>
      </c>
      <c r="B7976" s="194">
        <f>IF(ISBLANK('CONFIGURAÇÃO'!$J$2400),"",'CONFIGURAÇÃO'!$J$2400&amp;"")</f>
        <v/>
      </c>
      <c r="C7976" s="194">
        <f>"'CONFIGURAÇÃO'!J2400"</f>
        <v/>
      </c>
      <c r="D7976" s="194" t="inlineStr">
        <is>
          <t>configuração</t>
        </is>
      </c>
    </row>
    <row r="7977">
      <c r="A7977" s="194" t="inlineStr">
        <is>
          <t>custom.tipo_entidade.2.efeito</t>
        </is>
      </c>
      <c r="B7977" s="194">
        <f>IF(ISBLANK('CONFIGURAÇÃO'!$J$2405),"",'CONFIGURAÇÃO'!$J$2405&amp;"")</f>
        <v/>
      </c>
      <c r="C7977" s="194">
        <f>"'CONFIGURAÇÃO'!J2405"</f>
        <v/>
      </c>
      <c r="D7977" s="194" t="inlineStr">
        <is>
          <t>configuração</t>
        </is>
      </c>
    </row>
    <row r="7978">
      <c r="A7978" s="194" t="inlineStr">
        <is>
          <t>custom.tipo_entidade.3.nome</t>
        </is>
      </c>
      <c r="B7978" s="194">
        <f>IF(ISBLANK('CONFIGURAÇÃO'!$B$2418),"",'CONFIGURAÇÃO'!$B$2418&amp;"")</f>
        <v/>
      </c>
      <c r="C7978" s="194">
        <f>"'CONFIGURAÇÃO'!B2418"</f>
        <v/>
      </c>
      <c r="D7978" s="194" t="inlineStr">
        <is>
          <t>configuração</t>
        </is>
      </c>
    </row>
    <row r="7979">
      <c r="A7979" s="194" t="inlineStr">
        <is>
          <t>custom.tipo_entidade.3.mestre_viu</t>
        </is>
      </c>
      <c r="B7979" s="194">
        <f>N('CONFIGURAÇÃO'!$F$2418)&amp;""</f>
        <v/>
      </c>
      <c r="C7979" s="194">
        <f>"'CONFIGURAÇÃO'!F2418"</f>
        <v/>
      </c>
      <c r="D7979" s="194" t="inlineStr">
        <is>
          <t>configuração</t>
        </is>
      </c>
    </row>
    <row r="7980">
      <c r="A7980" s="194" t="inlineStr">
        <is>
          <t>custom.tipo_entidade.3.base</t>
        </is>
      </c>
      <c r="B7980" s="194">
        <f>IF(ISBLANK('CONFIGURAÇÃO'!$E$2420),"",'CONFIGURAÇÃO'!$E$2420&amp;"")</f>
        <v/>
      </c>
      <c r="C7980" s="194">
        <f>"'CONFIGURAÇÃO'!E2420"</f>
        <v/>
      </c>
      <c r="D7980" s="194" t="inlineStr">
        <is>
          <t>configuração</t>
        </is>
      </c>
    </row>
    <row r="7981">
      <c r="A7981" s="194" t="inlineStr">
        <is>
          <t>custom.tipo_entidade.3.vida</t>
        </is>
      </c>
      <c r="B7981" s="194">
        <f>IF(ISBLANK('CONFIGURAÇÃO'!$E$2421),"",'CONFIGURAÇÃO'!$E$2421&amp;"")</f>
        <v/>
      </c>
      <c r="C7981" s="194">
        <f>"'CONFIGURAÇÃO'!E2421"</f>
        <v/>
      </c>
      <c r="D7981" s="194" t="inlineStr">
        <is>
          <t>configuração</t>
        </is>
      </c>
    </row>
    <row r="7982">
      <c r="A7982" s="194" t="inlineStr">
        <is>
          <t>custom.tipo_entidade.3.talisma</t>
        </is>
      </c>
      <c r="B7982" s="194">
        <f>IF(ISBLANK('CONFIGURAÇÃO'!$E$2422),"",'CONFIGURAÇÃO'!$E$2422&amp;"")</f>
        <v/>
      </c>
      <c r="C7982" s="194">
        <f>"'CONFIGURAÇÃO'!E2422"</f>
        <v/>
      </c>
      <c r="D7982" s="194" t="inlineStr">
        <is>
          <t>configuração</t>
        </is>
      </c>
    </row>
    <row r="7983">
      <c r="A7983" s="194" t="inlineStr">
        <is>
          <t>custom.tipo_entidade.3.reserva_pe</t>
        </is>
      </c>
      <c r="B7983" s="194">
        <f>IF(ISBLANK('CONFIGURAÇÃO'!$E$2424),"",'CONFIGURAÇÃO'!$E$2424&amp;"")</f>
        <v/>
      </c>
      <c r="C7983" s="194">
        <f>"'CONFIGURAÇÃO'!E2424"</f>
        <v/>
      </c>
      <c r="D7983" s="194" t="inlineStr">
        <is>
          <t>configuração</t>
        </is>
      </c>
    </row>
    <row r="7984">
      <c r="A7984" s="194" t="inlineStr">
        <is>
          <t>custom.tipo_entidade.3.definicao</t>
        </is>
      </c>
      <c r="B7984" s="194">
        <f>IF(ISBLANK('CONFIGURAÇÃO'!$B$2428),"",'CONFIGURAÇÃO'!$B$2428&amp;"")</f>
        <v/>
      </c>
      <c r="C7984" s="194">
        <f>"'CONFIGURAÇÃO'!B2428"</f>
        <v/>
      </c>
      <c r="D7984" s="194" t="inlineStr">
        <is>
          <t>configuração</t>
        </is>
      </c>
    </row>
    <row r="7985">
      <c r="A7985" s="194" t="inlineStr">
        <is>
          <t>custom.tipo_entidade.3.efeito</t>
        </is>
      </c>
      <c r="B7985" s="194">
        <f>IF(ISBLANK('CONFIGURAÇÃO'!$B$2433),"",'CONFIGURAÇÃO'!$B$2433&amp;"")</f>
        <v/>
      </c>
      <c r="C7985" s="194">
        <f>"'CONFIGURAÇÃO'!B2433"</f>
        <v/>
      </c>
      <c r="D7985" s="194" t="inlineStr">
        <is>
          <t>configuração</t>
        </is>
      </c>
    </row>
    <row r="7986">
      <c r="A7986" s="194" t="inlineStr">
        <is>
          <t>custom.tipo_entidade.4.nome</t>
        </is>
      </c>
      <c r="B7986" s="194">
        <f>IF(ISBLANK('CONFIGURAÇÃO'!$J$2418),"",'CONFIGURAÇÃO'!$J$2418&amp;"")</f>
        <v/>
      </c>
      <c r="C7986" s="194">
        <f>"'CONFIGURAÇÃO'!J2418"</f>
        <v/>
      </c>
      <c r="D7986" s="194" t="inlineStr">
        <is>
          <t>configuração</t>
        </is>
      </c>
    </row>
    <row r="7987">
      <c r="A7987" s="194" t="inlineStr">
        <is>
          <t>custom.tipo_entidade.4.mestre_viu</t>
        </is>
      </c>
      <c r="B7987" s="194">
        <f>N('CONFIGURAÇÃO'!$N$2418)&amp;""</f>
        <v/>
      </c>
      <c r="C7987" s="194">
        <f>"'CONFIGURAÇÃO'!N2418"</f>
        <v/>
      </c>
      <c r="D7987" s="194" t="inlineStr">
        <is>
          <t>configuração</t>
        </is>
      </c>
    </row>
    <row r="7988">
      <c r="A7988" s="194" t="inlineStr">
        <is>
          <t>custom.tipo_entidade.4.base</t>
        </is>
      </c>
      <c r="B7988" s="194">
        <f>IF(ISBLANK('CONFIGURAÇÃO'!$M$2420),"",'CONFIGURAÇÃO'!$M$2420&amp;"")</f>
        <v/>
      </c>
      <c r="C7988" s="194">
        <f>"'CONFIGURAÇÃO'!M2420"</f>
        <v/>
      </c>
      <c r="D7988" s="194" t="inlineStr">
        <is>
          <t>configuração</t>
        </is>
      </c>
    </row>
    <row r="7989">
      <c r="A7989" s="194" t="inlineStr">
        <is>
          <t>custom.tipo_entidade.4.vida</t>
        </is>
      </c>
      <c r="B7989" s="194">
        <f>IF(ISBLANK('CONFIGURAÇÃO'!$M$2421),"",'CONFIGURAÇÃO'!$M$2421&amp;"")</f>
        <v/>
      </c>
      <c r="C7989" s="194">
        <f>"'CONFIGURAÇÃO'!M2421"</f>
        <v/>
      </c>
      <c r="D7989" s="194" t="inlineStr">
        <is>
          <t>configuração</t>
        </is>
      </c>
    </row>
    <row r="7990">
      <c r="A7990" s="194" t="inlineStr">
        <is>
          <t>custom.tipo_entidade.4.talisma</t>
        </is>
      </c>
      <c r="B7990" s="194">
        <f>IF(ISBLANK('CONFIGURAÇÃO'!$M$2422),"",'CONFIGURAÇÃO'!$M$2422&amp;"")</f>
        <v/>
      </c>
      <c r="C7990" s="194">
        <f>"'CONFIGURAÇÃO'!M2422"</f>
        <v/>
      </c>
      <c r="D7990" s="194" t="inlineStr">
        <is>
          <t>configuração</t>
        </is>
      </c>
    </row>
    <row r="7991">
      <c r="A7991" s="194" t="inlineStr">
        <is>
          <t>custom.tipo_entidade.4.reserva_pe</t>
        </is>
      </c>
      <c r="B7991" s="194">
        <f>IF(ISBLANK('CONFIGURAÇÃO'!$M$2424),"",'CONFIGURAÇÃO'!$M$2424&amp;"")</f>
        <v/>
      </c>
      <c r="C7991" s="194">
        <f>"'CONFIGURAÇÃO'!M2424"</f>
        <v/>
      </c>
      <c r="D7991" s="194" t="inlineStr">
        <is>
          <t>configuração</t>
        </is>
      </c>
    </row>
    <row r="7992">
      <c r="A7992" s="194" t="inlineStr">
        <is>
          <t>custom.tipo_entidade.4.definicao</t>
        </is>
      </c>
      <c r="B7992" s="194">
        <f>IF(ISBLANK('CONFIGURAÇÃO'!$J$2428),"",'CONFIGURAÇÃO'!$J$2428&amp;"")</f>
        <v/>
      </c>
      <c r="C7992" s="194">
        <f>"'CONFIGURAÇÃO'!J2428"</f>
        <v/>
      </c>
      <c r="D7992" s="194" t="inlineStr">
        <is>
          <t>configuração</t>
        </is>
      </c>
    </row>
    <row r="7993">
      <c r="A7993" s="194" t="inlineStr">
        <is>
          <t>custom.tipo_entidade.4.efeito</t>
        </is>
      </c>
      <c r="B7993" s="194">
        <f>IF(ISBLANK('CONFIGURAÇÃO'!$J$2433),"",'CONFIGURAÇÃO'!$J$2433&amp;"")</f>
        <v/>
      </c>
      <c r="C7993" s="194">
        <f>"'CONFIGURAÇÃO'!J2433"</f>
        <v/>
      </c>
      <c r="D7993" s="194" t="inlineStr">
        <is>
          <t>configuração</t>
        </is>
      </c>
    </row>
    <row r="7994">
      <c r="A7994" s="194" t="inlineStr">
        <is>
          <t>custom.tipo_entidade.5.nome</t>
        </is>
      </c>
      <c r="B7994" s="194">
        <f>IF(ISBLANK('CONFIGURAÇÃO'!$B$2446),"",'CONFIGURAÇÃO'!$B$2446&amp;"")</f>
        <v/>
      </c>
      <c r="C7994" s="194">
        <f>"'CONFIGURAÇÃO'!B2446"</f>
        <v/>
      </c>
      <c r="D7994" s="194" t="inlineStr">
        <is>
          <t>configuração</t>
        </is>
      </c>
    </row>
    <row r="7995">
      <c r="A7995" s="194" t="inlineStr">
        <is>
          <t>custom.tipo_entidade.5.mestre_viu</t>
        </is>
      </c>
      <c r="B7995" s="194">
        <f>N('CONFIGURAÇÃO'!$F$2446)&amp;""</f>
        <v/>
      </c>
      <c r="C7995" s="194">
        <f>"'CONFIGURAÇÃO'!F2446"</f>
        <v/>
      </c>
      <c r="D7995" s="194" t="inlineStr">
        <is>
          <t>configuração</t>
        </is>
      </c>
    </row>
    <row r="7996">
      <c r="A7996" s="194" t="inlineStr">
        <is>
          <t>custom.tipo_entidade.5.base</t>
        </is>
      </c>
      <c r="B7996" s="194">
        <f>IF(ISBLANK('CONFIGURAÇÃO'!$E$2448),"",'CONFIGURAÇÃO'!$E$2448&amp;"")</f>
        <v/>
      </c>
      <c r="C7996" s="194">
        <f>"'CONFIGURAÇÃO'!E2448"</f>
        <v/>
      </c>
      <c r="D7996" s="194" t="inlineStr">
        <is>
          <t>configuração</t>
        </is>
      </c>
    </row>
    <row r="7997">
      <c r="A7997" s="194" t="inlineStr">
        <is>
          <t>custom.tipo_entidade.5.vida</t>
        </is>
      </c>
      <c r="B7997" s="194">
        <f>IF(ISBLANK('CONFIGURAÇÃO'!$E$2449),"",'CONFIGURAÇÃO'!$E$2449&amp;"")</f>
        <v/>
      </c>
      <c r="C7997" s="194">
        <f>"'CONFIGURAÇÃO'!E2449"</f>
        <v/>
      </c>
      <c r="D7997" s="194" t="inlineStr">
        <is>
          <t>configuração</t>
        </is>
      </c>
    </row>
    <row r="7998">
      <c r="A7998" s="194" t="inlineStr">
        <is>
          <t>custom.tipo_entidade.5.talisma</t>
        </is>
      </c>
      <c r="B7998" s="194">
        <f>IF(ISBLANK('CONFIGURAÇÃO'!$E$2450),"",'CONFIGURAÇÃO'!$E$2450&amp;"")</f>
        <v/>
      </c>
      <c r="C7998" s="194">
        <f>"'CONFIGURAÇÃO'!E2450"</f>
        <v/>
      </c>
      <c r="D7998" s="194" t="inlineStr">
        <is>
          <t>configuração</t>
        </is>
      </c>
    </row>
    <row r="7999">
      <c r="A7999" s="194" t="inlineStr">
        <is>
          <t>custom.tipo_entidade.5.reserva_pe</t>
        </is>
      </c>
      <c r="B7999" s="194">
        <f>IF(ISBLANK('CONFIGURAÇÃO'!$E$2452),"",'CONFIGURAÇÃO'!$E$2452&amp;"")</f>
        <v/>
      </c>
      <c r="C7999" s="194">
        <f>"'CONFIGURAÇÃO'!E2452"</f>
        <v/>
      </c>
      <c r="D7999" s="194" t="inlineStr">
        <is>
          <t>configuração</t>
        </is>
      </c>
    </row>
    <row r="8000">
      <c r="A8000" s="194" t="inlineStr">
        <is>
          <t>custom.tipo_entidade.5.definicao</t>
        </is>
      </c>
      <c r="B8000" s="194">
        <f>IF(ISBLANK('CONFIGURAÇÃO'!$B$2456),"",'CONFIGURAÇÃO'!$B$2456&amp;"")</f>
        <v/>
      </c>
      <c r="C8000" s="194">
        <f>"'CONFIGURAÇÃO'!B2456"</f>
        <v/>
      </c>
      <c r="D8000" s="194" t="inlineStr">
        <is>
          <t>configuração</t>
        </is>
      </c>
    </row>
    <row r="8001">
      <c r="A8001" s="194" t="inlineStr">
        <is>
          <t>custom.tipo_entidade.5.efeito</t>
        </is>
      </c>
      <c r="B8001" s="194">
        <f>IF(ISBLANK('CONFIGURAÇÃO'!$B$2461),"",'CONFIGURAÇÃO'!$B$2461&amp;"")</f>
        <v/>
      </c>
      <c r="C8001" s="194">
        <f>"'CONFIGURAÇÃO'!B2461"</f>
        <v/>
      </c>
      <c r="D8001" s="194" t="inlineStr">
        <is>
          <t>configuração</t>
        </is>
      </c>
    </row>
    <row r="8002">
      <c r="A8002" s="194" t="inlineStr">
        <is>
          <t>custom.tipo_entidade.6.nome</t>
        </is>
      </c>
      <c r="B8002" s="194">
        <f>IF(ISBLANK('CONFIGURAÇÃO'!$J$2446),"",'CONFIGURAÇÃO'!$J$2446&amp;"")</f>
        <v/>
      </c>
      <c r="C8002" s="194">
        <f>"'CONFIGURAÇÃO'!J2446"</f>
        <v/>
      </c>
      <c r="D8002" s="194" t="inlineStr">
        <is>
          <t>configuração</t>
        </is>
      </c>
    </row>
    <row r="8003">
      <c r="A8003" s="194" t="inlineStr">
        <is>
          <t>custom.tipo_entidade.6.mestre_viu</t>
        </is>
      </c>
      <c r="B8003" s="194">
        <f>N('CONFIGURAÇÃO'!$N$2446)&amp;""</f>
        <v/>
      </c>
      <c r="C8003" s="194">
        <f>"'CONFIGURAÇÃO'!N2446"</f>
        <v/>
      </c>
      <c r="D8003" s="194" t="inlineStr">
        <is>
          <t>configuração</t>
        </is>
      </c>
    </row>
    <row r="8004">
      <c r="A8004" s="194" t="inlineStr">
        <is>
          <t>custom.tipo_entidade.6.base</t>
        </is>
      </c>
      <c r="B8004" s="194">
        <f>IF(ISBLANK('CONFIGURAÇÃO'!$M$2448),"",'CONFIGURAÇÃO'!$M$2448&amp;"")</f>
        <v/>
      </c>
      <c r="C8004" s="194">
        <f>"'CONFIGURAÇÃO'!M2448"</f>
        <v/>
      </c>
      <c r="D8004" s="194" t="inlineStr">
        <is>
          <t>configuração</t>
        </is>
      </c>
    </row>
    <row r="8005">
      <c r="A8005" s="194" t="inlineStr">
        <is>
          <t>custom.tipo_entidade.6.vida</t>
        </is>
      </c>
      <c r="B8005" s="194">
        <f>IF(ISBLANK('CONFIGURAÇÃO'!$M$2449),"",'CONFIGURAÇÃO'!$M$2449&amp;"")</f>
        <v/>
      </c>
      <c r="C8005" s="194">
        <f>"'CONFIGURAÇÃO'!M2449"</f>
        <v/>
      </c>
      <c r="D8005" s="194" t="inlineStr">
        <is>
          <t>configuração</t>
        </is>
      </c>
    </row>
    <row r="8006">
      <c r="A8006" s="194" t="inlineStr">
        <is>
          <t>custom.tipo_entidade.6.talisma</t>
        </is>
      </c>
      <c r="B8006" s="194">
        <f>IF(ISBLANK('CONFIGURAÇÃO'!$M$2450),"",'CONFIGURAÇÃO'!$M$2450&amp;"")</f>
        <v/>
      </c>
      <c r="C8006" s="194">
        <f>"'CONFIGURAÇÃO'!M2450"</f>
        <v/>
      </c>
      <c r="D8006" s="194" t="inlineStr">
        <is>
          <t>configuração</t>
        </is>
      </c>
    </row>
    <row r="8007">
      <c r="A8007" s="194" t="inlineStr">
        <is>
          <t>custom.tipo_entidade.6.reserva_pe</t>
        </is>
      </c>
      <c r="B8007" s="194">
        <f>IF(ISBLANK('CONFIGURAÇÃO'!$M$2452),"",'CONFIGURAÇÃO'!$M$2452&amp;"")</f>
        <v/>
      </c>
      <c r="C8007" s="194">
        <f>"'CONFIGURAÇÃO'!M2452"</f>
        <v/>
      </c>
      <c r="D8007" s="194" t="inlineStr">
        <is>
          <t>configuração</t>
        </is>
      </c>
    </row>
    <row r="8008">
      <c r="A8008" s="194" t="inlineStr">
        <is>
          <t>custom.tipo_entidade.6.definicao</t>
        </is>
      </c>
      <c r="B8008" s="194">
        <f>IF(ISBLANK('CONFIGURAÇÃO'!$J$2456),"",'CONFIGURAÇÃO'!$J$2456&amp;"")</f>
        <v/>
      </c>
      <c r="C8008" s="194">
        <f>"'CONFIGURAÇÃO'!J2456"</f>
        <v/>
      </c>
      <c r="D8008" s="194" t="inlineStr">
        <is>
          <t>configuração</t>
        </is>
      </c>
    </row>
    <row r="8009">
      <c r="A8009" s="194" t="inlineStr">
        <is>
          <t>custom.tipo_entidade.6.efeito</t>
        </is>
      </c>
      <c r="B8009" s="194">
        <f>IF(ISBLANK('CONFIGURAÇÃO'!$J$2461),"",'CONFIGURAÇÃO'!$J$2461&amp;"")</f>
        <v/>
      </c>
      <c r="C8009" s="194">
        <f>"'CONFIGURAÇÃO'!J2461"</f>
        <v/>
      </c>
      <c r="D8009" s="194" t="inlineStr">
        <is>
          <t>configuração</t>
        </is>
      </c>
    </row>
    <row r="8010">
      <c r="A8010" s="194" t="inlineStr">
        <is>
          <t>custom.tipo_entidade.7.nome</t>
        </is>
      </c>
      <c r="B8010" s="194">
        <f>IF(ISBLANK('CONFIGURAÇÃO'!$B$2474),"",'CONFIGURAÇÃO'!$B$2474&amp;"")</f>
        <v/>
      </c>
      <c r="C8010" s="194">
        <f>"'CONFIGURAÇÃO'!B2474"</f>
        <v/>
      </c>
      <c r="D8010" s="194" t="inlineStr">
        <is>
          <t>configuração</t>
        </is>
      </c>
    </row>
    <row r="8011">
      <c r="A8011" s="194" t="inlineStr">
        <is>
          <t>custom.tipo_entidade.7.mestre_viu</t>
        </is>
      </c>
      <c r="B8011" s="194">
        <f>N('CONFIGURAÇÃO'!$F$2474)&amp;""</f>
        <v/>
      </c>
      <c r="C8011" s="194">
        <f>"'CONFIGURAÇÃO'!F2474"</f>
        <v/>
      </c>
      <c r="D8011" s="194" t="inlineStr">
        <is>
          <t>configuração</t>
        </is>
      </c>
    </row>
    <row r="8012">
      <c r="A8012" s="194" t="inlineStr">
        <is>
          <t>custom.tipo_entidade.7.base</t>
        </is>
      </c>
      <c r="B8012" s="194">
        <f>IF(ISBLANK('CONFIGURAÇÃO'!$E$2476),"",'CONFIGURAÇÃO'!$E$2476&amp;"")</f>
        <v/>
      </c>
      <c r="C8012" s="194">
        <f>"'CONFIGURAÇÃO'!E2476"</f>
        <v/>
      </c>
      <c r="D8012" s="194" t="inlineStr">
        <is>
          <t>configuração</t>
        </is>
      </c>
    </row>
    <row r="8013">
      <c r="A8013" s="194" t="inlineStr">
        <is>
          <t>custom.tipo_entidade.7.vida</t>
        </is>
      </c>
      <c r="B8013" s="194">
        <f>IF(ISBLANK('CONFIGURAÇÃO'!$E$2477),"",'CONFIGURAÇÃO'!$E$2477&amp;"")</f>
        <v/>
      </c>
      <c r="C8013" s="194">
        <f>"'CONFIGURAÇÃO'!E2477"</f>
        <v/>
      </c>
      <c r="D8013" s="194" t="inlineStr">
        <is>
          <t>configuração</t>
        </is>
      </c>
    </row>
    <row r="8014">
      <c r="A8014" s="194" t="inlineStr">
        <is>
          <t>custom.tipo_entidade.7.talisma</t>
        </is>
      </c>
      <c r="B8014" s="194">
        <f>IF(ISBLANK('CONFIGURAÇÃO'!$E$2478),"",'CONFIGURAÇÃO'!$E$2478&amp;"")</f>
        <v/>
      </c>
      <c r="C8014" s="194">
        <f>"'CONFIGURAÇÃO'!E2478"</f>
        <v/>
      </c>
      <c r="D8014" s="194" t="inlineStr">
        <is>
          <t>configuração</t>
        </is>
      </c>
    </row>
    <row r="8015">
      <c r="A8015" s="194" t="inlineStr">
        <is>
          <t>custom.tipo_entidade.7.reserva_pe</t>
        </is>
      </c>
      <c r="B8015" s="194">
        <f>IF(ISBLANK('CONFIGURAÇÃO'!$E$2480),"",'CONFIGURAÇÃO'!$E$2480&amp;"")</f>
        <v/>
      </c>
      <c r="C8015" s="194">
        <f>"'CONFIGURAÇÃO'!E2480"</f>
        <v/>
      </c>
      <c r="D8015" s="194" t="inlineStr">
        <is>
          <t>configuração</t>
        </is>
      </c>
    </row>
    <row r="8016">
      <c r="A8016" s="194" t="inlineStr">
        <is>
          <t>custom.tipo_entidade.7.definicao</t>
        </is>
      </c>
      <c r="B8016" s="194">
        <f>IF(ISBLANK('CONFIGURAÇÃO'!$B$2484),"",'CONFIGURAÇÃO'!$B$2484&amp;"")</f>
        <v/>
      </c>
      <c r="C8016" s="194">
        <f>"'CONFIGURAÇÃO'!B2484"</f>
        <v/>
      </c>
      <c r="D8016" s="194" t="inlineStr">
        <is>
          <t>configuração</t>
        </is>
      </c>
    </row>
    <row r="8017">
      <c r="A8017" s="194" t="inlineStr">
        <is>
          <t>custom.tipo_entidade.7.efeito</t>
        </is>
      </c>
      <c r="B8017" s="194">
        <f>IF(ISBLANK('CONFIGURAÇÃO'!$B$2489),"",'CONFIGURAÇÃO'!$B$2489&amp;"")</f>
        <v/>
      </c>
      <c r="C8017" s="194">
        <f>"'CONFIGURAÇÃO'!B2489"</f>
        <v/>
      </c>
      <c r="D8017" s="194" t="inlineStr">
        <is>
          <t>configuração</t>
        </is>
      </c>
    </row>
    <row r="8018">
      <c r="A8018" s="194" t="inlineStr">
        <is>
          <t>custom.tipo_entidade.8.nome</t>
        </is>
      </c>
      <c r="B8018" s="194">
        <f>IF(ISBLANK('CONFIGURAÇÃO'!$J$2474),"",'CONFIGURAÇÃO'!$J$2474&amp;"")</f>
        <v/>
      </c>
      <c r="C8018" s="194">
        <f>"'CONFIGURAÇÃO'!J2474"</f>
        <v/>
      </c>
      <c r="D8018" s="194" t="inlineStr">
        <is>
          <t>configuração</t>
        </is>
      </c>
    </row>
    <row r="8019">
      <c r="A8019" s="194" t="inlineStr">
        <is>
          <t>custom.tipo_entidade.8.mestre_viu</t>
        </is>
      </c>
      <c r="B8019" s="194">
        <f>N('CONFIGURAÇÃO'!$N$2474)&amp;""</f>
        <v/>
      </c>
      <c r="C8019" s="194">
        <f>"'CONFIGURAÇÃO'!N2474"</f>
        <v/>
      </c>
      <c r="D8019" s="194" t="inlineStr">
        <is>
          <t>configuração</t>
        </is>
      </c>
    </row>
    <row r="8020">
      <c r="A8020" s="194" t="inlineStr">
        <is>
          <t>custom.tipo_entidade.8.base</t>
        </is>
      </c>
      <c r="B8020" s="194">
        <f>IF(ISBLANK('CONFIGURAÇÃO'!$M$2476),"",'CONFIGURAÇÃO'!$M$2476&amp;"")</f>
        <v/>
      </c>
      <c r="C8020" s="194">
        <f>"'CONFIGURAÇÃO'!M2476"</f>
        <v/>
      </c>
      <c r="D8020" s="194" t="inlineStr">
        <is>
          <t>configuração</t>
        </is>
      </c>
    </row>
    <row r="8021">
      <c r="A8021" s="194" t="inlineStr">
        <is>
          <t>custom.tipo_entidade.8.vida</t>
        </is>
      </c>
      <c r="B8021" s="194">
        <f>IF(ISBLANK('CONFIGURAÇÃO'!$M$2477),"",'CONFIGURAÇÃO'!$M$2477&amp;"")</f>
        <v/>
      </c>
      <c r="C8021" s="194">
        <f>"'CONFIGURAÇÃO'!M2477"</f>
        <v/>
      </c>
      <c r="D8021" s="194" t="inlineStr">
        <is>
          <t>configuração</t>
        </is>
      </c>
    </row>
    <row r="8022">
      <c r="A8022" s="194" t="inlineStr">
        <is>
          <t>custom.tipo_entidade.8.talisma</t>
        </is>
      </c>
      <c r="B8022" s="194">
        <f>IF(ISBLANK('CONFIGURAÇÃO'!$M$2478),"",'CONFIGURAÇÃO'!$M$2478&amp;"")</f>
        <v/>
      </c>
      <c r="C8022" s="194">
        <f>"'CONFIGURAÇÃO'!M2478"</f>
        <v/>
      </c>
      <c r="D8022" s="194" t="inlineStr">
        <is>
          <t>configuração</t>
        </is>
      </c>
    </row>
    <row r="8023">
      <c r="A8023" s="194" t="inlineStr">
        <is>
          <t>custom.tipo_entidade.8.reserva_pe</t>
        </is>
      </c>
      <c r="B8023" s="194">
        <f>IF(ISBLANK('CONFIGURAÇÃO'!$M$2480),"",'CONFIGURAÇÃO'!$M$2480&amp;"")</f>
        <v/>
      </c>
      <c r="C8023" s="194">
        <f>"'CONFIGURAÇÃO'!M2480"</f>
        <v/>
      </c>
      <c r="D8023" s="194" t="inlineStr">
        <is>
          <t>configuração</t>
        </is>
      </c>
    </row>
    <row r="8024">
      <c r="A8024" s="194" t="inlineStr">
        <is>
          <t>custom.tipo_entidade.8.definicao</t>
        </is>
      </c>
      <c r="B8024" s="194">
        <f>IF(ISBLANK('CONFIGURAÇÃO'!$J$2484),"",'CONFIGURAÇÃO'!$J$2484&amp;"")</f>
        <v/>
      </c>
      <c r="C8024" s="194">
        <f>"'CONFIGURAÇÃO'!J2484"</f>
        <v/>
      </c>
      <c r="D8024" s="194" t="inlineStr">
        <is>
          <t>configuração</t>
        </is>
      </c>
    </row>
    <row r="8025">
      <c r="A8025" s="194" t="inlineStr">
        <is>
          <t>custom.tipo_entidade.8.efeito</t>
        </is>
      </c>
      <c r="B8025" s="194">
        <f>IF(ISBLANK('CONFIGURAÇÃO'!$J$2489),"",'CONFIGURAÇÃO'!$J$2489&amp;"")</f>
        <v/>
      </c>
      <c r="C8025" s="194">
        <f>"'CONFIGURAÇÃO'!J2489"</f>
        <v/>
      </c>
      <c r="D8025" s="194" t="inlineStr">
        <is>
          <t>configuração</t>
        </is>
      </c>
    </row>
    <row r="8026">
      <c r="A8026" s="194" t="inlineStr">
        <is>
          <t>custom.tipo_entidade.9.nome</t>
        </is>
      </c>
      <c r="B8026" s="194">
        <f>IF(ISBLANK('CONFIGURAÇÃO'!$B$2502),"",'CONFIGURAÇÃO'!$B$2502&amp;"")</f>
        <v/>
      </c>
      <c r="C8026" s="194">
        <f>"'CONFIGURAÇÃO'!B2502"</f>
        <v/>
      </c>
      <c r="D8026" s="194" t="inlineStr">
        <is>
          <t>configuração</t>
        </is>
      </c>
    </row>
    <row r="8027">
      <c r="A8027" s="194" t="inlineStr">
        <is>
          <t>custom.tipo_entidade.9.mestre_viu</t>
        </is>
      </c>
      <c r="B8027" s="194">
        <f>N('CONFIGURAÇÃO'!$F$2502)&amp;""</f>
        <v/>
      </c>
      <c r="C8027" s="194">
        <f>"'CONFIGURAÇÃO'!F2502"</f>
        <v/>
      </c>
      <c r="D8027" s="194" t="inlineStr">
        <is>
          <t>configuração</t>
        </is>
      </c>
    </row>
    <row r="8028">
      <c r="A8028" s="194" t="inlineStr">
        <is>
          <t>custom.tipo_entidade.9.base</t>
        </is>
      </c>
      <c r="B8028" s="194">
        <f>IF(ISBLANK('CONFIGURAÇÃO'!$E$2504),"",'CONFIGURAÇÃO'!$E$2504&amp;"")</f>
        <v/>
      </c>
      <c r="C8028" s="194">
        <f>"'CONFIGURAÇÃO'!E2504"</f>
        <v/>
      </c>
      <c r="D8028" s="194" t="inlineStr">
        <is>
          <t>configuração</t>
        </is>
      </c>
    </row>
    <row r="8029">
      <c r="A8029" s="194" t="inlineStr">
        <is>
          <t>custom.tipo_entidade.9.vida</t>
        </is>
      </c>
      <c r="B8029" s="194">
        <f>IF(ISBLANK('CONFIGURAÇÃO'!$E$2505),"",'CONFIGURAÇÃO'!$E$2505&amp;"")</f>
        <v/>
      </c>
      <c r="C8029" s="194">
        <f>"'CONFIGURAÇÃO'!E2505"</f>
        <v/>
      </c>
      <c r="D8029" s="194" t="inlineStr">
        <is>
          <t>configuração</t>
        </is>
      </c>
    </row>
    <row r="8030">
      <c r="A8030" s="194" t="inlineStr">
        <is>
          <t>custom.tipo_entidade.9.talisma</t>
        </is>
      </c>
      <c r="B8030" s="194">
        <f>IF(ISBLANK('CONFIGURAÇÃO'!$E$2506),"",'CONFIGURAÇÃO'!$E$2506&amp;"")</f>
        <v/>
      </c>
      <c r="C8030" s="194">
        <f>"'CONFIGURAÇÃO'!E2506"</f>
        <v/>
      </c>
      <c r="D8030" s="194" t="inlineStr">
        <is>
          <t>configuração</t>
        </is>
      </c>
    </row>
    <row r="8031">
      <c r="A8031" s="194" t="inlineStr">
        <is>
          <t>custom.tipo_entidade.9.reserva_pe</t>
        </is>
      </c>
      <c r="B8031" s="194">
        <f>IF(ISBLANK('CONFIGURAÇÃO'!$E$2508),"",'CONFIGURAÇÃO'!$E$2508&amp;"")</f>
        <v/>
      </c>
      <c r="C8031" s="194">
        <f>"'CONFIGURAÇÃO'!E2508"</f>
        <v/>
      </c>
      <c r="D8031" s="194" t="inlineStr">
        <is>
          <t>configuração</t>
        </is>
      </c>
    </row>
    <row r="8032">
      <c r="A8032" s="194" t="inlineStr">
        <is>
          <t>custom.tipo_entidade.9.definicao</t>
        </is>
      </c>
      <c r="B8032" s="194">
        <f>IF(ISBLANK('CONFIGURAÇÃO'!$B$2512),"",'CONFIGURAÇÃO'!$B$2512&amp;"")</f>
        <v/>
      </c>
      <c r="C8032" s="194">
        <f>"'CONFIGURAÇÃO'!B2512"</f>
        <v/>
      </c>
      <c r="D8032" s="194" t="inlineStr">
        <is>
          <t>configuração</t>
        </is>
      </c>
    </row>
    <row r="8033">
      <c r="A8033" s="194" t="inlineStr">
        <is>
          <t>custom.tipo_entidade.9.efeito</t>
        </is>
      </c>
      <c r="B8033" s="194">
        <f>IF(ISBLANK('CONFIGURAÇÃO'!$B$2517),"",'CONFIGURAÇÃO'!$B$2517&amp;"")</f>
        <v/>
      </c>
      <c r="C8033" s="194">
        <f>"'CONFIGURAÇÃO'!B2517"</f>
        <v/>
      </c>
      <c r="D8033" s="194" t="inlineStr">
        <is>
          <t>configuração</t>
        </is>
      </c>
    </row>
    <row r="8034">
      <c r="A8034" s="194" t="inlineStr">
        <is>
          <t>custom.tipo_entidade.10.nome</t>
        </is>
      </c>
      <c r="B8034" s="194">
        <f>IF(ISBLANK('CONFIGURAÇÃO'!$J$2502),"",'CONFIGURAÇÃO'!$J$2502&amp;"")</f>
        <v/>
      </c>
      <c r="C8034" s="194">
        <f>"'CONFIGURAÇÃO'!J2502"</f>
        <v/>
      </c>
      <c r="D8034" s="194" t="inlineStr">
        <is>
          <t>configuração</t>
        </is>
      </c>
    </row>
    <row r="8035">
      <c r="A8035" s="194" t="inlineStr">
        <is>
          <t>custom.tipo_entidade.10.mestre_viu</t>
        </is>
      </c>
      <c r="B8035" s="194">
        <f>N('CONFIGURAÇÃO'!$N$2502)&amp;""</f>
        <v/>
      </c>
      <c r="C8035" s="194">
        <f>"'CONFIGURAÇÃO'!N2502"</f>
        <v/>
      </c>
      <c r="D8035" s="194" t="inlineStr">
        <is>
          <t>configuração</t>
        </is>
      </c>
    </row>
    <row r="8036">
      <c r="A8036" s="194" t="inlineStr">
        <is>
          <t>custom.tipo_entidade.10.base</t>
        </is>
      </c>
      <c r="B8036" s="194">
        <f>IF(ISBLANK('CONFIGURAÇÃO'!$M$2504),"",'CONFIGURAÇÃO'!$M$2504&amp;"")</f>
        <v/>
      </c>
      <c r="C8036" s="194">
        <f>"'CONFIGURAÇÃO'!M2504"</f>
        <v/>
      </c>
      <c r="D8036" s="194" t="inlineStr">
        <is>
          <t>configuração</t>
        </is>
      </c>
    </row>
    <row r="8037">
      <c r="A8037" s="194" t="inlineStr">
        <is>
          <t>custom.tipo_entidade.10.vida</t>
        </is>
      </c>
      <c r="B8037" s="194">
        <f>IF(ISBLANK('CONFIGURAÇÃO'!$M$2505),"",'CONFIGURAÇÃO'!$M$2505&amp;"")</f>
        <v/>
      </c>
      <c r="C8037" s="194">
        <f>"'CONFIGURAÇÃO'!M2505"</f>
        <v/>
      </c>
      <c r="D8037" s="194" t="inlineStr">
        <is>
          <t>configuração</t>
        </is>
      </c>
    </row>
    <row r="8038">
      <c r="A8038" s="194" t="inlineStr">
        <is>
          <t>custom.tipo_entidade.10.talisma</t>
        </is>
      </c>
      <c r="B8038" s="194">
        <f>IF(ISBLANK('CONFIGURAÇÃO'!$M$2506),"",'CONFIGURAÇÃO'!$M$2506&amp;"")</f>
        <v/>
      </c>
      <c r="C8038" s="194">
        <f>"'CONFIGURAÇÃO'!M2506"</f>
        <v/>
      </c>
      <c r="D8038" s="194" t="inlineStr">
        <is>
          <t>configuração</t>
        </is>
      </c>
    </row>
    <row r="8039">
      <c r="A8039" s="194" t="inlineStr">
        <is>
          <t>custom.tipo_entidade.10.reserva_pe</t>
        </is>
      </c>
      <c r="B8039" s="194">
        <f>IF(ISBLANK('CONFIGURAÇÃO'!$M$2508),"",'CONFIGURAÇÃO'!$M$2508&amp;"")</f>
        <v/>
      </c>
      <c r="C8039" s="194">
        <f>"'CONFIGURAÇÃO'!M2508"</f>
        <v/>
      </c>
      <c r="D8039" s="194" t="inlineStr">
        <is>
          <t>configuração</t>
        </is>
      </c>
    </row>
    <row r="8040">
      <c r="A8040" s="194" t="inlineStr">
        <is>
          <t>custom.tipo_entidade.10.definicao</t>
        </is>
      </c>
      <c r="B8040" s="194">
        <f>IF(ISBLANK('CONFIGURAÇÃO'!$J$2512),"",'CONFIGURAÇÃO'!$J$2512&amp;"")</f>
        <v/>
      </c>
      <c r="C8040" s="194">
        <f>"'CONFIGURAÇÃO'!J2512"</f>
        <v/>
      </c>
      <c r="D8040" s="194" t="inlineStr">
        <is>
          <t>configuração</t>
        </is>
      </c>
    </row>
    <row r="8041">
      <c r="A8041" s="194" t="inlineStr">
        <is>
          <t>custom.tipo_entidade.10.efeito</t>
        </is>
      </c>
      <c r="B8041" s="194">
        <f>IF(ISBLANK('CONFIGURAÇÃO'!$J$2517),"",'CONFIGURAÇÃO'!$J$2517&amp;"")</f>
        <v/>
      </c>
      <c r="C8041" s="194">
        <f>"'CONFIGURAÇÃO'!J2517"</f>
        <v/>
      </c>
      <c r="D8041" s="194" t="inlineStr">
        <is>
          <t>configuração</t>
        </is>
      </c>
    </row>
    <row r="8042">
      <c r="A8042" s="194" t="inlineStr">
        <is>
          <t>custom.talento_entidade.1.nome</t>
        </is>
      </c>
      <c r="B8042" s="194">
        <f>IF(ISBLANK('CONFIGURAÇÃO'!$B$2532),"",'CONFIGURAÇÃO'!$B$2532&amp;"")</f>
        <v/>
      </c>
      <c r="C8042" s="194">
        <f>"'CONFIGURAÇÃO'!B2532"</f>
        <v/>
      </c>
      <c r="D8042" s="194" t="inlineStr">
        <is>
          <t>configuração</t>
        </is>
      </c>
    </row>
    <row r="8043">
      <c r="A8043" s="194" t="inlineStr">
        <is>
          <t>custom.talento_entidade.1.mestre_viu</t>
        </is>
      </c>
      <c r="B8043" s="194">
        <f>N('CONFIGURAÇÃO'!$F$2532)&amp;""</f>
        <v/>
      </c>
      <c r="C8043" s="194">
        <f>"'CONFIGURAÇÃO'!F2532"</f>
        <v/>
      </c>
      <c r="D8043" s="194" t="inlineStr">
        <is>
          <t>configuração</t>
        </is>
      </c>
    </row>
    <row r="8044">
      <c r="A8044" s="194" t="inlineStr">
        <is>
          <t>custom.talento_entidade.1.base</t>
        </is>
      </c>
      <c r="B8044" s="194">
        <f>IF(ISBLANK('CONFIGURAÇÃO'!$E$2534),"",'CONFIGURAÇÃO'!$E$2534&amp;"")</f>
        <v/>
      </c>
      <c r="C8044" s="194">
        <f>"'CONFIGURAÇÃO'!E2534"</f>
        <v/>
      </c>
      <c r="D8044" s="194" t="inlineStr">
        <is>
          <t>configuração</t>
        </is>
      </c>
    </row>
    <row r="8045">
      <c r="A8045" s="194" t="inlineStr">
        <is>
          <t>custom.talento_entidade.1.categoria</t>
        </is>
      </c>
      <c r="B8045" s="194">
        <f>IF(ISBLANK('CONFIGURAÇÃO'!$E$2535),"",'CONFIGURAÇÃO'!$E$2535&amp;"")</f>
        <v/>
      </c>
      <c r="C8045" s="194">
        <f>"'CONFIGURAÇÃO'!E2535"</f>
        <v/>
      </c>
      <c r="D8045" s="194" t="inlineStr">
        <is>
          <t>configuração</t>
        </is>
      </c>
    </row>
    <row r="8046">
      <c r="A8046" s="194" t="inlineStr">
        <is>
          <t>custom.talento_entidade.1.requisitos</t>
        </is>
      </c>
      <c r="B8046" s="194">
        <f>IF(ISBLANK('CONFIGURAÇÃO'!$B$2542),"",'CONFIGURAÇÃO'!$B$2542&amp;"")</f>
        <v/>
      </c>
      <c r="C8046" s="194">
        <f>"'CONFIGURAÇÃO'!B2542"</f>
        <v/>
      </c>
      <c r="D8046" s="194" t="inlineStr">
        <is>
          <t>configuração</t>
        </is>
      </c>
    </row>
    <row r="8047">
      <c r="A8047" s="194" t="inlineStr">
        <is>
          <t>custom.talento_entidade.1.efeito</t>
        </is>
      </c>
      <c r="B8047" s="194">
        <f>IF(ISBLANK('CONFIGURAÇÃO'!$B$2547),"",'CONFIGURAÇÃO'!$B$2547&amp;"")</f>
        <v/>
      </c>
      <c r="C8047" s="194">
        <f>"'CONFIGURAÇÃO'!B2547"</f>
        <v/>
      </c>
      <c r="D8047" s="194" t="inlineStr">
        <is>
          <t>configuração</t>
        </is>
      </c>
    </row>
    <row r="8048">
      <c r="A8048" s="194" t="inlineStr">
        <is>
          <t>custom.talento_entidade.2.nome</t>
        </is>
      </c>
      <c r="B8048" s="194">
        <f>IF(ISBLANK('CONFIGURAÇÃO'!$J$2532),"",'CONFIGURAÇÃO'!$J$2532&amp;"")</f>
        <v/>
      </c>
      <c r="C8048" s="194">
        <f>"'CONFIGURAÇÃO'!J2532"</f>
        <v/>
      </c>
      <c r="D8048" s="194" t="inlineStr">
        <is>
          <t>configuração</t>
        </is>
      </c>
    </row>
    <row r="8049">
      <c r="A8049" s="194" t="inlineStr">
        <is>
          <t>custom.talento_entidade.2.mestre_viu</t>
        </is>
      </c>
      <c r="B8049" s="194">
        <f>N('CONFIGURAÇÃO'!$N$2532)&amp;""</f>
        <v/>
      </c>
      <c r="C8049" s="194">
        <f>"'CONFIGURAÇÃO'!N2532"</f>
        <v/>
      </c>
      <c r="D8049" s="194" t="inlineStr">
        <is>
          <t>configuração</t>
        </is>
      </c>
    </row>
    <row r="8050">
      <c r="A8050" s="194" t="inlineStr">
        <is>
          <t>custom.talento_entidade.2.base</t>
        </is>
      </c>
      <c r="B8050" s="194">
        <f>IF(ISBLANK('CONFIGURAÇÃO'!$M$2534),"",'CONFIGURAÇÃO'!$M$2534&amp;"")</f>
        <v/>
      </c>
      <c r="C8050" s="194">
        <f>"'CONFIGURAÇÃO'!M2534"</f>
        <v/>
      </c>
      <c r="D8050" s="194" t="inlineStr">
        <is>
          <t>configuração</t>
        </is>
      </c>
    </row>
    <row r="8051">
      <c r="A8051" s="194" t="inlineStr">
        <is>
          <t>custom.talento_entidade.2.categoria</t>
        </is>
      </c>
      <c r="B8051" s="194">
        <f>IF(ISBLANK('CONFIGURAÇÃO'!$M$2535),"",'CONFIGURAÇÃO'!$M$2535&amp;"")</f>
        <v/>
      </c>
      <c r="C8051" s="194">
        <f>"'CONFIGURAÇÃO'!M2535"</f>
        <v/>
      </c>
      <c r="D8051" s="194" t="inlineStr">
        <is>
          <t>configuração</t>
        </is>
      </c>
    </row>
    <row r="8052">
      <c r="A8052" s="194" t="inlineStr">
        <is>
          <t>custom.talento_entidade.2.requisitos</t>
        </is>
      </c>
      <c r="B8052" s="194">
        <f>IF(ISBLANK('CONFIGURAÇÃO'!$J$2542),"",'CONFIGURAÇÃO'!$J$2542&amp;"")</f>
        <v/>
      </c>
      <c r="C8052" s="194">
        <f>"'CONFIGURAÇÃO'!J2542"</f>
        <v/>
      </c>
      <c r="D8052" s="194" t="inlineStr">
        <is>
          <t>configuração</t>
        </is>
      </c>
    </row>
    <row r="8053">
      <c r="A8053" s="194" t="inlineStr">
        <is>
          <t>custom.talento_entidade.2.efeito</t>
        </is>
      </c>
      <c r="B8053" s="194">
        <f>IF(ISBLANK('CONFIGURAÇÃO'!$J$2547),"",'CONFIGURAÇÃO'!$J$2547&amp;"")</f>
        <v/>
      </c>
      <c r="C8053" s="194">
        <f>"'CONFIGURAÇÃO'!J2547"</f>
        <v/>
      </c>
      <c r="D8053" s="194" t="inlineStr">
        <is>
          <t>configuração</t>
        </is>
      </c>
    </row>
    <row r="8054">
      <c r="A8054" s="194" t="inlineStr">
        <is>
          <t>custom.talento_entidade.3.nome</t>
        </is>
      </c>
      <c r="B8054" s="194">
        <f>IF(ISBLANK('CONFIGURAÇÃO'!$B$2560),"",'CONFIGURAÇÃO'!$B$2560&amp;"")</f>
        <v/>
      </c>
      <c r="C8054" s="194">
        <f>"'CONFIGURAÇÃO'!B2560"</f>
        <v/>
      </c>
      <c r="D8054" s="194" t="inlineStr">
        <is>
          <t>configuração</t>
        </is>
      </c>
    </row>
    <row r="8055">
      <c r="A8055" s="194" t="inlineStr">
        <is>
          <t>custom.talento_entidade.3.mestre_viu</t>
        </is>
      </c>
      <c r="B8055" s="194">
        <f>N('CONFIGURAÇÃO'!$F$2560)&amp;""</f>
        <v/>
      </c>
      <c r="C8055" s="194">
        <f>"'CONFIGURAÇÃO'!F2560"</f>
        <v/>
      </c>
      <c r="D8055" s="194" t="inlineStr">
        <is>
          <t>configuração</t>
        </is>
      </c>
    </row>
    <row r="8056">
      <c r="A8056" s="194" t="inlineStr">
        <is>
          <t>custom.talento_entidade.3.base</t>
        </is>
      </c>
      <c r="B8056" s="194">
        <f>IF(ISBLANK('CONFIGURAÇÃO'!$E$2562),"",'CONFIGURAÇÃO'!$E$2562&amp;"")</f>
        <v/>
      </c>
      <c r="C8056" s="194">
        <f>"'CONFIGURAÇÃO'!E2562"</f>
        <v/>
      </c>
      <c r="D8056" s="194" t="inlineStr">
        <is>
          <t>configuração</t>
        </is>
      </c>
    </row>
    <row r="8057">
      <c r="A8057" s="194" t="inlineStr">
        <is>
          <t>custom.talento_entidade.3.categoria</t>
        </is>
      </c>
      <c r="B8057" s="194">
        <f>IF(ISBLANK('CONFIGURAÇÃO'!$E$2563),"",'CONFIGURAÇÃO'!$E$2563&amp;"")</f>
        <v/>
      </c>
      <c r="C8057" s="194">
        <f>"'CONFIGURAÇÃO'!E2563"</f>
        <v/>
      </c>
      <c r="D8057" s="194" t="inlineStr">
        <is>
          <t>configuração</t>
        </is>
      </c>
    </row>
    <row r="8058">
      <c r="A8058" s="194" t="inlineStr">
        <is>
          <t>custom.talento_entidade.3.requisitos</t>
        </is>
      </c>
      <c r="B8058" s="194">
        <f>IF(ISBLANK('CONFIGURAÇÃO'!$B$2570),"",'CONFIGURAÇÃO'!$B$2570&amp;"")</f>
        <v/>
      </c>
      <c r="C8058" s="194">
        <f>"'CONFIGURAÇÃO'!B2570"</f>
        <v/>
      </c>
      <c r="D8058" s="194" t="inlineStr">
        <is>
          <t>configuração</t>
        </is>
      </c>
    </row>
    <row r="8059">
      <c r="A8059" s="194" t="inlineStr">
        <is>
          <t>custom.talento_entidade.3.efeito</t>
        </is>
      </c>
      <c r="B8059" s="194">
        <f>IF(ISBLANK('CONFIGURAÇÃO'!$B$2575),"",'CONFIGURAÇÃO'!$B$2575&amp;"")</f>
        <v/>
      </c>
      <c r="C8059" s="194">
        <f>"'CONFIGURAÇÃO'!B2575"</f>
        <v/>
      </c>
      <c r="D8059" s="194" t="inlineStr">
        <is>
          <t>configuração</t>
        </is>
      </c>
    </row>
    <row r="8060">
      <c r="A8060" s="194" t="inlineStr">
        <is>
          <t>custom.talento_entidade.4.nome</t>
        </is>
      </c>
      <c r="B8060" s="194">
        <f>IF(ISBLANK('CONFIGURAÇÃO'!$J$2560),"",'CONFIGURAÇÃO'!$J$2560&amp;"")</f>
        <v/>
      </c>
      <c r="C8060" s="194">
        <f>"'CONFIGURAÇÃO'!J2560"</f>
        <v/>
      </c>
      <c r="D8060" s="194" t="inlineStr">
        <is>
          <t>configuração</t>
        </is>
      </c>
    </row>
    <row r="8061">
      <c r="A8061" s="194" t="inlineStr">
        <is>
          <t>custom.talento_entidade.4.mestre_viu</t>
        </is>
      </c>
      <c r="B8061" s="194">
        <f>N('CONFIGURAÇÃO'!$N$2560)&amp;""</f>
        <v/>
      </c>
      <c r="C8061" s="194">
        <f>"'CONFIGURAÇÃO'!N2560"</f>
        <v/>
      </c>
      <c r="D8061" s="194" t="inlineStr">
        <is>
          <t>configuração</t>
        </is>
      </c>
    </row>
    <row r="8062">
      <c r="A8062" s="194" t="inlineStr">
        <is>
          <t>custom.talento_entidade.4.base</t>
        </is>
      </c>
      <c r="B8062" s="194">
        <f>IF(ISBLANK('CONFIGURAÇÃO'!$M$2562),"",'CONFIGURAÇÃO'!$M$2562&amp;"")</f>
        <v/>
      </c>
      <c r="C8062" s="194">
        <f>"'CONFIGURAÇÃO'!M2562"</f>
        <v/>
      </c>
      <c r="D8062" s="194" t="inlineStr">
        <is>
          <t>configuração</t>
        </is>
      </c>
    </row>
    <row r="8063">
      <c r="A8063" s="194" t="inlineStr">
        <is>
          <t>custom.talento_entidade.4.categoria</t>
        </is>
      </c>
      <c r="B8063" s="194">
        <f>IF(ISBLANK('CONFIGURAÇÃO'!$M$2563),"",'CONFIGURAÇÃO'!$M$2563&amp;"")</f>
        <v/>
      </c>
      <c r="C8063" s="194">
        <f>"'CONFIGURAÇÃO'!M2563"</f>
        <v/>
      </c>
      <c r="D8063" s="194" t="inlineStr">
        <is>
          <t>configuração</t>
        </is>
      </c>
    </row>
    <row r="8064">
      <c r="A8064" s="194" t="inlineStr">
        <is>
          <t>custom.talento_entidade.4.requisitos</t>
        </is>
      </c>
      <c r="B8064" s="194">
        <f>IF(ISBLANK('CONFIGURAÇÃO'!$J$2570),"",'CONFIGURAÇÃO'!$J$2570&amp;"")</f>
        <v/>
      </c>
      <c r="C8064" s="194">
        <f>"'CONFIGURAÇÃO'!J2570"</f>
        <v/>
      </c>
      <c r="D8064" s="194" t="inlineStr">
        <is>
          <t>configuração</t>
        </is>
      </c>
    </row>
    <row r="8065">
      <c r="A8065" s="194" t="inlineStr">
        <is>
          <t>custom.talento_entidade.4.efeito</t>
        </is>
      </c>
      <c r="B8065" s="194">
        <f>IF(ISBLANK('CONFIGURAÇÃO'!$J$2575),"",'CONFIGURAÇÃO'!$J$2575&amp;"")</f>
        <v/>
      </c>
      <c r="C8065" s="194">
        <f>"'CONFIGURAÇÃO'!J2575"</f>
        <v/>
      </c>
      <c r="D8065" s="194" t="inlineStr">
        <is>
          <t>configuração</t>
        </is>
      </c>
    </row>
    <row r="8066">
      <c r="A8066" s="194" t="inlineStr">
        <is>
          <t>custom.talento_entidade.5.nome</t>
        </is>
      </c>
      <c r="B8066" s="194">
        <f>IF(ISBLANK('CONFIGURAÇÃO'!$B$2588),"",'CONFIGURAÇÃO'!$B$2588&amp;"")</f>
        <v/>
      </c>
      <c r="C8066" s="194">
        <f>"'CONFIGURAÇÃO'!B2588"</f>
        <v/>
      </c>
      <c r="D8066" s="194" t="inlineStr">
        <is>
          <t>configuração</t>
        </is>
      </c>
    </row>
    <row r="8067">
      <c r="A8067" s="194" t="inlineStr">
        <is>
          <t>custom.talento_entidade.5.mestre_viu</t>
        </is>
      </c>
      <c r="B8067" s="194">
        <f>N('CONFIGURAÇÃO'!$F$2588)&amp;""</f>
        <v/>
      </c>
      <c r="C8067" s="194">
        <f>"'CONFIGURAÇÃO'!F2588"</f>
        <v/>
      </c>
      <c r="D8067" s="194" t="inlineStr">
        <is>
          <t>configuração</t>
        </is>
      </c>
    </row>
    <row r="8068">
      <c r="A8068" s="194" t="inlineStr">
        <is>
          <t>custom.talento_entidade.5.base</t>
        </is>
      </c>
      <c r="B8068" s="194">
        <f>IF(ISBLANK('CONFIGURAÇÃO'!$E$2590),"",'CONFIGURAÇÃO'!$E$2590&amp;"")</f>
        <v/>
      </c>
      <c r="C8068" s="194">
        <f>"'CONFIGURAÇÃO'!E2590"</f>
        <v/>
      </c>
      <c r="D8068" s="194" t="inlineStr">
        <is>
          <t>configuração</t>
        </is>
      </c>
    </row>
    <row r="8069">
      <c r="A8069" s="194" t="inlineStr">
        <is>
          <t>custom.talento_entidade.5.categoria</t>
        </is>
      </c>
      <c r="B8069" s="194">
        <f>IF(ISBLANK('CONFIGURAÇÃO'!$E$2591),"",'CONFIGURAÇÃO'!$E$2591&amp;"")</f>
        <v/>
      </c>
      <c r="C8069" s="194">
        <f>"'CONFIGURAÇÃO'!E2591"</f>
        <v/>
      </c>
      <c r="D8069" s="194" t="inlineStr">
        <is>
          <t>configuração</t>
        </is>
      </c>
    </row>
    <row r="8070">
      <c r="A8070" s="194" t="inlineStr">
        <is>
          <t>custom.talento_entidade.5.requisitos</t>
        </is>
      </c>
      <c r="B8070" s="194">
        <f>IF(ISBLANK('CONFIGURAÇÃO'!$B$2598),"",'CONFIGURAÇÃO'!$B$2598&amp;"")</f>
        <v/>
      </c>
      <c r="C8070" s="194">
        <f>"'CONFIGURAÇÃO'!B2598"</f>
        <v/>
      </c>
      <c r="D8070" s="194" t="inlineStr">
        <is>
          <t>configuração</t>
        </is>
      </c>
    </row>
    <row r="8071">
      <c r="A8071" s="194" t="inlineStr">
        <is>
          <t>custom.talento_entidade.5.efeito</t>
        </is>
      </c>
      <c r="B8071" s="194">
        <f>IF(ISBLANK('CONFIGURAÇÃO'!$B$2603),"",'CONFIGURAÇÃO'!$B$2603&amp;"")</f>
        <v/>
      </c>
      <c r="C8071" s="194">
        <f>"'CONFIGURAÇÃO'!B2603"</f>
        <v/>
      </c>
      <c r="D8071" s="194" t="inlineStr">
        <is>
          <t>configuração</t>
        </is>
      </c>
    </row>
    <row r="8072">
      <c r="A8072" s="194" t="inlineStr">
        <is>
          <t>custom.talento_entidade.6.nome</t>
        </is>
      </c>
      <c r="B8072" s="194">
        <f>IF(ISBLANK('CONFIGURAÇÃO'!$J$2588),"",'CONFIGURAÇÃO'!$J$2588&amp;"")</f>
        <v/>
      </c>
      <c r="C8072" s="194">
        <f>"'CONFIGURAÇÃO'!J2588"</f>
        <v/>
      </c>
      <c r="D8072" s="194" t="inlineStr">
        <is>
          <t>configuração</t>
        </is>
      </c>
    </row>
    <row r="8073">
      <c r="A8073" s="194" t="inlineStr">
        <is>
          <t>custom.talento_entidade.6.mestre_viu</t>
        </is>
      </c>
      <c r="B8073" s="194">
        <f>N('CONFIGURAÇÃO'!$N$2588)&amp;""</f>
        <v/>
      </c>
      <c r="C8073" s="194">
        <f>"'CONFIGURAÇÃO'!N2588"</f>
        <v/>
      </c>
      <c r="D8073" s="194" t="inlineStr">
        <is>
          <t>configuração</t>
        </is>
      </c>
    </row>
    <row r="8074">
      <c r="A8074" s="194" t="inlineStr">
        <is>
          <t>custom.talento_entidade.6.base</t>
        </is>
      </c>
      <c r="B8074" s="194">
        <f>IF(ISBLANK('CONFIGURAÇÃO'!$M$2590),"",'CONFIGURAÇÃO'!$M$2590&amp;"")</f>
        <v/>
      </c>
      <c r="C8074" s="194">
        <f>"'CONFIGURAÇÃO'!M2590"</f>
        <v/>
      </c>
      <c r="D8074" s="194" t="inlineStr">
        <is>
          <t>configuração</t>
        </is>
      </c>
    </row>
    <row r="8075">
      <c r="A8075" s="194" t="inlineStr">
        <is>
          <t>custom.talento_entidade.6.categoria</t>
        </is>
      </c>
      <c r="B8075" s="194">
        <f>IF(ISBLANK('CONFIGURAÇÃO'!$M$2591),"",'CONFIGURAÇÃO'!$M$2591&amp;"")</f>
        <v/>
      </c>
      <c r="C8075" s="194">
        <f>"'CONFIGURAÇÃO'!M2591"</f>
        <v/>
      </c>
      <c r="D8075" s="194" t="inlineStr">
        <is>
          <t>configuração</t>
        </is>
      </c>
    </row>
    <row r="8076">
      <c r="A8076" s="194" t="inlineStr">
        <is>
          <t>custom.talento_entidade.6.requisitos</t>
        </is>
      </c>
      <c r="B8076" s="194">
        <f>IF(ISBLANK('CONFIGURAÇÃO'!$J$2598),"",'CONFIGURAÇÃO'!$J$2598&amp;"")</f>
        <v/>
      </c>
      <c r="C8076" s="194">
        <f>"'CONFIGURAÇÃO'!J2598"</f>
        <v/>
      </c>
      <c r="D8076" s="194" t="inlineStr">
        <is>
          <t>configuração</t>
        </is>
      </c>
    </row>
    <row r="8077">
      <c r="A8077" s="194" t="inlineStr">
        <is>
          <t>custom.talento_entidade.6.efeito</t>
        </is>
      </c>
      <c r="B8077" s="194">
        <f>IF(ISBLANK('CONFIGURAÇÃO'!$J$2603),"",'CONFIGURAÇÃO'!$J$2603&amp;"")</f>
        <v/>
      </c>
      <c r="C8077" s="194">
        <f>"'CONFIGURAÇÃO'!J2603"</f>
        <v/>
      </c>
      <c r="D8077" s="194" t="inlineStr">
        <is>
          <t>configuração</t>
        </is>
      </c>
    </row>
    <row r="8078">
      <c r="A8078" s="194" t="inlineStr">
        <is>
          <t>custom.talento_entidade.7.nome</t>
        </is>
      </c>
      <c r="B8078" s="194">
        <f>IF(ISBLANK('CONFIGURAÇÃO'!$B$2616),"",'CONFIGURAÇÃO'!$B$2616&amp;"")</f>
        <v/>
      </c>
      <c r="C8078" s="194">
        <f>"'CONFIGURAÇÃO'!B2616"</f>
        <v/>
      </c>
      <c r="D8078" s="194" t="inlineStr">
        <is>
          <t>configuração</t>
        </is>
      </c>
    </row>
    <row r="8079">
      <c r="A8079" s="194" t="inlineStr">
        <is>
          <t>custom.talento_entidade.7.mestre_viu</t>
        </is>
      </c>
      <c r="B8079" s="194">
        <f>N('CONFIGURAÇÃO'!$F$2616)&amp;""</f>
        <v/>
      </c>
      <c r="C8079" s="194">
        <f>"'CONFIGURAÇÃO'!F2616"</f>
        <v/>
      </c>
      <c r="D8079" s="194" t="inlineStr">
        <is>
          <t>configuração</t>
        </is>
      </c>
    </row>
    <row r="8080">
      <c r="A8080" s="194" t="inlineStr">
        <is>
          <t>custom.talento_entidade.7.base</t>
        </is>
      </c>
      <c r="B8080" s="194">
        <f>IF(ISBLANK('CONFIGURAÇÃO'!$E$2618),"",'CONFIGURAÇÃO'!$E$2618&amp;"")</f>
        <v/>
      </c>
      <c r="C8080" s="194">
        <f>"'CONFIGURAÇÃO'!E2618"</f>
        <v/>
      </c>
      <c r="D8080" s="194" t="inlineStr">
        <is>
          <t>configuração</t>
        </is>
      </c>
    </row>
    <row r="8081">
      <c r="A8081" s="194" t="inlineStr">
        <is>
          <t>custom.talento_entidade.7.categoria</t>
        </is>
      </c>
      <c r="B8081" s="194">
        <f>IF(ISBLANK('CONFIGURAÇÃO'!$E$2619),"",'CONFIGURAÇÃO'!$E$2619&amp;"")</f>
        <v/>
      </c>
      <c r="C8081" s="194">
        <f>"'CONFIGURAÇÃO'!E2619"</f>
        <v/>
      </c>
      <c r="D8081" s="194" t="inlineStr">
        <is>
          <t>configuração</t>
        </is>
      </c>
    </row>
    <row r="8082">
      <c r="A8082" s="194" t="inlineStr">
        <is>
          <t>custom.talento_entidade.7.requisitos</t>
        </is>
      </c>
      <c r="B8082" s="194">
        <f>IF(ISBLANK('CONFIGURAÇÃO'!$B$2626),"",'CONFIGURAÇÃO'!$B$2626&amp;"")</f>
        <v/>
      </c>
      <c r="C8082" s="194">
        <f>"'CONFIGURAÇÃO'!B2626"</f>
        <v/>
      </c>
      <c r="D8082" s="194" t="inlineStr">
        <is>
          <t>configuração</t>
        </is>
      </c>
    </row>
    <row r="8083">
      <c r="A8083" s="194" t="inlineStr">
        <is>
          <t>custom.talento_entidade.7.efeito</t>
        </is>
      </c>
      <c r="B8083" s="194">
        <f>IF(ISBLANK('CONFIGURAÇÃO'!$B$2631),"",'CONFIGURAÇÃO'!$B$2631&amp;"")</f>
        <v/>
      </c>
      <c r="C8083" s="194">
        <f>"'CONFIGURAÇÃO'!B2631"</f>
        <v/>
      </c>
      <c r="D8083" s="194" t="inlineStr">
        <is>
          <t>configuração</t>
        </is>
      </c>
    </row>
    <row r="8084">
      <c r="A8084" s="194" t="inlineStr">
        <is>
          <t>custom.talento_entidade.8.nome</t>
        </is>
      </c>
      <c r="B8084" s="194">
        <f>IF(ISBLANK('CONFIGURAÇÃO'!$J$2616),"",'CONFIGURAÇÃO'!$J$2616&amp;"")</f>
        <v/>
      </c>
      <c r="C8084" s="194">
        <f>"'CONFIGURAÇÃO'!J2616"</f>
        <v/>
      </c>
      <c r="D8084" s="194" t="inlineStr">
        <is>
          <t>configuração</t>
        </is>
      </c>
    </row>
    <row r="8085">
      <c r="A8085" s="194" t="inlineStr">
        <is>
          <t>custom.talento_entidade.8.mestre_viu</t>
        </is>
      </c>
      <c r="B8085" s="194">
        <f>N('CONFIGURAÇÃO'!$N$2616)&amp;""</f>
        <v/>
      </c>
      <c r="C8085" s="194">
        <f>"'CONFIGURAÇÃO'!N2616"</f>
        <v/>
      </c>
      <c r="D8085" s="194" t="inlineStr">
        <is>
          <t>configuração</t>
        </is>
      </c>
    </row>
    <row r="8086">
      <c r="A8086" s="194" t="inlineStr">
        <is>
          <t>custom.talento_entidade.8.base</t>
        </is>
      </c>
      <c r="B8086" s="194">
        <f>IF(ISBLANK('CONFIGURAÇÃO'!$M$2618),"",'CONFIGURAÇÃO'!$M$2618&amp;"")</f>
        <v/>
      </c>
      <c r="C8086" s="194">
        <f>"'CONFIGURAÇÃO'!M2618"</f>
        <v/>
      </c>
      <c r="D8086" s="194" t="inlineStr">
        <is>
          <t>configuração</t>
        </is>
      </c>
    </row>
    <row r="8087">
      <c r="A8087" s="194" t="inlineStr">
        <is>
          <t>custom.talento_entidade.8.categoria</t>
        </is>
      </c>
      <c r="B8087" s="194">
        <f>IF(ISBLANK('CONFIGURAÇÃO'!$M$2619),"",'CONFIGURAÇÃO'!$M$2619&amp;"")</f>
        <v/>
      </c>
      <c r="C8087" s="194">
        <f>"'CONFIGURAÇÃO'!M2619"</f>
        <v/>
      </c>
      <c r="D8087" s="194" t="inlineStr">
        <is>
          <t>configuração</t>
        </is>
      </c>
    </row>
    <row r="8088">
      <c r="A8088" s="194" t="inlineStr">
        <is>
          <t>custom.talento_entidade.8.requisitos</t>
        </is>
      </c>
      <c r="B8088" s="194">
        <f>IF(ISBLANK('CONFIGURAÇÃO'!$J$2626),"",'CONFIGURAÇÃO'!$J$2626&amp;"")</f>
        <v/>
      </c>
      <c r="C8088" s="194">
        <f>"'CONFIGURAÇÃO'!J2626"</f>
        <v/>
      </c>
      <c r="D8088" s="194" t="inlineStr">
        <is>
          <t>configuração</t>
        </is>
      </c>
    </row>
    <row r="8089">
      <c r="A8089" s="194" t="inlineStr">
        <is>
          <t>custom.talento_entidade.8.efeito</t>
        </is>
      </c>
      <c r="B8089" s="194">
        <f>IF(ISBLANK('CONFIGURAÇÃO'!$J$2631),"",'CONFIGURAÇÃO'!$J$2631&amp;"")</f>
        <v/>
      </c>
      <c r="C8089" s="194">
        <f>"'CONFIGURAÇÃO'!J2631"</f>
        <v/>
      </c>
      <c r="D8089" s="194" t="inlineStr">
        <is>
          <t>configuração</t>
        </is>
      </c>
    </row>
    <row r="8090">
      <c r="A8090" s="194" t="inlineStr">
        <is>
          <t>custom.talento_entidade.9.nome</t>
        </is>
      </c>
      <c r="B8090" s="194">
        <f>IF(ISBLANK('CONFIGURAÇÃO'!$B$2644),"",'CONFIGURAÇÃO'!$B$2644&amp;"")</f>
        <v/>
      </c>
      <c r="C8090" s="194">
        <f>"'CONFIGURAÇÃO'!B2644"</f>
        <v/>
      </c>
      <c r="D8090" s="194" t="inlineStr">
        <is>
          <t>configuração</t>
        </is>
      </c>
    </row>
    <row r="8091">
      <c r="A8091" s="194" t="inlineStr">
        <is>
          <t>custom.talento_entidade.9.mestre_viu</t>
        </is>
      </c>
      <c r="B8091" s="194">
        <f>N('CONFIGURAÇÃO'!$F$2644)&amp;""</f>
        <v/>
      </c>
      <c r="C8091" s="194">
        <f>"'CONFIGURAÇÃO'!F2644"</f>
        <v/>
      </c>
      <c r="D8091" s="194" t="inlineStr">
        <is>
          <t>configuração</t>
        </is>
      </c>
    </row>
    <row r="8092">
      <c r="A8092" s="194" t="inlineStr">
        <is>
          <t>custom.talento_entidade.9.base</t>
        </is>
      </c>
      <c r="B8092" s="194">
        <f>IF(ISBLANK('CONFIGURAÇÃO'!$E$2646),"",'CONFIGURAÇÃO'!$E$2646&amp;"")</f>
        <v/>
      </c>
      <c r="C8092" s="194">
        <f>"'CONFIGURAÇÃO'!E2646"</f>
        <v/>
      </c>
      <c r="D8092" s="194" t="inlineStr">
        <is>
          <t>configuração</t>
        </is>
      </c>
    </row>
    <row r="8093">
      <c r="A8093" s="194" t="inlineStr">
        <is>
          <t>custom.talento_entidade.9.categoria</t>
        </is>
      </c>
      <c r="B8093" s="194">
        <f>IF(ISBLANK('CONFIGURAÇÃO'!$E$2647),"",'CONFIGURAÇÃO'!$E$2647&amp;"")</f>
        <v/>
      </c>
      <c r="C8093" s="194">
        <f>"'CONFIGURAÇÃO'!E2647"</f>
        <v/>
      </c>
      <c r="D8093" s="194" t="inlineStr">
        <is>
          <t>configuração</t>
        </is>
      </c>
    </row>
    <row r="8094">
      <c r="A8094" s="194" t="inlineStr">
        <is>
          <t>custom.talento_entidade.9.requisitos</t>
        </is>
      </c>
      <c r="B8094" s="194">
        <f>IF(ISBLANK('CONFIGURAÇÃO'!$B$2654),"",'CONFIGURAÇÃO'!$B$2654&amp;"")</f>
        <v/>
      </c>
      <c r="C8094" s="194">
        <f>"'CONFIGURAÇÃO'!B2654"</f>
        <v/>
      </c>
      <c r="D8094" s="194" t="inlineStr">
        <is>
          <t>configuração</t>
        </is>
      </c>
    </row>
    <row r="8095">
      <c r="A8095" s="194" t="inlineStr">
        <is>
          <t>custom.talento_entidade.9.efeito</t>
        </is>
      </c>
      <c r="B8095" s="194">
        <f>IF(ISBLANK('CONFIGURAÇÃO'!$B$2659),"",'CONFIGURAÇÃO'!$B$2659&amp;"")</f>
        <v/>
      </c>
      <c r="C8095" s="194">
        <f>"'CONFIGURAÇÃO'!B2659"</f>
        <v/>
      </c>
      <c r="D8095" s="194" t="inlineStr">
        <is>
          <t>configuração</t>
        </is>
      </c>
    </row>
    <row r="8096">
      <c r="A8096" s="194" t="inlineStr">
        <is>
          <t>custom.talento_entidade.10.nome</t>
        </is>
      </c>
      <c r="B8096" s="194">
        <f>IF(ISBLANK('CONFIGURAÇÃO'!$J$2644),"",'CONFIGURAÇÃO'!$J$2644&amp;"")</f>
        <v/>
      </c>
      <c r="C8096" s="194">
        <f>"'CONFIGURAÇÃO'!J2644"</f>
        <v/>
      </c>
      <c r="D8096" s="194" t="inlineStr">
        <is>
          <t>configuração</t>
        </is>
      </c>
    </row>
    <row r="8097">
      <c r="A8097" s="194" t="inlineStr">
        <is>
          <t>custom.talento_entidade.10.mestre_viu</t>
        </is>
      </c>
      <c r="B8097" s="194">
        <f>N('CONFIGURAÇÃO'!$N$2644)&amp;""</f>
        <v/>
      </c>
      <c r="C8097" s="194">
        <f>"'CONFIGURAÇÃO'!N2644"</f>
        <v/>
      </c>
      <c r="D8097" s="194" t="inlineStr">
        <is>
          <t>configuração</t>
        </is>
      </c>
    </row>
    <row r="8098">
      <c r="A8098" s="194" t="inlineStr">
        <is>
          <t>custom.talento_entidade.10.base</t>
        </is>
      </c>
      <c r="B8098" s="194">
        <f>IF(ISBLANK('CONFIGURAÇÃO'!$M$2646),"",'CONFIGURAÇÃO'!$M$2646&amp;"")</f>
        <v/>
      </c>
      <c r="C8098" s="194">
        <f>"'CONFIGURAÇÃO'!M2646"</f>
        <v/>
      </c>
      <c r="D8098" s="194" t="inlineStr">
        <is>
          <t>configuração</t>
        </is>
      </c>
    </row>
    <row r="8099">
      <c r="A8099" s="194" t="inlineStr">
        <is>
          <t>custom.talento_entidade.10.categoria</t>
        </is>
      </c>
      <c r="B8099" s="194">
        <f>IF(ISBLANK('CONFIGURAÇÃO'!$M$2647),"",'CONFIGURAÇÃO'!$M$2647&amp;"")</f>
        <v/>
      </c>
      <c r="C8099" s="194">
        <f>"'CONFIGURAÇÃO'!M2647"</f>
        <v/>
      </c>
      <c r="D8099" s="194" t="inlineStr">
        <is>
          <t>configuração</t>
        </is>
      </c>
    </row>
    <row r="8100">
      <c r="A8100" s="194" t="inlineStr">
        <is>
          <t>custom.talento_entidade.10.requisitos</t>
        </is>
      </c>
      <c r="B8100" s="194">
        <f>IF(ISBLANK('CONFIGURAÇÃO'!$J$2654),"",'CONFIGURAÇÃO'!$J$2654&amp;"")</f>
        <v/>
      </c>
      <c r="C8100" s="194">
        <f>"'CONFIGURAÇÃO'!J2654"</f>
        <v/>
      </c>
      <c r="D8100" s="194" t="inlineStr">
        <is>
          <t>configuração</t>
        </is>
      </c>
    </row>
    <row r="8101">
      <c r="A8101" s="194" t="inlineStr">
        <is>
          <t>custom.talento_entidade.10.efeito</t>
        </is>
      </c>
      <c r="B8101" s="194">
        <f>IF(ISBLANK('CONFIGURAÇÃO'!$J$2659),"",'CONFIGURAÇÃO'!$J$2659&amp;"")</f>
        <v/>
      </c>
      <c r="C8101" s="194">
        <f>"'CONFIGURAÇÃO'!J2659"</f>
        <v/>
      </c>
      <c r="D8101" s="194" t="inlineStr">
        <is>
          <t>configuração</t>
        </is>
      </c>
    </row>
    <row r="8102">
      <c r="A8102" s="194" t="inlineStr">
        <is>
          <t>custom.talento_entidade.11.nome</t>
        </is>
      </c>
      <c r="B8102" s="194">
        <f>IF(ISBLANK('CONFIGURAÇÃO'!$B$2672),"",'CONFIGURAÇÃO'!$B$2672&amp;"")</f>
        <v/>
      </c>
      <c r="C8102" s="194">
        <f>"'CONFIGURAÇÃO'!B2672"</f>
        <v/>
      </c>
      <c r="D8102" s="194" t="inlineStr">
        <is>
          <t>configuração</t>
        </is>
      </c>
    </row>
    <row r="8103">
      <c r="A8103" s="194" t="inlineStr">
        <is>
          <t>custom.talento_entidade.11.mestre_viu</t>
        </is>
      </c>
      <c r="B8103" s="194">
        <f>N('CONFIGURAÇÃO'!$F$2672)&amp;""</f>
        <v/>
      </c>
      <c r="C8103" s="194">
        <f>"'CONFIGURAÇÃO'!F2672"</f>
        <v/>
      </c>
      <c r="D8103" s="194" t="inlineStr">
        <is>
          <t>configuração</t>
        </is>
      </c>
    </row>
    <row r="8104">
      <c r="A8104" s="194" t="inlineStr">
        <is>
          <t>custom.talento_entidade.11.base</t>
        </is>
      </c>
      <c r="B8104" s="194">
        <f>IF(ISBLANK('CONFIGURAÇÃO'!$E$2674),"",'CONFIGURAÇÃO'!$E$2674&amp;"")</f>
        <v/>
      </c>
      <c r="C8104" s="194">
        <f>"'CONFIGURAÇÃO'!E2674"</f>
        <v/>
      </c>
      <c r="D8104" s="194" t="inlineStr">
        <is>
          <t>configuração</t>
        </is>
      </c>
    </row>
    <row r="8105">
      <c r="A8105" s="194" t="inlineStr">
        <is>
          <t>custom.talento_entidade.11.categoria</t>
        </is>
      </c>
      <c r="B8105" s="194">
        <f>IF(ISBLANK('CONFIGURAÇÃO'!$E$2675),"",'CONFIGURAÇÃO'!$E$2675&amp;"")</f>
        <v/>
      </c>
      <c r="C8105" s="194">
        <f>"'CONFIGURAÇÃO'!E2675"</f>
        <v/>
      </c>
      <c r="D8105" s="194" t="inlineStr">
        <is>
          <t>configuração</t>
        </is>
      </c>
    </row>
    <row r="8106">
      <c r="A8106" s="194" t="inlineStr">
        <is>
          <t>custom.talento_entidade.11.requisitos</t>
        </is>
      </c>
      <c r="B8106" s="194">
        <f>IF(ISBLANK('CONFIGURAÇÃO'!$B$2682),"",'CONFIGURAÇÃO'!$B$2682&amp;"")</f>
        <v/>
      </c>
      <c r="C8106" s="194">
        <f>"'CONFIGURAÇÃO'!B2682"</f>
        <v/>
      </c>
      <c r="D8106" s="194" t="inlineStr">
        <is>
          <t>configuração</t>
        </is>
      </c>
    </row>
    <row r="8107">
      <c r="A8107" s="194" t="inlineStr">
        <is>
          <t>custom.talento_entidade.11.efeito</t>
        </is>
      </c>
      <c r="B8107" s="194">
        <f>IF(ISBLANK('CONFIGURAÇÃO'!$B$2687),"",'CONFIGURAÇÃO'!$B$2687&amp;"")</f>
        <v/>
      </c>
      <c r="C8107" s="194">
        <f>"'CONFIGURAÇÃO'!B2687"</f>
        <v/>
      </c>
      <c r="D8107" s="194" t="inlineStr">
        <is>
          <t>configuração</t>
        </is>
      </c>
    </row>
    <row r="8108">
      <c r="A8108" s="194" t="inlineStr">
        <is>
          <t>custom.talento_entidade.12.nome</t>
        </is>
      </c>
      <c r="B8108" s="194">
        <f>IF(ISBLANK('CONFIGURAÇÃO'!$J$2672),"",'CONFIGURAÇÃO'!$J$2672&amp;"")</f>
        <v/>
      </c>
      <c r="C8108" s="194">
        <f>"'CONFIGURAÇÃO'!J2672"</f>
        <v/>
      </c>
      <c r="D8108" s="194" t="inlineStr">
        <is>
          <t>configuração</t>
        </is>
      </c>
    </row>
    <row r="8109">
      <c r="A8109" s="194" t="inlineStr">
        <is>
          <t>custom.talento_entidade.12.mestre_viu</t>
        </is>
      </c>
      <c r="B8109" s="194">
        <f>N('CONFIGURAÇÃO'!$N$2672)&amp;""</f>
        <v/>
      </c>
      <c r="C8109" s="194">
        <f>"'CONFIGURAÇÃO'!N2672"</f>
        <v/>
      </c>
      <c r="D8109" s="194" t="inlineStr">
        <is>
          <t>configuração</t>
        </is>
      </c>
    </row>
    <row r="8110">
      <c r="A8110" s="194" t="inlineStr">
        <is>
          <t>custom.talento_entidade.12.base</t>
        </is>
      </c>
      <c r="B8110" s="194">
        <f>IF(ISBLANK('CONFIGURAÇÃO'!$M$2674),"",'CONFIGURAÇÃO'!$M$2674&amp;"")</f>
        <v/>
      </c>
      <c r="C8110" s="194">
        <f>"'CONFIGURAÇÃO'!M2674"</f>
        <v/>
      </c>
      <c r="D8110" s="194" t="inlineStr">
        <is>
          <t>configuração</t>
        </is>
      </c>
    </row>
    <row r="8111">
      <c r="A8111" s="194" t="inlineStr">
        <is>
          <t>custom.talento_entidade.12.categoria</t>
        </is>
      </c>
      <c r="B8111" s="194">
        <f>IF(ISBLANK('CONFIGURAÇÃO'!$M$2675),"",'CONFIGURAÇÃO'!$M$2675&amp;"")</f>
        <v/>
      </c>
      <c r="C8111" s="194">
        <f>"'CONFIGURAÇÃO'!M2675"</f>
        <v/>
      </c>
      <c r="D8111" s="194" t="inlineStr">
        <is>
          <t>configuração</t>
        </is>
      </c>
    </row>
    <row r="8112">
      <c r="A8112" s="194" t="inlineStr">
        <is>
          <t>custom.talento_entidade.12.requisitos</t>
        </is>
      </c>
      <c r="B8112" s="194">
        <f>IF(ISBLANK('CONFIGURAÇÃO'!$J$2682),"",'CONFIGURAÇÃO'!$J$2682&amp;"")</f>
        <v/>
      </c>
      <c r="C8112" s="194">
        <f>"'CONFIGURAÇÃO'!J2682"</f>
        <v/>
      </c>
      <c r="D8112" s="194" t="inlineStr">
        <is>
          <t>configuração</t>
        </is>
      </c>
    </row>
    <row r="8113">
      <c r="A8113" s="194" t="inlineStr">
        <is>
          <t>custom.talento_entidade.12.efeito</t>
        </is>
      </c>
      <c r="B8113" s="194">
        <f>IF(ISBLANK('CONFIGURAÇÃO'!$J$2687),"",'CONFIGURAÇÃO'!$J$2687&amp;"")</f>
        <v/>
      </c>
      <c r="C8113" s="194">
        <f>"'CONFIGURAÇÃO'!J2687"</f>
        <v/>
      </c>
      <c r="D8113" s="194" t="inlineStr">
        <is>
          <t>configuração</t>
        </is>
      </c>
    </row>
    <row r="8114">
      <c r="A8114" s="194" t="inlineStr">
        <is>
          <t>custom.talento_entidade.13.nome</t>
        </is>
      </c>
      <c r="B8114" s="194">
        <f>IF(ISBLANK('CONFIGURAÇÃO'!$B$2700),"",'CONFIGURAÇÃO'!$B$2700&amp;"")</f>
        <v/>
      </c>
      <c r="C8114" s="194">
        <f>"'CONFIGURAÇÃO'!B2700"</f>
        <v/>
      </c>
      <c r="D8114" s="194" t="inlineStr">
        <is>
          <t>configuração</t>
        </is>
      </c>
    </row>
    <row r="8115">
      <c r="A8115" s="194" t="inlineStr">
        <is>
          <t>custom.talento_entidade.13.mestre_viu</t>
        </is>
      </c>
      <c r="B8115" s="194">
        <f>N('CONFIGURAÇÃO'!$F$2700)&amp;""</f>
        <v/>
      </c>
      <c r="C8115" s="194">
        <f>"'CONFIGURAÇÃO'!F2700"</f>
        <v/>
      </c>
      <c r="D8115" s="194" t="inlineStr">
        <is>
          <t>configuração</t>
        </is>
      </c>
    </row>
    <row r="8116">
      <c r="A8116" s="194" t="inlineStr">
        <is>
          <t>custom.talento_entidade.13.base</t>
        </is>
      </c>
      <c r="B8116" s="194">
        <f>IF(ISBLANK('CONFIGURAÇÃO'!$E$2702),"",'CONFIGURAÇÃO'!$E$2702&amp;"")</f>
        <v/>
      </c>
      <c r="C8116" s="194">
        <f>"'CONFIGURAÇÃO'!E2702"</f>
        <v/>
      </c>
      <c r="D8116" s="194" t="inlineStr">
        <is>
          <t>configuração</t>
        </is>
      </c>
    </row>
    <row r="8117">
      <c r="A8117" s="194" t="inlineStr">
        <is>
          <t>custom.talento_entidade.13.categoria</t>
        </is>
      </c>
      <c r="B8117" s="194">
        <f>IF(ISBLANK('CONFIGURAÇÃO'!$E$2703),"",'CONFIGURAÇÃO'!$E$2703&amp;"")</f>
        <v/>
      </c>
      <c r="C8117" s="194">
        <f>"'CONFIGURAÇÃO'!E2703"</f>
        <v/>
      </c>
      <c r="D8117" s="194" t="inlineStr">
        <is>
          <t>configuração</t>
        </is>
      </c>
    </row>
    <row r="8118">
      <c r="A8118" s="194" t="inlineStr">
        <is>
          <t>custom.talento_entidade.13.requisitos</t>
        </is>
      </c>
      <c r="B8118" s="194">
        <f>IF(ISBLANK('CONFIGURAÇÃO'!$B$2710),"",'CONFIGURAÇÃO'!$B$2710&amp;"")</f>
        <v/>
      </c>
      <c r="C8118" s="194">
        <f>"'CONFIGURAÇÃO'!B2710"</f>
        <v/>
      </c>
      <c r="D8118" s="194" t="inlineStr">
        <is>
          <t>configuração</t>
        </is>
      </c>
    </row>
    <row r="8119">
      <c r="A8119" s="194" t="inlineStr">
        <is>
          <t>custom.talento_entidade.13.efeito</t>
        </is>
      </c>
      <c r="B8119" s="194">
        <f>IF(ISBLANK('CONFIGURAÇÃO'!$B$2715),"",'CONFIGURAÇÃO'!$B$2715&amp;"")</f>
        <v/>
      </c>
      <c r="C8119" s="194">
        <f>"'CONFIGURAÇÃO'!B2715"</f>
        <v/>
      </c>
      <c r="D8119" s="194" t="inlineStr">
        <is>
          <t>configuração</t>
        </is>
      </c>
    </row>
    <row r="8120">
      <c r="A8120" s="194" t="inlineStr">
        <is>
          <t>custom.talento_entidade.14.nome</t>
        </is>
      </c>
      <c r="B8120" s="194">
        <f>IF(ISBLANK('CONFIGURAÇÃO'!$J$2700),"",'CONFIGURAÇÃO'!$J$2700&amp;"")</f>
        <v/>
      </c>
      <c r="C8120" s="194">
        <f>"'CONFIGURAÇÃO'!J2700"</f>
        <v/>
      </c>
      <c r="D8120" s="194" t="inlineStr">
        <is>
          <t>configuração</t>
        </is>
      </c>
    </row>
    <row r="8121">
      <c r="A8121" s="194" t="inlineStr">
        <is>
          <t>custom.talento_entidade.14.mestre_viu</t>
        </is>
      </c>
      <c r="B8121" s="194">
        <f>N('CONFIGURAÇÃO'!$N$2700)&amp;""</f>
        <v/>
      </c>
      <c r="C8121" s="194">
        <f>"'CONFIGURAÇÃO'!N2700"</f>
        <v/>
      </c>
      <c r="D8121" s="194" t="inlineStr">
        <is>
          <t>configuração</t>
        </is>
      </c>
    </row>
    <row r="8122">
      <c r="A8122" s="194" t="inlineStr">
        <is>
          <t>custom.talento_entidade.14.base</t>
        </is>
      </c>
      <c r="B8122" s="194">
        <f>IF(ISBLANK('CONFIGURAÇÃO'!$M$2702),"",'CONFIGURAÇÃO'!$M$2702&amp;"")</f>
        <v/>
      </c>
      <c r="C8122" s="194">
        <f>"'CONFIGURAÇÃO'!M2702"</f>
        <v/>
      </c>
      <c r="D8122" s="194" t="inlineStr">
        <is>
          <t>configuração</t>
        </is>
      </c>
    </row>
    <row r="8123">
      <c r="A8123" s="194" t="inlineStr">
        <is>
          <t>custom.talento_entidade.14.categoria</t>
        </is>
      </c>
      <c r="B8123" s="194">
        <f>IF(ISBLANK('CONFIGURAÇÃO'!$M$2703),"",'CONFIGURAÇÃO'!$M$2703&amp;"")</f>
        <v/>
      </c>
      <c r="C8123" s="194">
        <f>"'CONFIGURAÇÃO'!M2703"</f>
        <v/>
      </c>
      <c r="D8123" s="194" t="inlineStr">
        <is>
          <t>configuração</t>
        </is>
      </c>
    </row>
    <row r="8124">
      <c r="A8124" s="194" t="inlineStr">
        <is>
          <t>custom.talento_entidade.14.requisitos</t>
        </is>
      </c>
      <c r="B8124" s="194">
        <f>IF(ISBLANK('CONFIGURAÇÃO'!$J$2710),"",'CONFIGURAÇÃO'!$J$2710&amp;"")</f>
        <v/>
      </c>
      <c r="C8124" s="194">
        <f>"'CONFIGURAÇÃO'!J2710"</f>
        <v/>
      </c>
      <c r="D8124" s="194" t="inlineStr">
        <is>
          <t>configuração</t>
        </is>
      </c>
    </row>
    <row r="8125">
      <c r="A8125" s="194" t="inlineStr">
        <is>
          <t>custom.talento_entidade.14.efeito</t>
        </is>
      </c>
      <c r="B8125" s="194">
        <f>IF(ISBLANK('CONFIGURAÇÃO'!$J$2715),"",'CONFIGURAÇÃO'!$J$2715&amp;"")</f>
        <v/>
      </c>
      <c r="C8125" s="194">
        <f>"'CONFIGURAÇÃO'!J2715"</f>
        <v/>
      </c>
      <c r="D8125" s="194" t="inlineStr">
        <is>
          <t>configuração</t>
        </is>
      </c>
    </row>
    <row r="8126">
      <c r="A8126" s="194" t="inlineStr">
        <is>
          <t>custom.talento_entidade.15.nome</t>
        </is>
      </c>
      <c r="B8126" s="194">
        <f>IF(ISBLANK('CONFIGURAÇÃO'!$B$2728),"",'CONFIGURAÇÃO'!$B$2728&amp;"")</f>
        <v/>
      </c>
      <c r="C8126" s="194">
        <f>"'CONFIGURAÇÃO'!B2728"</f>
        <v/>
      </c>
      <c r="D8126" s="194" t="inlineStr">
        <is>
          <t>configuração</t>
        </is>
      </c>
    </row>
    <row r="8127">
      <c r="A8127" s="194" t="inlineStr">
        <is>
          <t>custom.talento_entidade.15.mestre_viu</t>
        </is>
      </c>
      <c r="B8127" s="194">
        <f>N('CONFIGURAÇÃO'!$F$2728)&amp;""</f>
        <v/>
      </c>
      <c r="C8127" s="194">
        <f>"'CONFIGURAÇÃO'!F2728"</f>
        <v/>
      </c>
      <c r="D8127" s="194" t="inlineStr">
        <is>
          <t>configuração</t>
        </is>
      </c>
    </row>
    <row r="8128">
      <c r="A8128" s="194" t="inlineStr">
        <is>
          <t>custom.talento_entidade.15.base</t>
        </is>
      </c>
      <c r="B8128" s="194">
        <f>IF(ISBLANK('CONFIGURAÇÃO'!$E$2730),"",'CONFIGURAÇÃO'!$E$2730&amp;"")</f>
        <v/>
      </c>
      <c r="C8128" s="194">
        <f>"'CONFIGURAÇÃO'!E2730"</f>
        <v/>
      </c>
      <c r="D8128" s="194" t="inlineStr">
        <is>
          <t>configuração</t>
        </is>
      </c>
    </row>
    <row r="8129">
      <c r="A8129" s="194" t="inlineStr">
        <is>
          <t>custom.talento_entidade.15.categoria</t>
        </is>
      </c>
      <c r="B8129" s="194">
        <f>IF(ISBLANK('CONFIGURAÇÃO'!$E$2731),"",'CONFIGURAÇÃO'!$E$2731&amp;"")</f>
        <v/>
      </c>
      <c r="C8129" s="194">
        <f>"'CONFIGURAÇÃO'!E2731"</f>
        <v/>
      </c>
      <c r="D8129" s="194" t="inlineStr">
        <is>
          <t>configuração</t>
        </is>
      </c>
    </row>
    <row r="8130">
      <c r="A8130" s="194" t="inlineStr">
        <is>
          <t>custom.talento_entidade.15.requisitos</t>
        </is>
      </c>
      <c r="B8130" s="194">
        <f>IF(ISBLANK('CONFIGURAÇÃO'!$B$2738),"",'CONFIGURAÇÃO'!$B$2738&amp;"")</f>
        <v/>
      </c>
      <c r="C8130" s="194">
        <f>"'CONFIGURAÇÃO'!B2738"</f>
        <v/>
      </c>
      <c r="D8130" s="194" t="inlineStr">
        <is>
          <t>configuração</t>
        </is>
      </c>
    </row>
    <row r="8131">
      <c r="A8131" s="194" t="inlineStr">
        <is>
          <t>custom.talento_entidade.15.efeito</t>
        </is>
      </c>
      <c r="B8131" s="194">
        <f>IF(ISBLANK('CONFIGURAÇÃO'!$B$2743),"",'CONFIGURAÇÃO'!$B$2743&amp;"")</f>
        <v/>
      </c>
      <c r="C8131" s="194">
        <f>"'CONFIGURAÇÃO'!B2743"</f>
        <v/>
      </c>
      <c r="D8131" s="194" t="inlineStr">
        <is>
          <t>configuração</t>
        </is>
      </c>
    </row>
    <row r="8132">
      <c r="A8132" s="194" t="inlineStr">
        <is>
          <t>custom.talento_entidade.16.nome</t>
        </is>
      </c>
      <c r="B8132" s="194">
        <f>IF(ISBLANK('CONFIGURAÇÃO'!$J$2728),"",'CONFIGURAÇÃO'!$J$2728&amp;"")</f>
        <v/>
      </c>
      <c r="C8132" s="194">
        <f>"'CONFIGURAÇÃO'!J2728"</f>
        <v/>
      </c>
      <c r="D8132" s="194" t="inlineStr">
        <is>
          <t>configuração</t>
        </is>
      </c>
    </row>
    <row r="8133">
      <c r="A8133" s="194" t="inlineStr">
        <is>
          <t>custom.talento_entidade.16.mestre_viu</t>
        </is>
      </c>
      <c r="B8133" s="194">
        <f>N('CONFIGURAÇÃO'!$N$2728)&amp;""</f>
        <v/>
      </c>
      <c r="C8133" s="194">
        <f>"'CONFIGURAÇÃO'!N2728"</f>
        <v/>
      </c>
      <c r="D8133" s="194" t="inlineStr">
        <is>
          <t>configuração</t>
        </is>
      </c>
    </row>
    <row r="8134">
      <c r="A8134" s="194" t="inlineStr">
        <is>
          <t>custom.talento_entidade.16.base</t>
        </is>
      </c>
      <c r="B8134" s="194">
        <f>IF(ISBLANK('CONFIGURAÇÃO'!$M$2730),"",'CONFIGURAÇÃO'!$M$2730&amp;"")</f>
        <v/>
      </c>
      <c r="C8134" s="194">
        <f>"'CONFIGURAÇÃO'!M2730"</f>
        <v/>
      </c>
      <c r="D8134" s="194" t="inlineStr">
        <is>
          <t>configuração</t>
        </is>
      </c>
    </row>
    <row r="8135">
      <c r="A8135" s="194" t="inlineStr">
        <is>
          <t>custom.talento_entidade.16.categoria</t>
        </is>
      </c>
      <c r="B8135" s="194">
        <f>IF(ISBLANK('CONFIGURAÇÃO'!$M$2731),"",'CONFIGURAÇÃO'!$M$2731&amp;"")</f>
        <v/>
      </c>
      <c r="C8135" s="194">
        <f>"'CONFIGURAÇÃO'!M2731"</f>
        <v/>
      </c>
      <c r="D8135" s="194" t="inlineStr">
        <is>
          <t>configuração</t>
        </is>
      </c>
    </row>
    <row r="8136">
      <c r="A8136" s="194" t="inlineStr">
        <is>
          <t>custom.talento_entidade.16.requisitos</t>
        </is>
      </c>
      <c r="B8136" s="194">
        <f>IF(ISBLANK('CONFIGURAÇÃO'!$J$2738),"",'CONFIGURAÇÃO'!$J$2738&amp;"")</f>
        <v/>
      </c>
      <c r="C8136" s="194">
        <f>"'CONFIGURAÇÃO'!J2738"</f>
        <v/>
      </c>
      <c r="D8136" s="194" t="inlineStr">
        <is>
          <t>configuração</t>
        </is>
      </c>
    </row>
    <row r="8137">
      <c r="A8137" s="194" t="inlineStr">
        <is>
          <t>custom.talento_entidade.16.efeito</t>
        </is>
      </c>
      <c r="B8137" s="194">
        <f>IF(ISBLANK('CONFIGURAÇÃO'!$J$2743),"",'CONFIGURAÇÃO'!$J$2743&amp;"")</f>
        <v/>
      </c>
      <c r="C8137" s="194">
        <f>"'CONFIGURAÇÃO'!J2743"</f>
        <v/>
      </c>
      <c r="D8137" s="194" t="inlineStr">
        <is>
          <t>configuração</t>
        </is>
      </c>
    </row>
    <row r="8138">
      <c r="A8138" s="194" t="inlineStr">
        <is>
          <t>custom.talento_entidade.17.nome</t>
        </is>
      </c>
      <c r="B8138" s="194">
        <f>IF(ISBLANK('CONFIGURAÇÃO'!$B$2756),"",'CONFIGURAÇÃO'!$B$2756&amp;"")</f>
        <v/>
      </c>
      <c r="C8138" s="194">
        <f>"'CONFIGURAÇÃO'!B2756"</f>
        <v/>
      </c>
      <c r="D8138" s="194" t="inlineStr">
        <is>
          <t>configuração</t>
        </is>
      </c>
    </row>
    <row r="8139">
      <c r="A8139" s="194" t="inlineStr">
        <is>
          <t>custom.talento_entidade.17.mestre_viu</t>
        </is>
      </c>
      <c r="B8139" s="194">
        <f>N('CONFIGURAÇÃO'!$F$2756)&amp;""</f>
        <v/>
      </c>
      <c r="C8139" s="194">
        <f>"'CONFIGURAÇÃO'!F2756"</f>
        <v/>
      </c>
      <c r="D8139" s="194" t="inlineStr">
        <is>
          <t>configuração</t>
        </is>
      </c>
    </row>
    <row r="8140">
      <c r="A8140" s="194" t="inlineStr">
        <is>
          <t>custom.talento_entidade.17.base</t>
        </is>
      </c>
      <c r="B8140" s="194">
        <f>IF(ISBLANK('CONFIGURAÇÃO'!$E$2758),"",'CONFIGURAÇÃO'!$E$2758&amp;"")</f>
        <v/>
      </c>
      <c r="C8140" s="194">
        <f>"'CONFIGURAÇÃO'!E2758"</f>
        <v/>
      </c>
      <c r="D8140" s="194" t="inlineStr">
        <is>
          <t>configuração</t>
        </is>
      </c>
    </row>
    <row r="8141">
      <c r="A8141" s="194" t="inlineStr">
        <is>
          <t>custom.talento_entidade.17.categoria</t>
        </is>
      </c>
      <c r="B8141" s="194">
        <f>IF(ISBLANK('CONFIGURAÇÃO'!$E$2759),"",'CONFIGURAÇÃO'!$E$2759&amp;"")</f>
        <v/>
      </c>
      <c r="C8141" s="194">
        <f>"'CONFIGURAÇÃO'!E2759"</f>
        <v/>
      </c>
      <c r="D8141" s="194" t="inlineStr">
        <is>
          <t>configuração</t>
        </is>
      </c>
    </row>
    <row r="8142">
      <c r="A8142" s="194" t="inlineStr">
        <is>
          <t>custom.talento_entidade.17.requisitos</t>
        </is>
      </c>
      <c r="B8142" s="194">
        <f>IF(ISBLANK('CONFIGURAÇÃO'!$B$2766),"",'CONFIGURAÇÃO'!$B$2766&amp;"")</f>
        <v/>
      </c>
      <c r="C8142" s="194">
        <f>"'CONFIGURAÇÃO'!B2766"</f>
        <v/>
      </c>
      <c r="D8142" s="194" t="inlineStr">
        <is>
          <t>configuração</t>
        </is>
      </c>
    </row>
    <row r="8143">
      <c r="A8143" s="194" t="inlineStr">
        <is>
          <t>custom.talento_entidade.17.efeito</t>
        </is>
      </c>
      <c r="B8143" s="194">
        <f>IF(ISBLANK('CONFIGURAÇÃO'!$B$2771),"",'CONFIGURAÇÃO'!$B$2771&amp;"")</f>
        <v/>
      </c>
      <c r="C8143" s="194">
        <f>"'CONFIGURAÇÃO'!B2771"</f>
        <v/>
      </c>
      <c r="D8143" s="194" t="inlineStr">
        <is>
          <t>configuração</t>
        </is>
      </c>
    </row>
    <row r="8144">
      <c r="A8144" s="194" t="inlineStr">
        <is>
          <t>custom.talento_entidade.18.nome</t>
        </is>
      </c>
      <c r="B8144" s="194">
        <f>IF(ISBLANK('CONFIGURAÇÃO'!$J$2756),"",'CONFIGURAÇÃO'!$J$2756&amp;"")</f>
        <v/>
      </c>
      <c r="C8144" s="194">
        <f>"'CONFIGURAÇÃO'!J2756"</f>
        <v/>
      </c>
      <c r="D8144" s="194" t="inlineStr">
        <is>
          <t>configuração</t>
        </is>
      </c>
    </row>
    <row r="8145">
      <c r="A8145" s="194" t="inlineStr">
        <is>
          <t>custom.talento_entidade.18.mestre_viu</t>
        </is>
      </c>
      <c r="B8145" s="194">
        <f>N('CONFIGURAÇÃO'!$N$2756)&amp;""</f>
        <v/>
      </c>
      <c r="C8145" s="194">
        <f>"'CONFIGURAÇÃO'!N2756"</f>
        <v/>
      </c>
      <c r="D8145" s="194" t="inlineStr">
        <is>
          <t>configuração</t>
        </is>
      </c>
    </row>
    <row r="8146">
      <c r="A8146" s="194" t="inlineStr">
        <is>
          <t>custom.talento_entidade.18.base</t>
        </is>
      </c>
      <c r="B8146" s="194">
        <f>IF(ISBLANK('CONFIGURAÇÃO'!$M$2758),"",'CONFIGURAÇÃO'!$M$2758&amp;"")</f>
        <v/>
      </c>
      <c r="C8146" s="194">
        <f>"'CONFIGURAÇÃO'!M2758"</f>
        <v/>
      </c>
      <c r="D8146" s="194" t="inlineStr">
        <is>
          <t>configuração</t>
        </is>
      </c>
    </row>
    <row r="8147">
      <c r="A8147" s="194" t="inlineStr">
        <is>
          <t>custom.talento_entidade.18.categoria</t>
        </is>
      </c>
      <c r="B8147" s="194">
        <f>IF(ISBLANK('CONFIGURAÇÃO'!$M$2759),"",'CONFIGURAÇÃO'!$M$2759&amp;"")</f>
        <v/>
      </c>
      <c r="C8147" s="194">
        <f>"'CONFIGURAÇÃO'!M2759"</f>
        <v/>
      </c>
      <c r="D8147" s="194" t="inlineStr">
        <is>
          <t>configuração</t>
        </is>
      </c>
    </row>
    <row r="8148">
      <c r="A8148" s="194" t="inlineStr">
        <is>
          <t>custom.talento_entidade.18.requisitos</t>
        </is>
      </c>
      <c r="B8148" s="194">
        <f>IF(ISBLANK('CONFIGURAÇÃO'!$J$2766),"",'CONFIGURAÇÃO'!$J$2766&amp;"")</f>
        <v/>
      </c>
      <c r="C8148" s="194">
        <f>"'CONFIGURAÇÃO'!J2766"</f>
        <v/>
      </c>
      <c r="D8148" s="194" t="inlineStr">
        <is>
          <t>configuração</t>
        </is>
      </c>
    </row>
    <row r="8149">
      <c r="A8149" s="194" t="inlineStr">
        <is>
          <t>custom.talento_entidade.18.efeito</t>
        </is>
      </c>
      <c r="B8149" s="194">
        <f>IF(ISBLANK('CONFIGURAÇÃO'!$J$2771),"",'CONFIGURAÇÃO'!$J$2771&amp;"")</f>
        <v/>
      </c>
      <c r="C8149" s="194">
        <f>"'CONFIGURAÇÃO'!J2771"</f>
        <v/>
      </c>
      <c r="D8149" s="194" t="inlineStr">
        <is>
          <t>configuração</t>
        </is>
      </c>
    </row>
    <row r="8150">
      <c r="A8150" s="194" t="inlineStr">
        <is>
          <t>custom.talento_entidade.19.nome</t>
        </is>
      </c>
      <c r="B8150" s="194">
        <f>IF(ISBLANK('CONFIGURAÇÃO'!$B$2784),"",'CONFIGURAÇÃO'!$B$2784&amp;"")</f>
        <v/>
      </c>
      <c r="C8150" s="194">
        <f>"'CONFIGURAÇÃO'!B2784"</f>
        <v/>
      </c>
      <c r="D8150" s="194" t="inlineStr">
        <is>
          <t>configuração</t>
        </is>
      </c>
    </row>
    <row r="8151">
      <c r="A8151" s="194" t="inlineStr">
        <is>
          <t>custom.talento_entidade.19.mestre_viu</t>
        </is>
      </c>
      <c r="B8151" s="194">
        <f>N('CONFIGURAÇÃO'!$F$2784)&amp;""</f>
        <v/>
      </c>
      <c r="C8151" s="194">
        <f>"'CONFIGURAÇÃO'!F2784"</f>
        <v/>
      </c>
      <c r="D8151" s="194" t="inlineStr">
        <is>
          <t>configuração</t>
        </is>
      </c>
    </row>
    <row r="8152">
      <c r="A8152" s="194" t="inlineStr">
        <is>
          <t>custom.talento_entidade.19.base</t>
        </is>
      </c>
      <c r="B8152" s="194">
        <f>IF(ISBLANK('CONFIGURAÇÃO'!$E$2786),"",'CONFIGURAÇÃO'!$E$2786&amp;"")</f>
        <v/>
      </c>
      <c r="C8152" s="194">
        <f>"'CONFIGURAÇÃO'!E2786"</f>
        <v/>
      </c>
      <c r="D8152" s="194" t="inlineStr">
        <is>
          <t>configuração</t>
        </is>
      </c>
    </row>
    <row r="8153">
      <c r="A8153" s="194" t="inlineStr">
        <is>
          <t>custom.talento_entidade.19.categoria</t>
        </is>
      </c>
      <c r="B8153" s="194">
        <f>IF(ISBLANK('CONFIGURAÇÃO'!$E$2787),"",'CONFIGURAÇÃO'!$E$2787&amp;"")</f>
        <v/>
      </c>
      <c r="C8153" s="194">
        <f>"'CONFIGURAÇÃO'!E2787"</f>
        <v/>
      </c>
      <c r="D8153" s="194" t="inlineStr">
        <is>
          <t>configuração</t>
        </is>
      </c>
    </row>
    <row r="8154">
      <c r="A8154" s="194" t="inlineStr">
        <is>
          <t>custom.talento_entidade.19.requisitos</t>
        </is>
      </c>
      <c r="B8154" s="194">
        <f>IF(ISBLANK('CONFIGURAÇÃO'!$B$2794),"",'CONFIGURAÇÃO'!$B$2794&amp;"")</f>
        <v/>
      </c>
      <c r="C8154" s="194">
        <f>"'CONFIGURAÇÃO'!B2794"</f>
        <v/>
      </c>
      <c r="D8154" s="194" t="inlineStr">
        <is>
          <t>configuração</t>
        </is>
      </c>
    </row>
    <row r="8155">
      <c r="A8155" s="194" t="inlineStr">
        <is>
          <t>custom.talento_entidade.19.efeito</t>
        </is>
      </c>
      <c r="B8155" s="194">
        <f>IF(ISBLANK('CONFIGURAÇÃO'!$B$2799),"",'CONFIGURAÇÃO'!$B$2799&amp;"")</f>
        <v/>
      </c>
      <c r="C8155" s="194">
        <f>"'CONFIGURAÇÃO'!B2799"</f>
        <v/>
      </c>
      <c r="D8155" s="194" t="inlineStr">
        <is>
          <t>configuração</t>
        </is>
      </c>
    </row>
    <row r="8156">
      <c r="A8156" s="194" t="inlineStr">
        <is>
          <t>custom.talento_entidade.20.nome</t>
        </is>
      </c>
      <c r="B8156" s="194">
        <f>IF(ISBLANK('CONFIGURAÇÃO'!$J$2784),"",'CONFIGURAÇÃO'!$J$2784&amp;"")</f>
        <v/>
      </c>
      <c r="C8156" s="194">
        <f>"'CONFIGURAÇÃO'!J2784"</f>
        <v/>
      </c>
      <c r="D8156" s="194" t="inlineStr">
        <is>
          <t>configuração</t>
        </is>
      </c>
    </row>
    <row r="8157">
      <c r="A8157" s="194" t="inlineStr">
        <is>
          <t>custom.talento_entidade.20.mestre_viu</t>
        </is>
      </c>
      <c r="B8157" s="194">
        <f>N('CONFIGURAÇÃO'!$N$2784)&amp;""</f>
        <v/>
      </c>
      <c r="C8157" s="194">
        <f>"'CONFIGURAÇÃO'!N2784"</f>
        <v/>
      </c>
      <c r="D8157" s="194" t="inlineStr">
        <is>
          <t>configuração</t>
        </is>
      </c>
    </row>
    <row r="8158">
      <c r="A8158" s="194" t="inlineStr">
        <is>
          <t>custom.talento_entidade.20.base</t>
        </is>
      </c>
      <c r="B8158" s="194">
        <f>IF(ISBLANK('CONFIGURAÇÃO'!$M$2786),"",'CONFIGURAÇÃO'!$M$2786&amp;"")</f>
        <v/>
      </c>
      <c r="C8158" s="194">
        <f>"'CONFIGURAÇÃO'!M2786"</f>
        <v/>
      </c>
      <c r="D8158" s="194" t="inlineStr">
        <is>
          <t>configuração</t>
        </is>
      </c>
    </row>
    <row r="8159">
      <c r="A8159" s="194" t="inlineStr">
        <is>
          <t>custom.talento_entidade.20.categoria</t>
        </is>
      </c>
      <c r="B8159" s="194">
        <f>IF(ISBLANK('CONFIGURAÇÃO'!$M$2787),"",'CONFIGURAÇÃO'!$M$2787&amp;"")</f>
        <v/>
      </c>
      <c r="C8159" s="194">
        <f>"'CONFIGURAÇÃO'!M2787"</f>
        <v/>
      </c>
      <c r="D8159" s="194" t="inlineStr">
        <is>
          <t>configuração</t>
        </is>
      </c>
    </row>
    <row r="8160">
      <c r="A8160" s="194" t="inlineStr">
        <is>
          <t>custom.talento_entidade.20.requisitos</t>
        </is>
      </c>
      <c r="B8160" s="194">
        <f>IF(ISBLANK('CONFIGURAÇÃO'!$J$2794),"",'CONFIGURAÇÃO'!$J$2794&amp;"")</f>
        <v/>
      </c>
      <c r="C8160" s="194">
        <f>"'CONFIGURAÇÃO'!J2794"</f>
        <v/>
      </c>
      <c r="D8160" s="194" t="inlineStr">
        <is>
          <t>configuração</t>
        </is>
      </c>
    </row>
    <row r="8161">
      <c r="A8161" s="194" t="inlineStr">
        <is>
          <t>custom.talento_entidade.20.efeito</t>
        </is>
      </c>
      <c r="B8161" s="194">
        <f>IF(ISBLANK('CONFIGURAÇÃO'!$J$2799),"",'CONFIGURAÇÃO'!$J$2799&amp;"")</f>
        <v/>
      </c>
      <c r="C8161" s="194">
        <f>"'CONFIGURAÇÃO'!J2799"</f>
        <v/>
      </c>
      <c r="D8161" s="194" t="inlineStr">
        <is>
          <t>configuração</t>
        </is>
      </c>
    </row>
    <row r="8162">
      <c r="A8162" s="194" t="inlineStr">
        <is>
          <t>aviso.custom.tipo_entidade.1</t>
        </is>
      </c>
      <c r="B8162" s="194">
        <f>'DADOS_ENTIDADES'!$K$2&amp;""</f>
        <v/>
      </c>
      <c r="C8162" s="194">
        <f>"'DADOS_ENTIDADES'!K2"</f>
        <v/>
      </c>
      <c r="D8162" s="194" t="inlineStr">
        <is>
          <t>aviso</t>
        </is>
      </c>
    </row>
    <row r="8163">
      <c r="A8163" s="194" t="inlineStr">
        <is>
          <t>aviso.custom.tipo_entidade.2</t>
        </is>
      </c>
      <c r="B8163" s="194">
        <f>'DADOS_ENTIDADES'!$K$3&amp;""</f>
        <v/>
      </c>
      <c r="C8163" s="194">
        <f>"'DADOS_ENTIDADES'!K3"</f>
        <v/>
      </c>
      <c r="D8163" s="194" t="inlineStr">
        <is>
          <t>aviso</t>
        </is>
      </c>
    </row>
    <row r="8164">
      <c r="A8164" s="194" t="inlineStr">
        <is>
          <t>aviso.custom.tipo_entidade.3</t>
        </is>
      </c>
      <c r="B8164" s="194">
        <f>'DADOS_ENTIDADES'!$K$4&amp;""</f>
        <v/>
      </c>
      <c r="C8164" s="194">
        <f>"'DADOS_ENTIDADES'!K4"</f>
        <v/>
      </c>
      <c r="D8164" s="194" t="inlineStr">
        <is>
          <t>aviso</t>
        </is>
      </c>
    </row>
    <row r="8165">
      <c r="A8165" s="194" t="inlineStr">
        <is>
          <t>aviso.custom.tipo_entidade.4</t>
        </is>
      </c>
      <c r="B8165" s="194">
        <f>'DADOS_ENTIDADES'!$K$5&amp;""</f>
        <v/>
      </c>
      <c r="C8165" s="194">
        <f>"'DADOS_ENTIDADES'!K5"</f>
        <v/>
      </c>
      <c r="D8165" s="194" t="inlineStr">
        <is>
          <t>aviso</t>
        </is>
      </c>
    </row>
    <row r="8166">
      <c r="A8166" s="194" t="inlineStr">
        <is>
          <t>aviso.custom.tipo_entidade.5</t>
        </is>
      </c>
      <c r="B8166" s="194">
        <f>'DADOS_ENTIDADES'!$K$6&amp;""</f>
        <v/>
      </c>
      <c r="C8166" s="194">
        <f>"'DADOS_ENTIDADES'!K6"</f>
        <v/>
      </c>
      <c r="D8166" s="194" t="inlineStr">
        <is>
          <t>aviso</t>
        </is>
      </c>
    </row>
    <row r="8167">
      <c r="A8167" s="194" t="inlineStr">
        <is>
          <t>aviso.custom.tipo_entidade.6</t>
        </is>
      </c>
      <c r="B8167" s="194">
        <f>'DADOS_ENTIDADES'!$K$7&amp;""</f>
        <v/>
      </c>
      <c r="C8167" s="194">
        <f>"'DADOS_ENTIDADES'!K7"</f>
        <v/>
      </c>
      <c r="D8167" s="194" t="inlineStr">
        <is>
          <t>aviso</t>
        </is>
      </c>
    </row>
    <row r="8168">
      <c r="A8168" s="194" t="inlineStr">
        <is>
          <t>aviso.custom.tipo_entidade.7</t>
        </is>
      </c>
      <c r="B8168" s="194">
        <f>'DADOS_ENTIDADES'!$K$8&amp;""</f>
        <v/>
      </c>
      <c r="C8168" s="194">
        <f>"'DADOS_ENTIDADES'!K8"</f>
        <v/>
      </c>
      <c r="D8168" s="194" t="inlineStr">
        <is>
          <t>aviso</t>
        </is>
      </c>
    </row>
    <row r="8169">
      <c r="A8169" s="194" t="inlineStr">
        <is>
          <t>aviso.custom.tipo_entidade.8</t>
        </is>
      </c>
      <c r="B8169" s="194">
        <f>'DADOS_ENTIDADES'!$K$9&amp;""</f>
        <v/>
      </c>
      <c r="C8169" s="194">
        <f>"'DADOS_ENTIDADES'!K9"</f>
        <v/>
      </c>
      <c r="D8169" s="194" t="inlineStr">
        <is>
          <t>aviso</t>
        </is>
      </c>
    </row>
    <row r="8170">
      <c r="A8170" s="194" t="inlineStr">
        <is>
          <t>aviso.custom.tipo_entidade.9</t>
        </is>
      </c>
      <c r="B8170" s="194">
        <f>'DADOS_ENTIDADES'!$K$10&amp;""</f>
        <v/>
      </c>
      <c r="C8170" s="194">
        <f>"'DADOS_ENTIDADES'!K10"</f>
        <v/>
      </c>
      <c r="D8170" s="194" t="inlineStr">
        <is>
          <t>aviso</t>
        </is>
      </c>
    </row>
    <row r="8171">
      <c r="A8171" s="194" t="inlineStr">
        <is>
          <t>aviso.custom.tipo_entidade.10</t>
        </is>
      </c>
      <c r="B8171" s="194">
        <f>'DADOS_ENTIDADES'!$K$11&amp;""</f>
        <v/>
      </c>
      <c r="C8171" s="194">
        <f>"'DADOS_ENTIDADES'!K11"</f>
        <v/>
      </c>
      <c r="D8171" s="194" t="inlineStr">
        <is>
          <t>aviso</t>
        </is>
      </c>
    </row>
    <row r="8172">
      <c r="A8172" s="194" t="inlineStr">
        <is>
          <t>aviso.custom.talento_entidade.1</t>
        </is>
      </c>
      <c r="B8172" s="194">
        <f>'DADOS_ENTIDADES'!$AG$2&amp;""</f>
        <v/>
      </c>
      <c r="C8172" s="194">
        <f>"'DADOS_ENTIDADES'!AG2"</f>
        <v/>
      </c>
      <c r="D8172" s="194" t="inlineStr">
        <is>
          <t>aviso</t>
        </is>
      </c>
    </row>
    <row r="8173">
      <c r="A8173" s="194" t="inlineStr">
        <is>
          <t>aviso.custom.talento_entidade.2</t>
        </is>
      </c>
      <c r="B8173" s="194">
        <f>'DADOS_ENTIDADES'!$AG$3&amp;""</f>
        <v/>
      </c>
      <c r="C8173" s="194">
        <f>"'DADOS_ENTIDADES'!AG3"</f>
        <v/>
      </c>
      <c r="D8173" s="194" t="inlineStr">
        <is>
          <t>aviso</t>
        </is>
      </c>
    </row>
    <row r="8174">
      <c r="A8174" s="194" t="inlineStr">
        <is>
          <t>aviso.custom.talento_entidade.3</t>
        </is>
      </c>
      <c r="B8174" s="194">
        <f>'DADOS_ENTIDADES'!$AG$4&amp;""</f>
        <v/>
      </c>
      <c r="C8174" s="194">
        <f>"'DADOS_ENTIDADES'!AG4"</f>
        <v/>
      </c>
      <c r="D8174" s="194" t="inlineStr">
        <is>
          <t>aviso</t>
        </is>
      </c>
    </row>
    <row r="8175">
      <c r="A8175" s="194" t="inlineStr">
        <is>
          <t>aviso.custom.talento_entidade.4</t>
        </is>
      </c>
      <c r="B8175" s="194">
        <f>'DADOS_ENTIDADES'!$AG$5&amp;""</f>
        <v/>
      </c>
      <c r="C8175" s="194">
        <f>"'DADOS_ENTIDADES'!AG5"</f>
        <v/>
      </c>
      <c r="D8175" s="194" t="inlineStr">
        <is>
          <t>aviso</t>
        </is>
      </c>
    </row>
    <row r="8176">
      <c r="A8176" s="194" t="inlineStr">
        <is>
          <t>aviso.custom.talento_entidade.5</t>
        </is>
      </c>
      <c r="B8176" s="194">
        <f>'DADOS_ENTIDADES'!$AG$6&amp;""</f>
        <v/>
      </c>
      <c r="C8176" s="194">
        <f>"'DADOS_ENTIDADES'!AG6"</f>
        <v/>
      </c>
      <c r="D8176" s="194" t="inlineStr">
        <is>
          <t>aviso</t>
        </is>
      </c>
    </row>
    <row r="8177">
      <c r="A8177" s="194" t="inlineStr">
        <is>
          <t>aviso.custom.talento_entidade.6</t>
        </is>
      </c>
      <c r="B8177" s="194">
        <f>'DADOS_ENTIDADES'!$AG$7&amp;""</f>
        <v/>
      </c>
      <c r="C8177" s="194">
        <f>"'DADOS_ENTIDADES'!AG7"</f>
        <v/>
      </c>
      <c r="D8177" s="194" t="inlineStr">
        <is>
          <t>aviso</t>
        </is>
      </c>
    </row>
    <row r="8178">
      <c r="A8178" s="194" t="inlineStr">
        <is>
          <t>aviso.custom.talento_entidade.7</t>
        </is>
      </c>
      <c r="B8178" s="194">
        <f>'DADOS_ENTIDADES'!$AG$8&amp;""</f>
        <v/>
      </c>
      <c r="C8178" s="194">
        <f>"'DADOS_ENTIDADES'!AG8"</f>
        <v/>
      </c>
      <c r="D8178" s="194" t="inlineStr">
        <is>
          <t>aviso</t>
        </is>
      </c>
    </row>
    <row r="8179">
      <c r="A8179" s="194" t="inlineStr">
        <is>
          <t>aviso.custom.talento_entidade.8</t>
        </is>
      </c>
      <c r="B8179" s="194">
        <f>'DADOS_ENTIDADES'!$AG$9&amp;""</f>
        <v/>
      </c>
      <c r="C8179" s="194">
        <f>"'DADOS_ENTIDADES'!AG9"</f>
        <v/>
      </c>
      <c r="D8179" s="194" t="inlineStr">
        <is>
          <t>aviso</t>
        </is>
      </c>
    </row>
    <row r="8180">
      <c r="A8180" s="194" t="inlineStr">
        <is>
          <t>aviso.custom.talento_entidade.9</t>
        </is>
      </c>
      <c r="B8180" s="194">
        <f>'DADOS_ENTIDADES'!$AG$10&amp;""</f>
        <v/>
      </c>
      <c r="C8180" s="194">
        <f>"'DADOS_ENTIDADES'!AG10"</f>
        <v/>
      </c>
      <c r="D8180" s="194" t="inlineStr">
        <is>
          <t>aviso</t>
        </is>
      </c>
    </row>
    <row r="8181">
      <c r="A8181" s="194" t="inlineStr">
        <is>
          <t>aviso.custom.talento_entidade.10</t>
        </is>
      </c>
      <c r="B8181" s="194">
        <f>'DADOS_ENTIDADES'!$AG$11&amp;""</f>
        <v/>
      </c>
      <c r="C8181" s="194">
        <f>"'DADOS_ENTIDADES'!AG11"</f>
        <v/>
      </c>
      <c r="D8181" s="194" t="inlineStr">
        <is>
          <t>aviso</t>
        </is>
      </c>
    </row>
    <row r="8182">
      <c r="A8182" s="194" t="inlineStr">
        <is>
          <t>aviso.custom.talento_entidade.11</t>
        </is>
      </c>
      <c r="B8182" s="194">
        <f>'DADOS_ENTIDADES'!$AG$12&amp;""</f>
        <v/>
      </c>
      <c r="C8182" s="194">
        <f>"'DADOS_ENTIDADES'!AG12"</f>
        <v/>
      </c>
      <c r="D8182" s="194" t="inlineStr">
        <is>
          <t>aviso</t>
        </is>
      </c>
    </row>
    <row r="8183">
      <c r="A8183" s="194" t="inlineStr">
        <is>
          <t>aviso.custom.talento_entidade.12</t>
        </is>
      </c>
      <c r="B8183" s="194">
        <f>'DADOS_ENTIDADES'!$AG$13&amp;""</f>
        <v/>
      </c>
      <c r="C8183" s="194">
        <f>"'DADOS_ENTIDADES'!AG13"</f>
        <v/>
      </c>
      <c r="D8183" s="194" t="inlineStr">
        <is>
          <t>aviso</t>
        </is>
      </c>
    </row>
    <row r="8184">
      <c r="A8184" s="194" t="inlineStr">
        <is>
          <t>aviso.custom.talento_entidade.13</t>
        </is>
      </c>
      <c r="B8184" s="194">
        <f>'DADOS_ENTIDADES'!$AG$14&amp;""</f>
        <v/>
      </c>
      <c r="C8184" s="194">
        <f>"'DADOS_ENTIDADES'!AG14"</f>
        <v/>
      </c>
      <c r="D8184" s="194" t="inlineStr">
        <is>
          <t>aviso</t>
        </is>
      </c>
    </row>
    <row r="8185">
      <c r="A8185" s="194" t="inlineStr">
        <is>
          <t>aviso.custom.talento_entidade.14</t>
        </is>
      </c>
      <c r="B8185" s="194">
        <f>'DADOS_ENTIDADES'!$AG$15&amp;""</f>
        <v/>
      </c>
      <c r="C8185" s="194">
        <f>"'DADOS_ENTIDADES'!AG15"</f>
        <v/>
      </c>
      <c r="D8185" s="194" t="inlineStr">
        <is>
          <t>aviso</t>
        </is>
      </c>
    </row>
    <row r="8186">
      <c r="A8186" s="194" t="inlineStr">
        <is>
          <t>aviso.custom.talento_entidade.15</t>
        </is>
      </c>
      <c r="B8186" s="194">
        <f>'DADOS_ENTIDADES'!$AG$16&amp;""</f>
        <v/>
      </c>
      <c r="C8186" s="194">
        <f>"'DADOS_ENTIDADES'!AG16"</f>
        <v/>
      </c>
      <c r="D8186" s="194" t="inlineStr">
        <is>
          <t>aviso</t>
        </is>
      </c>
    </row>
    <row r="8187">
      <c r="A8187" s="194" t="inlineStr">
        <is>
          <t>aviso.custom.talento_entidade.16</t>
        </is>
      </c>
      <c r="B8187" s="194">
        <f>'DADOS_ENTIDADES'!$AG$17&amp;""</f>
        <v/>
      </c>
      <c r="C8187" s="194">
        <f>"'DADOS_ENTIDADES'!AG17"</f>
        <v/>
      </c>
      <c r="D8187" s="194" t="inlineStr">
        <is>
          <t>aviso</t>
        </is>
      </c>
    </row>
    <row r="8188">
      <c r="A8188" s="194" t="inlineStr">
        <is>
          <t>aviso.custom.talento_entidade.17</t>
        </is>
      </c>
      <c r="B8188" s="194">
        <f>'DADOS_ENTIDADES'!$AG$18&amp;""</f>
        <v/>
      </c>
      <c r="C8188" s="194">
        <f>"'DADOS_ENTIDADES'!AG18"</f>
        <v/>
      </c>
      <c r="D8188" s="194" t="inlineStr">
        <is>
          <t>aviso</t>
        </is>
      </c>
    </row>
    <row r="8189">
      <c r="A8189" s="194" t="inlineStr">
        <is>
          <t>aviso.custom.talento_entidade.18</t>
        </is>
      </c>
      <c r="B8189" s="194">
        <f>'DADOS_ENTIDADES'!$AG$19&amp;""</f>
        <v/>
      </c>
      <c r="C8189" s="194">
        <f>"'DADOS_ENTIDADES'!AG19"</f>
        <v/>
      </c>
      <c r="D8189" s="194" t="inlineStr">
        <is>
          <t>aviso</t>
        </is>
      </c>
    </row>
    <row r="8190">
      <c r="A8190" s="194" t="inlineStr">
        <is>
          <t>aviso.custom.talento_entidade.19</t>
        </is>
      </c>
      <c r="B8190" s="194">
        <f>'DADOS_ENTIDADES'!$AG$20&amp;""</f>
        <v/>
      </c>
      <c r="C8190" s="194">
        <f>"'DADOS_ENTIDADES'!AG20"</f>
        <v/>
      </c>
      <c r="D8190" s="194" t="inlineStr">
        <is>
          <t>aviso</t>
        </is>
      </c>
    </row>
    <row r="8191">
      <c r="A8191" s="194" t="inlineStr">
        <is>
          <t>aviso.custom.talento_entidade.20</t>
        </is>
      </c>
      <c r="B8191" s="194">
        <f>'DADOS_ENTIDADES'!$AG$21&amp;""</f>
        <v/>
      </c>
      <c r="C8191" s="194">
        <f>"'DADOS_ENTIDADES'!AG21"</f>
        <v/>
      </c>
      <c r="D8191"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2026-10-16T23:08:42Z</dcterms:created>
  <dcterms:modified xmlns:dcterms="http://purl.org/dc/terms/" xmlns:xsi="http://www.w3.org/2001/XMLSchema-instance" xsi:type="dcterms:W3CDTF">2026-10-16T23:09:13Z</dcterms:modified>
</cp:coreProperties>
</file>