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ate1904="1" defaultThemeVersion="166925"/>
  <mc:AlternateContent xmlns:mc="http://schemas.openxmlformats.org/markup-compatibility/2006">
    <mc:Choice Requires="x15">
      <x15ac:absPath xmlns:x15ac="http://schemas.microsoft.com/office/spreadsheetml/2010/11/ac" url="C:\KOWARE\IAPD\Economic Accounts\Oxford House\"/>
    </mc:Choice>
  </mc:AlternateContent>
  <xr:revisionPtr revIDLastSave="0" documentId="13_ncr:1_{EF378A71-B001-46E2-9632-D3F865667279}" xr6:coauthVersionLast="47" xr6:coauthVersionMax="47" xr10:uidLastSave="{00000000-0000-0000-0000-000000000000}"/>
  <bookViews>
    <workbookView xWindow="-120" yWindow="-120" windowWidth="29040" windowHeight="15720" tabRatio="500" xr2:uid="{00000000-000D-0000-FFFF-FFFF00000000}"/>
  </bookViews>
  <sheets>
    <sheet name="2024" sheetId="1" r:id="rId1"/>
    <sheet name="Sheet3" sheetId="3" r:id="rId2"/>
  </sheets>
  <definedNames>
    <definedName name="_xlnm.Print_Area" localSheetId="0">'2024'!$A$1:$N$24</definedName>
    <definedName name="RE_IN" comment="Reintegration">'2024'!$K$4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 l="1"/>
  <c r="B6" i="1"/>
  <c r="I17" i="1"/>
  <c r="I9" i="1"/>
  <c r="B21" i="1"/>
  <c r="J12" i="1"/>
  <c r="J13" i="1"/>
  <c r="J14" i="1"/>
  <c r="J15" i="1"/>
  <c r="J16" i="1"/>
  <c r="J17" i="1"/>
  <c r="J10" i="1"/>
  <c r="J9" i="1"/>
  <c r="J8" i="1"/>
  <c r="J7" i="1"/>
  <c r="J6" i="1"/>
  <c r="J20" i="1"/>
  <c r="J19" i="1"/>
  <c r="J18" i="1"/>
  <c r="J11" i="1"/>
  <c r="B12" i="1"/>
  <c r="B14" i="1"/>
  <c r="G11" i="1"/>
  <c r="I19" i="1"/>
  <c r="I20" i="1"/>
  <c r="I18" i="1"/>
  <c r="I16" i="1"/>
  <c r="I14" i="1"/>
  <c r="I15" i="1"/>
  <c r="I13" i="1"/>
  <c r="I12" i="1"/>
  <c r="I11" i="1"/>
  <c r="I10" i="1"/>
  <c r="I8" i="1"/>
  <c r="I7" i="1"/>
  <c r="I6" i="1"/>
  <c r="G12" i="1"/>
  <c r="R5" i="1"/>
  <c r="F12" i="1"/>
  <c r="M12" i="1"/>
  <c r="P12" i="1"/>
  <c r="Q12" i="1"/>
  <c r="R12" i="1"/>
  <c r="S12" i="1"/>
  <c r="U12" i="1"/>
  <c r="G13" i="1"/>
  <c r="F13" i="1"/>
  <c r="M13" i="1"/>
  <c r="P13" i="1"/>
  <c r="Q13" i="1"/>
  <c r="R13" i="1"/>
  <c r="S13" i="1"/>
  <c r="U13" i="1"/>
  <c r="G14" i="1"/>
  <c r="F14" i="1"/>
  <c r="M14" i="1"/>
  <c r="P14" i="1"/>
  <c r="Q14" i="1"/>
  <c r="R14" i="1"/>
  <c r="S14" i="1"/>
  <c r="U14" i="1"/>
  <c r="G15" i="1"/>
  <c r="F15" i="1"/>
  <c r="M15" i="1"/>
  <c r="P15" i="1"/>
  <c r="Q15" i="1"/>
  <c r="R15" i="1"/>
  <c r="S15" i="1"/>
  <c r="U15" i="1"/>
  <c r="G16" i="1"/>
  <c r="F16" i="1"/>
  <c r="M16" i="1"/>
  <c r="P16" i="1"/>
  <c r="Q16" i="1"/>
  <c r="R16" i="1"/>
  <c r="S16" i="1"/>
  <c r="U16" i="1"/>
  <c r="G17" i="1"/>
  <c r="F17" i="1"/>
  <c r="M17" i="1"/>
  <c r="P17" i="1"/>
  <c r="Q17" i="1"/>
  <c r="R17" i="1"/>
  <c r="S17" i="1"/>
  <c r="U17" i="1"/>
  <c r="T12" i="1"/>
  <c r="T13" i="1"/>
  <c r="T14" i="1"/>
  <c r="T15" i="1"/>
  <c r="T16" i="1"/>
  <c r="T17" i="1"/>
  <c r="G10" i="1"/>
  <c r="G9" i="1"/>
  <c r="G8" i="1"/>
  <c r="G7" i="1"/>
  <c r="G6" i="1"/>
  <c r="G20" i="1"/>
  <c r="G19" i="1"/>
  <c r="G18" i="1"/>
  <c r="O16" i="1"/>
  <c r="O17" i="1"/>
  <c r="F11" i="1"/>
  <c r="M11" i="1"/>
  <c r="P11" i="1"/>
  <c r="Q11" i="1"/>
  <c r="R11" i="1"/>
  <c r="S11" i="1"/>
  <c r="U11" i="1"/>
  <c r="T11" i="1"/>
  <c r="O12" i="1"/>
  <c r="O13" i="1"/>
  <c r="O14" i="1"/>
  <c r="O15" i="1"/>
  <c r="O11" i="1"/>
  <c r="F7" i="1"/>
  <c r="M7" i="1"/>
  <c r="N7" i="1"/>
  <c r="N11" i="1"/>
  <c r="N12" i="1"/>
  <c r="F19" i="1"/>
  <c r="M19" i="1"/>
  <c r="N19" i="1"/>
  <c r="N14" i="1"/>
  <c r="F20" i="1"/>
  <c r="M20" i="1"/>
  <c r="N20" i="1"/>
  <c r="N17" i="1"/>
  <c r="F9" i="1"/>
  <c r="M9" i="1"/>
  <c r="N9" i="1"/>
  <c r="F18" i="1"/>
  <c r="M18" i="1"/>
  <c r="N18" i="1"/>
  <c r="F10" i="1"/>
  <c r="M10" i="1"/>
  <c r="N10" i="1"/>
  <c r="N16" i="1"/>
  <c r="F8" i="1"/>
  <c r="M8" i="1"/>
  <c r="N8" i="1"/>
  <c r="N15" i="1"/>
  <c r="F6" i="1"/>
  <c r="M6" i="1"/>
  <c r="N6" i="1"/>
  <c r="N13" i="1"/>
</calcChain>
</file>

<file path=xl/sharedStrings.xml><?xml version="1.0" encoding="utf-8"?>
<sst xmlns="http://schemas.openxmlformats.org/spreadsheetml/2006/main" count="40" uniqueCount="36">
  <si>
    <t>Category</t>
  </si>
  <si>
    <t>Amount</t>
  </si>
  <si>
    <t>Cost per Resident</t>
  </si>
  <si>
    <t>Cable</t>
  </si>
  <si>
    <t>Electricity</t>
  </si>
  <si>
    <t>Telephone</t>
  </si>
  <si>
    <t>Loan</t>
  </si>
  <si>
    <t>Contribution</t>
  </si>
  <si>
    <t>Water</t>
  </si>
  <si>
    <t>TOTAL</t>
  </si>
  <si>
    <t xml:space="preserve"> </t>
  </si>
  <si>
    <t>Reserve</t>
  </si>
  <si>
    <t>Per Week</t>
  </si>
  <si>
    <t>Oxford House Viability Calculator</t>
  </si>
  <si>
    <t>NEW HOUSE</t>
  </si>
  <si>
    <t>Heat/Cooling</t>
  </si>
  <si>
    <t>FIXED TOTAL</t>
  </si>
  <si>
    <t>VARIABLE TOTAL</t>
  </si>
  <si>
    <t>#</t>
  </si>
  <si>
    <t>HOUSE COSTS</t>
  </si>
  <si>
    <t>VARIABLES</t>
  </si>
  <si>
    <t>RENT</t>
  </si>
  <si>
    <t>Waste Management</t>
  </si>
  <si>
    <t>↑</t>
  </si>
  <si>
    <t>House Supplies</t>
  </si>
  <si>
    <t>Rent per Month</t>
  </si>
  <si>
    <t>KOWARE</t>
  </si>
  <si>
    <t>HARD RENT</t>
  </si>
  <si>
    <t>KOWARE %</t>
  </si>
  <si>
    <t>NEW HOUSE %</t>
  </si>
  <si>
    <t>+126%</t>
  </si>
  <si>
    <t>Inflation Rate</t>
  </si>
  <si>
    <t>RES</t>
  </si>
  <si>
    <t>Down Payment</t>
  </si>
  <si>
    <t>Next Payment</t>
  </si>
  <si>
    <t>RE-IN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</si>
</sst>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quot;$&quot;* #,##0.00_);_(&quot;$&quot;* \(#,##0.00\);_(&quot;$&quot;* &quot;-&quot;??_);_(@_)"/>
    <numFmt numFmtId="165" formatCode="_(&quot;$&quot;* #,##0_);_(&quot;$&quot;* \(#,##0\);_(&quot;$&quot;* &quot;-&quot;??_);_(@_)"/>
  </numFmts>
  <fonts count="17" x14ac:knownFonts="1">
    <font>
      <sz val="10"/>
      <name val="Verdana"/>
    </font>
    <font>
      <sz val="10"/>
      <name val="Verdana"/>
    </font>
    <font>
      <sz val="14"/>
      <name val="Verdana"/>
    </font>
    <font>
      <b/>
      <sz val="14"/>
      <name val="Verdana"/>
    </font>
    <font>
      <i/>
      <sz val="14"/>
      <name val="Verdana"/>
    </font>
    <font>
      <b/>
      <sz val="12"/>
      <name val="Times"/>
    </font>
    <font>
      <b/>
      <i/>
      <sz val="11"/>
      <name val="Verdana"/>
      <family val="2"/>
    </font>
    <font>
      <i/>
      <sz val="14"/>
      <name val="Verdana"/>
      <family val="2"/>
    </font>
    <font>
      <b/>
      <i/>
      <sz val="14"/>
      <name val="Verdana"/>
      <family val="2"/>
    </font>
    <font>
      <sz val="14"/>
      <name val="Verdana"/>
      <family val="2"/>
    </font>
    <font>
      <b/>
      <sz val="14"/>
      <name val="Verdana"/>
      <family val="2"/>
    </font>
    <font>
      <sz val="12"/>
      <name val="Verdana"/>
      <family val="2"/>
    </font>
    <font>
      <b/>
      <sz val="10"/>
      <name val="Verdana"/>
      <family val="2"/>
    </font>
    <font>
      <b/>
      <sz val="12"/>
      <name val="Verdana"/>
      <family val="2"/>
    </font>
    <font>
      <sz val="14"/>
      <name val="Calibri"/>
      <family val="2"/>
    </font>
    <font>
      <b/>
      <sz val="18"/>
      <name val="Verdana"/>
      <family val="2"/>
    </font>
    <font>
      <b/>
      <sz val="16"/>
      <name val="Verdana"/>
      <family val="2"/>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s>
  <borders count="12">
    <border>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bottom style="thin">
        <color indexed="64"/>
      </bottom>
      <diagonal/>
    </border>
    <border>
      <left/>
      <right/>
      <top style="medium">
        <color indexed="64"/>
      </top>
      <bottom style="thin">
        <color indexed="64"/>
      </bottom>
      <diagonal/>
    </border>
  </borders>
  <cellStyleXfs count="2">
    <xf numFmtId="0" fontId="0" fillId="0" borderId="0"/>
    <xf numFmtId="164" fontId="1" fillId="0" borderId="0" applyFont="0" applyFill="0" applyBorder="0" applyAlignment="0" applyProtection="0"/>
  </cellStyleXfs>
  <cellXfs count="71">
    <xf numFmtId="0" fontId="0" fillId="0" borderId="0" xfId="0"/>
    <xf numFmtId="0" fontId="3" fillId="0" borderId="1" xfId="0" applyFont="1" applyBorder="1" applyAlignment="1">
      <alignment horizontal="left"/>
    </xf>
    <xf numFmtId="0" fontId="4" fillId="0" borderId="2" xfId="0" applyFont="1" applyBorder="1" applyAlignment="1">
      <alignment horizontal="center"/>
    </xf>
    <xf numFmtId="0" fontId="2" fillId="0" borderId="0" xfId="0" applyFont="1"/>
    <xf numFmtId="0" fontId="2" fillId="0" borderId="3" xfId="0" applyFont="1" applyBorder="1" applyAlignment="1">
      <alignment horizontal="left"/>
    </xf>
    <xf numFmtId="164" fontId="2" fillId="0" borderId="0" xfId="1" applyFont="1" applyFill="1" applyBorder="1" applyAlignment="1"/>
    <xf numFmtId="165" fontId="2" fillId="0" borderId="0" xfId="0" applyNumberFormat="1" applyFont="1"/>
    <xf numFmtId="164" fontId="2" fillId="0" borderId="2" xfId="0" applyNumberFormat="1" applyFont="1" applyBorder="1"/>
    <xf numFmtId="0" fontId="2" fillId="0" borderId="2" xfId="0" applyFont="1" applyBorder="1"/>
    <xf numFmtId="0" fontId="3" fillId="0" borderId="8" xfId="0" applyFont="1" applyBorder="1" applyAlignment="1">
      <alignment horizontal="center"/>
    </xf>
    <xf numFmtId="0" fontId="3" fillId="2" borderId="8" xfId="0" applyFont="1" applyFill="1" applyBorder="1" applyAlignment="1">
      <alignment horizontal="center"/>
    </xf>
    <xf numFmtId="9" fontId="2" fillId="0" borderId="0" xfId="0" applyNumberFormat="1" applyFont="1"/>
    <xf numFmtId="165" fontId="2" fillId="2" borderId="0" xfId="0" applyNumberFormat="1" applyFont="1" applyFill="1"/>
    <xf numFmtId="43" fontId="0" fillId="0" borderId="0" xfId="0" applyNumberFormat="1"/>
    <xf numFmtId="0" fontId="3" fillId="0" borderId="6" xfId="0" applyFont="1" applyBorder="1" applyAlignment="1">
      <alignment horizontal="center"/>
    </xf>
    <xf numFmtId="0" fontId="0" fillId="0" borderId="0" xfId="0" applyAlignment="1">
      <alignment horizontal="center"/>
    </xf>
    <xf numFmtId="0" fontId="2" fillId="0" borderId="9" xfId="0" applyFont="1" applyBorder="1" applyAlignment="1">
      <alignment horizontal="center"/>
    </xf>
    <xf numFmtId="0" fontId="4" fillId="0" borderId="0" xfId="0" applyFont="1" applyAlignment="1">
      <alignment horizontal="center"/>
    </xf>
    <xf numFmtId="0" fontId="7" fillId="0" borderId="0" xfId="0" applyFont="1" applyAlignment="1">
      <alignment horizontal="center"/>
    </xf>
    <xf numFmtId="0" fontId="8" fillId="0" borderId="0" xfId="0" applyFont="1" applyAlignment="1">
      <alignment horizontal="center"/>
    </xf>
    <xf numFmtId="0" fontId="9" fillId="0" borderId="3" xfId="0" applyFont="1" applyBorder="1" applyAlignment="1">
      <alignment horizontal="left"/>
    </xf>
    <xf numFmtId="164" fontId="10" fillId="0" borderId="0" xfId="1" applyFont="1" applyFill="1" applyBorder="1" applyAlignment="1"/>
    <xf numFmtId="0" fontId="3" fillId="2" borderId="6" xfId="0" applyFont="1" applyFill="1" applyBorder="1" applyAlignment="1">
      <alignment horizontal="center"/>
    </xf>
    <xf numFmtId="0" fontId="12" fillId="0" borderId="3" xfId="0" applyFont="1" applyBorder="1" applyAlignment="1">
      <alignment horizontal="left" vertical="center" wrapText="1"/>
    </xf>
    <xf numFmtId="0" fontId="12" fillId="0" borderId="0" xfId="0" applyFont="1" applyAlignment="1">
      <alignment horizontal="left"/>
    </xf>
    <xf numFmtId="165" fontId="2" fillId="0" borderId="10" xfId="0" applyNumberFormat="1" applyFont="1" applyBorder="1"/>
    <xf numFmtId="0" fontId="7" fillId="0" borderId="2" xfId="0" applyFont="1" applyBorder="1" applyAlignment="1">
      <alignment horizontal="center" wrapText="1"/>
    </xf>
    <xf numFmtId="0" fontId="4" fillId="0" borderId="0" xfId="0" applyFont="1" applyAlignment="1">
      <alignment horizontal="center" vertical="center"/>
    </xf>
    <xf numFmtId="0" fontId="6" fillId="0" borderId="4" xfId="0" applyFont="1" applyBorder="1" applyAlignment="1">
      <alignment horizontal="center" vertical="center"/>
    </xf>
    <xf numFmtId="0" fontId="6" fillId="0" borderId="0" xfId="0" applyFont="1" applyAlignment="1">
      <alignment horizontal="center" vertical="center"/>
    </xf>
    <xf numFmtId="0" fontId="6" fillId="0" borderId="0" xfId="0" applyFont="1" applyAlignment="1">
      <alignment horizontal="center" vertical="center" wrapText="1"/>
    </xf>
    <xf numFmtId="0" fontId="7" fillId="0" borderId="4" xfId="0" applyFont="1" applyBorder="1" applyAlignment="1">
      <alignment horizontal="center" wrapText="1"/>
    </xf>
    <xf numFmtId="165" fontId="2" fillId="3" borderId="0" xfId="0" applyNumberFormat="1" applyFont="1" applyFill="1"/>
    <xf numFmtId="0" fontId="3" fillId="3" borderId="6" xfId="0" applyFont="1" applyFill="1" applyBorder="1" applyAlignment="1">
      <alignment horizontal="center"/>
    </xf>
    <xf numFmtId="0" fontId="3" fillId="4" borderId="6" xfId="0" applyFont="1" applyFill="1" applyBorder="1" applyAlignment="1">
      <alignment horizontal="center"/>
    </xf>
    <xf numFmtId="165" fontId="2" fillId="4" borderId="0" xfId="0" applyNumberFormat="1" applyFont="1" applyFill="1"/>
    <xf numFmtId="0" fontId="3" fillId="5" borderId="8" xfId="0" applyFont="1" applyFill="1" applyBorder="1" applyAlignment="1">
      <alignment horizontal="center"/>
    </xf>
    <xf numFmtId="165" fontId="2" fillId="5" borderId="0" xfId="0" applyNumberFormat="1" applyFont="1" applyFill="1"/>
    <xf numFmtId="165" fontId="9" fillId="2" borderId="0" xfId="0" applyNumberFormat="1" applyFont="1" applyFill="1"/>
    <xf numFmtId="165" fontId="9" fillId="3" borderId="0" xfId="0" applyNumberFormat="1" applyFont="1" applyFill="1"/>
    <xf numFmtId="165" fontId="9" fillId="0" borderId="0" xfId="0" applyNumberFormat="1" applyFont="1"/>
    <xf numFmtId="165" fontId="9" fillId="4" borderId="0" xfId="0" applyNumberFormat="1" applyFont="1" applyFill="1"/>
    <xf numFmtId="165" fontId="9" fillId="5" borderId="0" xfId="0" applyNumberFormat="1" applyFont="1" applyFill="1"/>
    <xf numFmtId="9" fontId="11" fillId="0" borderId="5" xfId="0" quotePrefix="1" applyNumberFormat="1" applyFont="1" applyBorder="1" applyAlignment="1">
      <alignment horizontal="center" vertical="center"/>
    </xf>
    <xf numFmtId="0" fontId="14" fillId="0" borderId="7" xfId="0" applyFont="1" applyBorder="1" applyAlignment="1">
      <alignment horizontal="center"/>
    </xf>
    <xf numFmtId="14" fontId="16" fillId="0" borderId="0" xfId="0" applyNumberFormat="1" applyFont="1" applyAlignment="1">
      <alignment horizontal="center" vertical="center" wrapText="1"/>
    </xf>
    <xf numFmtId="43" fontId="4" fillId="0" borderId="0" xfId="0" applyNumberFormat="1" applyFont="1" applyAlignment="1">
      <alignment horizontal="center" vertical="center"/>
    </xf>
    <xf numFmtId="10" fontId="0" fillId="0" borderId="0" xfId="0" applyNumberFormat="1"/>
    <xf numFmtId="0" fontId="3" fillId="0" borderId="0" xfId="0" applyFont="1" applyBorder="1" applyAlignment="1">
      <alignment horizontal="center"/>
    </xf>
    <xf numFmtId="0" fontId="2" fillId="0" borderId="2" xfId="0" applyFont="1" applyBorder="1" applyAlignment="1">
      <alignment horizontal="center"/>
    </xf>
    <xf numFmtId="0" fontId="8" fillId="0" borderId="0" xfId="0" applyFont="1" applyBorder="1" applyAlignment="1">
      <alignment horizontal="center"/>
    </xf>
    <xf numFmtId="10" fontId="2" fillId="2" borderId="0" xfId="0" applyNumberFormat="1" applyFont="1" applyFill="1"/>
    <xf numFmtId="10" fontId="2" fillId="0" borderId="0" xfId="0" applyNumberFormat="1" applyFont="1"/>
    <xf numFmtId="10" fontId="2" fillId="4" borderId="0" xfId="0" applyNumberFormat="1" applyFont="1" applyFill="1"/>
    <xf numFmtId="10" fontId="2" fillId="5" borderId="0" xfId="0" applyNumberFormat="1" applyFont="1" applyFill="1"/>
    <xf numFmtId="10" fontId="2" fillId="3" borderId="0" xfId="0" applyNumberFormat="1" applyFont="1" applyFill="1"/>
    <xf numFmtId="164" fontId="0" fillId="0" borderId="0" xfId="0" applyNumberFormat="1" applyAlignment="1">
      <alignment horizontal="center"/>
    </xf>
    <xf numFmtId="43" fontId="0" fillId="0" borderId="0" xfId="0" applyNumberFormat="1" applyAlignment="1">
      <alignment horizontal="center"/>
    </xf>
    <xf numFmtId="164" fontId="2" fillId="2" borderId="0" xfId="0" applyNumberFormat="1" applyFont="1" applyFill="1"/>
    <xf numFmtId="164" fontId="2" fillId="0" borderId="0" xfId="0" applyNumberFormat="1" applyFont="1"/>
    <xf numFmtId="164" fontId="2" fillId="4" borderId="0" xfId="0" applyNumberFormat="1" applyFont="1" applyFill="1"/>
    <xf numFmtId="164" fontId="2" fillId="5" borderId="0" xfId="0" applyNumberFormat="1" applyFont="1" applyFill="1"/>
    <xf numFmtId="10" fontId="2" fillId="6" borderId="0" xfId="0" applyNumberFormat="1" applyFont="1" applyFill="1"/>
    <xf numFmtId="10" fontId="9" fillId="0" borderId="0" xfId="0" quotePrefix="1" applyNumberFormat="1" applyFont="1" applyAlignment="1">
      <alignment horizontal="center"/>
    </xf>
    <xf numFmtId="10" fontId="4" fillId="0" borderId="0" xfId="0" applyNumberFormat="1" applyFont="1" applyAlignment="1">
      <alignment vertical="center"/>
    </xf>
    <xf numFmtId="0" fontId="5" fillId="0" borderId="4" xfId="0" applyFont="1" applyBorder="1" applyAlignment="1">
      <alignment horizontal="center"/>
    </xf>
    <xf numFmtId="0" fontId="5" fillId="0" borderId="0" xfId="0" applyFont="1" applyAlignment="1">
      <alignment horizontal="center"/>
    </xf>
    <xf numFmtId="0" fontId="13" fillId="0" borderId="0" xfId="0" applyFont="1" applyAlignment="1">
      <alignment horizontal="center"/>
    </xf>
    <xf numFmtId="0" fontId="8" fillId="0" borderId="4" xfId="0" applyFont="1" applyBorder="1" applyAlignment="1">
      <alignment horizontal="center"/>
    </xf>
    <xf numFmtId="0" fontId="15" fillId="0" borderId="11" xfId="0" applyFont="1" applyBorder="1" applyAlignment="1">
      <alignment horizontal="center"/>
    </xf>
    <xf numFmtId="0" fontId="4" fillId="0" borderId="2" xfId="0" applyFont="1" applyBorder="1" applyAlignment="1">
      <alignment horizontal="center"/>
    </xf>
  </cellXfs>
  <cellStyles count="2">
    <cellStyle name="Currency" xfId="1" builtinId="4"/>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7"/>
  <sheetViews>
    <sheetView tabSelected="1" zoomScale="90" zoomScaleNormal="90" workbookViewId="0"/>
  </sheetViews>
  <sheetFormatPr defaultRowHeight="12.75" x14ac:dyDescent="0.2"/>
  <cols>
    <col min="1" max="1" width="25.5" customWidth="1"/>
    <col min="2" max="2" width="20.375" customWidth="1"/>
    <col min="3" max="3" width="3.375" customWidth="1"/>
    <col min="4" max="4" width="5.625" style="15" customWidth="1"/>
    <col min="5" max="5" width="13.25" style="15" customWidth="1"/>
    <col min="6" max="7" width="15.25" customWidth="1"/>
    <col min="8" max="8" width="16.125" customWidth="1"/>
    <col min="9" max="9" width="15.25" customWidth="1"/>
    <col min="10" max="11" width="14.5" customWidth="1"/>
    <col min="12" max="12" width="3" customWidth="1"/>
    <col min="13" max="14" width="13" customWidth="1"/>
    <col min="15" max="17" width="11" customWidth="1"/>
    <col min="18" max="18" width="16" customWidth="1"/>
    <col min="19" max="19" width="16.625" customWidth="1"/>
    <col min="20" max="258" width="11" customWidth="1"/>
  </cols>
  <sheetData>
    <row r="1" spans="1:21" ht="22.5" x14ac:dyDescent="0.3">
      <c r="A1" s="45">
        <v>43882</v>
      </c>
      <c r="B1" s="69" t="s">
        <v>13</v>
      </c>
      <c r="C1" s="69"/>
      <c r="D1" s="69"/>
      <c r="E1" s="69"/>
      <c r="F1" s="69"/>
      <c r="G1" s="69"/>
      <c r="H1" s="69"/>
      <c r="I1" s="69"/>
      <c r="J1" s="69"/>
      <c r="K1" s="69"/>
      <c r="L1" s="69"/>
      <c r="M1" s="69"/>
      <c r="N1" s="69"/>
    </row>
    <row r="2" spans="1:21" ht="18" x14ac:dyDescent="0.25">
      <c r="A2" s="1" t="s">
        <v>0</v>
      </c>
      <c r="B2" s="2" t="s">
        <v>1</v>
      </c>
      <c r="C2" s="2"/>
      <c r="D2" s="26" t="s">
        <v>18</v>
      </c>
      <c r="E2" s="26"/>
      <c r="F2" s="70" t="s">
        <v>2</v>
      </c>
      <c r="G2" s="70"/>
      <c r="H2" s="70"/>
      <c r="I2" s="70"/>
      <c r="J2" s="70"/>
      <c r="K2" s="70"/>
      <c r="L2" s="70"/>
      <c r="M2" s="70"/>
      <c r="N2" s="70"/>
    </row>
    <row r="3" spans="1:21" ht="18" x14ac:dyDescent="0.25">
      <c r="A3" s="20" t="s">
        <v>33</v>
      </c>
      <c r="B3" s="46">
        <v>51600</v>
      </c>
      <c r="C3" s="17"/>
      <c r="D3" s="31"/>
      <c r="E3" s="31"/>
      <c r="F3" s="68" t="s">
        <v>21</v>
      </c>
      <c r="G3" s="68"/>
      <c r="H3" s="50"/>
      <c r="I3" s="19"/>
      <c r="J3" s="17"/>
      <c r="K3" s="17"/>
      <c r="L3" s="17"/>
      <c r="M3" s="17"/>
      <c r="N3" s="18"/>
    </row>
    <row r="4" spans="1:21" ht="18" x14ac:dyDescent="0.25">
      <c r="A4" s="20" t="s">
        <v>31</v>
      </c>
      <c r="B4" s="64">
        <v>0.26</v>
      </c>
      <c r="C4" s="27"/>
      <c r="D4" s="28" t="s">
        <v>32</v>
      </c>
      <c r="E4" s="28" t="s">
        <v>28</v>
      </c>
      <c r="F4" s="28" t="s">
        <v>26</v>
      </c>
      <c r="G4" s="29" t="s">
        <v>19</v>
      </c>
      <c r="H4" s="29" t="s">
        <v>29</v>
      </c>
      <c r="I4" s="29" t="s">
        <v>14</v>
      </c>
      <c r="J4" s="29" t="s">
        <v>20</v>
      </c>
      <c r="K4" s="29" t="s">
        <v>35</v>
      </c>
      <c r="L4" s="29"/>
      <c r="M4" s="30" t="s">
        <v>9</v>
      </c>
      <c r="N4" s="29" t="s">
        <v>12</v>
      </c>
      <c r="O4" t="s">
        <v>27</v>
      </c>
    </row>
    <row r="5" spans="1:21" ht="18.75" x14ac:dyDescent="0.3">
      <c r="A5" s="20" t="s">
        <v>34</v>
      </c>
      <c r="B5" s="46">
        <f>B3*(1+B4)</f>
        <v>65016</v>
      </c>
      <c r="C5" s="3"/>
      <c r="D5" s="44" t="s">
        <v>23</v>
      </c>
      <c r="E5" s="44"/>
      <c r="F5" s="43" t="s">
        <v>30</v>
      </c>
      <c r="G5" s="11"/>
      <c r="H5" s="44"/>
      <c r="I5" s="63" t="s">
        <v>30</v>
      </c>
      <c r="J5" s="11"/>
      <c r="K5" s="11"/>
      <c r="L5" s="11"/>
      <c r="M5" s="11"/>
      <c r="N5" s="3"/>
      <c r="R5" s="13">
        <f>B6*24</f>
        <v>65016</v>
      </c>
    </row>
    <row r="6" spans="1:21" ht="18" x14ac:dyDescent="0.25">
      <c r="A6" s="4" t="s">
        <v>25</v>
      </c>
      <c r="B6" s="21">
        <f>B5/24</f>
        <v>2709</v>
      </c>
      <c r="C6" s="21"/>
      <c r="D6" s="22">
        <v>1</v>
      </c>
      <c r="E6" s="51">
        <v>0.1</v>
      </c>
      <c r="F6" s="12">
        <f>($B$6/D6)*(1+$E$6)</f>
        <v>2979.9</v>
      </c>
      <c r="G6" s="12">
        <f t="shared" ref="G6:G20" si="0">$B$14/D6</f>
        <v>475.90000000000003</v>
      </c>
      <c r="H6" s="51">
        <v>0.26</v>
      </c>
      <c r="I6" s="58">
        <f>($B$6*$H$6)/D6</f>
        <v>704.34</v>
      </c>
      <c r="J6" s="12">
        <f t="shared" ref="J6:J20" si="1">$B$21</f>
        <v>133.5</v>
      </c>
      <c r="K6" s="12">
        <v>160</v>
      </c>
      <c r="L6" s="6"/>
      <c r="M6" s="38">
        <f t="shared" ref="M6:M20" si="2">SUM(F6:K6)</f>
        <v>4453.9000000000005</v>
      </c>
      <c r="N6" s="39">
        <f t="shared" ref="N6:N20" si="3">M6*12/52</f>
        <v>1027.823076923077</v>
      </c>
      <c r="O6" s="13"/>
      <c r="P6" s="13"/>
      <c r="Q6" s="13"/>
    </row>
    <row r="7" spans="1:21" ht="18" x14ac:dyDescent="0.25">
      <c r="A7" s="67" t="s">
        <v>19</v>
      </c>
      <c r="B7" s="67"/>
      <c r="C7" s="5"/>
      <c r="D7" s="14">
        <v>2</v>
      </c>
      <c r="E7" s="52">
        <v>0.15</v>
      </c>
      <c r="F7" s="6">
        <f>($B$6/D7)*(1+$E$7)</f>
        <v>1557.675</v>
      </c>
      <c r="G7" s="6">
        <f t="shared" si="0"/>
        <v>237.95000000000002</v>
      </c>
      <c r="H7" s="52">
        <v>0.27</v>
      </c>
      <c r="I7" s="59">
        <f>($B$6*$H$7)/D7</f>
        <v>365.71500000000003</v>
      </c>
      <c r="J7" s="6">
        <f t="shared" si="1"/>
        <v>133.5</v>
      </c>
      <c r="K7" s="6">
        <v>160</v>
      </c>
      <c r="L7" s="6"/>
      <c r="M7" s="40">
        <f t="shared" si="2"/>
        <v>2455.11</v>
      </c>
      <c r="N7" s="40">
        <f t="shared" si="3"/>
        <v>566.56384615384616</v>
      </c>
      <c r="O7" s="13"/>
      <c r="P7" s="13"/>
      <c r="Q7" s="13"/>
    </row>
    <row r="8" spans="1:21" ht="18" x14ac:dyDescent="0.25">
      <c r="A8" s="4" t="s">
        <v>3</v>
      </c>
      <c r="B8" s="5">
        <v>35</v>
      </c>
      <c r="C8" s="5"/>
      <c r="D8" s="22">
        <v>3</v>
      </c>
      <c r="E8" s="51">
        <v>0.15</v>
      </c>
      <c r="F8" s="12">
        <f>($B$6/D8)*(1+$E$8)</f>
        <v>1038.4499999999998</v>
      </c>
      <c r="G8" s="12">
        <f t="shared" si="0"/>
        <v>158.63333333333335</v>
      </c>
      <c r="H8" s="51">
        <v>0.28000000000000003</v>
      </c>
      <c r="I8" s="58">
        <f>($B$6*$H$8)/D8</f>
        <v>252.84000000000003</v>
      </c>
      <c r="J8" s="12">
        <f t="shared" si="1"/>
        <v>133.5</v>
      </c>
      <c r="K8" s="12">
        <v>160</v>
      </c>
      <c r="L8" s="6"/>
      <c r="M8" s="38">
        <f t="shared" si="2"/>
        <v>1743.7033333333334</v>
      </c>
      <c r="N8" s="39">
        <f t="shared" si="3"/>
        <v>402.39307692307699</v>
      </c>
      <c r="O8" s="13"/>
      <c r="P8" s="13"/>
      <c r="Q8" s="13"/>
    </row>
    <row r="9" spans="1:21" ht="18" x14ac:dyDescent="0.25">
      <c r="A9" s="4" t="s">
        <v>5</v>
      </c>
      <c r="B9" s="5">
        <v>0</v>
      </c>
      <c r="C9" s="5"/>
      <c r="D9" s="14">
        <v>4</v>
      </c>
      <c r="E9" s="62">
        <v>0.15</v>
      </c>
      <c r="F9" s="6">
        <f>($B$6/D9)*(1+$E$9)</f>
        <v>778.83749999999998</v>
      </c>
      <c r="G9" s="6">
        <f t="shared" si="0"/>
        <v>118.97500000000001</v>
      </c>
      <c r="H9" s="62">
        <v>0.28999999999999998</v>
      </c>
      <c r="I9" s="59">
        <f>($B$6*$H$9)/D9</f>
        <v>196.40249999999997</v>
      </c>
      <c r="J9" s="6">
        <f t="shared" si="1"/>
        <v>133.5</v>
      </c>
      <c r="K9" s="6">
        <v>160</v>
      </c>
      <c r="L9" s="6"/>
      <c r="M9" s="40">
        <f t="shared" si="2"/>
        <v>1388.0049999999999</v>
      </c>
      <c r="N9" s="40">
        <f t="shared" si="3"/>
        <v>320.3088461538461</v>
      </c>
      <c r="O9" s="13"/>
      <c r="P9" s="13"/>
      <c r="Q9" s="13"/>
    </row>
    <row r="10" spans="1:21" ht="18" x14ac:dyDescent="0.25">
      <c r="A10" s="4" t="s">
        <v>6</v>
      </c>
      <c r="B10" s="5">
        <v>0</v>
      </c>
      <c r="C10" s="5"/>
      <c r="D10" s="22">
        <v>5</v>
      </c>
      <c r="E10" s="51">
        <v>0.15</v>
      </c>
      <c r="F10" s="12">
        <f>($B$6/D10)*(1+$E$10)</f>
        <v>623.06999999999994</v>
      </c>
      <c r="G10" s="12">
        <f t="shared" si="0"/>
        <v>95.18</v>
      </c>
      <c r="H10" s="51">
        <v>0.3</v>
      </c>
      <c r="I10" s="58">
        <f>($B$6*$H$10)/D10</f>
        <v>162.54</v>
      </c>
      <c r="J10" s="12">
        <f t="shared" si="1"/>
        <v>133.5</v>
      </c>
      <c r="K10" s="12">
        <v>160</v>
      </c>
      <c r="L10" s="6"/>
      <c r="M10" s="38">
        <f t="shared" si="2"/>
        <v>1174.5899999999999</v>
      </c>
      <c r="N10" s="39">
        <f t="shared" si="3"/>
        <v>271.05923076923074</v>
      </c>
      <c r="O10" s="13"/>
      <c r="P10" s="13"/>
      <c r="Q10" s="13"/>
    </row>
    <row r="11" spans="1:21" ht="18" x14ac:dyDescent="0.25">
      <c r="A11" s="20" t="s">
        <v>24</v>
      </c>
      <c r="B11" s="5">
        <v>100</v>
      </c>
      <c r="C11" s="5"/>
      <c r="D11" s="34">
        <v>6</v>
      </c>
      <c r="E11" s="53">
        <v>0.15</v>
      </c>
      <c r="F11" s="35">
        <f>($B$6/D11)*(1+$E$11)</f>
        <v>519.22499999999991</v>
      </c>
      <c r="G11" s="35">
        <f>$B$14/D11</f>
        <v>79.316666666666677</v>
      </c>
      <c r="H11" s="53">
        <v>0.31</v>
      </c>
      <c r="I11" s="60">
        <f>($B$6*$H$11)/D11</f>
        <v>139.965</v>
      </c>
      <c r="J11" s="35">
        <f t="shared" si="1"/>
        <v>133.5</v>
      </c>
      <c r="K11" s="35">
        <v>160</v>
      </c>
      <c r="L11" s="6"/>
      <c r="M11" s="41">
        <f t="shared" si="2"/>
        <v>1032.3166666666666</v>
      </c>
      <c r="N11" s="41">
        <f t="shared" si="3"/>
        <v>238.22692307692307</v>
      </c>
      <c r="O11" s="13">
        <f t="shared" ref="O11:O17" si="4">($B$6/D11)</f>
        <v>451.5</v>
      </c>
      <c r="P11" s="13">
        <f t="shared" ref="P11:P17" si="5">M11-J11-G11</f>
        <v>819.49999999999989</v>
      </c>
      <c r="Q11" s="13">
        <f t="shared" ref="Q11:Q17" si="6">P11*D11</f>
        <v>4916.9999999999991</v>
      </c>
      <c r="R11" s="13">
        <f>Q11*24</f>
        <v>118007.99999999997</v>
      </c>
      <c r="S11" s="13">
        <f>R11-$R$5</f>
        <v>52991.999999999971</v>
      </c>
      <c r="T11" s="13">
        <f>S11/24</f>
        <v>2207.9999999999986</v>
      </c>
      <c r="U11" s="47">
        <f>S11/$R$5</f>
        <v>0.81506090808416343</v>
      </c>
    </row>
    <row r="12" spans="1:21" ht="18" x14ac:dyDescent="0.25">
      <c r="A12" s="4" t="s">
        <v>11</v>
      </c>
      <c r="B12" s="5">
        <f>B6*0.1</f>
        <v>270.90000000000003</v>
      </c>
      <c r="C12" s="5"/>
      <c r="D12" s="22">
        <v>7</v>
      </c>
      <c r="E12" s="51">
        <v>0.15</v>
      </c>
      <c r="F12" s="12">
        <f>($B$6/D12)*(1+$E$12)</f>
        <v>445.04999999999995</v>
      </c>
      <c r="G12" s="12">
        <f t="shared" si="0"/>
        <v>67.985714285714295</v>
      </c>
      <c r="H12" s="51">
        <v>0.32</v>
      </c>
      <c r="I12" s="58">
        <f>($B$6*$H$12)/D12</f>
        <v>123.84</v>
      </c>
      <c r="J12" s="12">
        <f t="shared" si="1"/>
        <v>133.5</v>
      </c>
      <c r="K12" s="12">
        <v>160</v>
      </c>
      <c r="L12" s="6"/>
      <c r="M12" s="38">
        <f t="shared" si="2"/>
        <v>930.6957142857143</v>
      </c>
      <c r="N12" s="39">
        <f t="shared" si="3"/>
        <v>214.77593406593405</v>
      </c>
      <c r="O12" s="13">
        <f t="shared" si="4"/>
        <v>387</v>
      </c>
      <c r="P12" s="13">
        <f t="shared" si="5"/>
        <v>729.21</v>
      </c>
      <c r="Q12" s="13">
        <f t="shared" si="6"/>
        <v>5104.47</v>
      </c>
      <c r="R12" s="13">
        <f t="shared" ref="R12:R17" si="7">Q12*24</f>
        <v>122507.28</v>
      </c>
      <c r="S12" s="13">
        <f t="shared" ref="S12:S17" si="8">R12-$R$5</f>
        <v>57491.28</v>
      </c>
      <c r="T12" s="13">
        <f t="shared" ref="T12:T17" si="9">S12/24</f>
        <v>2395.4699999999998</v>
      </c>
      <c r="U12" s="47">
        <f t="shared" ref="U12:U17" si="10">S12/$R$5</f>
        <v>0.88426356589147281</v>
      </c>
    </row>
    <row r="13" spans="1:21" ht="18" x14ac:dyDescent="0.25">
      <c r="A13" s="20" t="s">
        <v>22</v>
      </c>
      <c r="B13" s="5">
        <v>70</v>
      </c>
      <c r="C13" s="21"/>
      <c r="D13" s="9">
        <v>8</v>
      </c>
      <c r="E13" s="52">
        <v>0.15</v>
      </c>
      <c r="F13" s="6">
        <f>($B$6/D13)*(1+$E$13)</f>
        <v>389.41874999999999</v>
      </c>
      <c r="G13" s="6">
        <f t="shared" si="0"/>
        <v>59.487500000000004</v>
      </c>
      <c r="H13" s="52">
        <v>0.33</v>
      </c>
      <c r="I13" s="59">
        <f>($B$6*$H$13)/D13</f>
        <v>111.74625</v>
      </c>
      <c r="J13" s="6">
        <f t="shared" si="1"/>
        <v>133.5</v>
      </c>
      <c r="K13" s="6">
        <v>160</v>
      </c>
      <c r="L13" s="6"/>
      <c r="M13" s="40">
        <f t="shared" si="2"/>
        <v>854.48249999999996</v>
      </c>
      <c r="N13" s="40">
        <f t="shared" si="3"/>
        <v>197.18826923076921</v>
      </c>
      <c r="O13" s="13">
        <f t="shared" si="4"/>
        <v>338.625</v>
      </c>
      <c r="P13" s="13">
        <f t="shared" si="5"/>
        <v>661.495</v>
      </c>
      <c r="Q13" s="13">
        <f t="shared" si="6"/>
        <v>5291.96</v>
      </c>
      <c r="R13" s="13">
        <f t="shared" si="7"/>
        <v>127007.04000000001</v>
      </c>
      <c r="S13" s="13">
        <f t="shared" si="8"/>
        <v>61991.040000000008</v>
      </c>
      <c r="T13" s="13">
        <f t="shared" si="9"/>
        <v>2582.9600000000005</v>
      </c>
      <c r="U13" s="47">
        <f t="shared" si="10"/>
        <v>0.95347360649686241</v>
      </c>
    </row>
    <row r="14" spans="1:21" ht="18" x14ac:dyDescent="0.25">
      <c r="A14" s="23" t="s">
        <v>16</v>
      </c>
      <c r="B14" s="21">
        <f>SUM(B8:B13)</f>
        <v>475.90000000000003</v>
      </c>
      <c r="C14" s="21"/>
      <c r="D14" s="10">
        <v>9</v>
      </c>
      <c r="E14" s="51">
        <v>0.15</v>
      </c>
      <c r="F14" s="12">
        <f>($B$6/D14)*(1+$E$14)</f>
        <v>346.15</v>
      </c>
      <c r="G14" s="12">
        <f t="shared" si="0"/>
        <v>52.87777777777778</v>
      </c>
      <c r="H14" s="51">
        <v>0.34</v>
      </c>
      <c r="I14" s="58">
        <f>($B$6*$H$14)/D14</f>
        <v>102.34</v>
      </c>
      <c r="J14" s="12">
        <f t="shared" si="1"/>
        <v>133.5</v>
      </c>
      <c r="K14" s="12">
        <v>160</v>
      </c>
      <c r="L14" s="6"/>
      <c r="M14" s="38">
        <f t="shared" si="2"/>
        <v>795.20777777777778</v>
      </c>
      <c r="N14" s="39">
        <f t="shared" si="3"/>
        <v>183.50948717948719</v>
      </c>
      <c r="O14" s="13">
        <f t="shared" si="4"/>
        <v>301</v>
      </c>
      <c r="P14" s="13">
        <f t="shared" si="5"/>
        <v>608.83000000000004</v>
      </c>
      <c r="Q14" s="13">
        <f t="shared" si="6"/>
        <v>5479.47</v>
      </c>
      <c r="R14" s="13">
        <f t="shared" si="7"/>
        <v>131507.28</v>
      </c>
      <c r="S14" s="13">
        <f t="shared" si="8"/>
        <v>66491.28</v>
      </c>
      <c r="T14" s="13">
        <f t="shared" si="9"/>
        <v>2770.47</v>
      </c>
      <c r="U14" s="47">
        <f t="shared" si="10"/>
        <v>1.0226910299003322</v>
      </c>
    </row>
    <row r="15" spans="1:21" ht="18" x14ac:dyDescent="0.25">
      <c r="C15" s="5"/>
      <c r="D15" s="36">
        <v>10</v>
      </c>
      <c r="E15" s="54">
        <v>0.15</v>
      </c>
      <c r="F15" s="37">
        <f>($B$6/D15)*(1+$E$15)</f>
        <v>311.53499999999997</v>
      </c>
      <c r="G15" s="37">
        <f t="shared" si="0"/>
        <v>47.59</v>
      </c>
      <c r="H15" s="54">
        <v>0.35</v>
      </c>
      <c r="I15" s="61">
        <f>($B$6*$H$15)/D15</f>
        <v>94.814999999999998</v>
      </c>
      <c r="J15" s="37">
        <f t="shared" si="1"/>
        <v>133.5</v>
      </c>
      <c r="K15" s="37">
        <v>160</v>
      </c>
      <c r="L15" s="6"/>
      <c r="M15" s="42">
        <f t="shared" si="2"/>
        <v>747.79</v>
      </c>
      <c r="N15" s="42">
        <f t="shared" si="3"/>
        <v>172.56692307692308</v>
      </c>
      <c r="O15" s="13">
        <f t="shared" si="4"/>
        <v>270.89999999999998</v>
      </c>
      <c r="P15" s="13">
        <f t="shared" si="5"/>
        <v>566.69999999999993</v>
      </c>
      <c r="Q15" s="13">
        <f t="shared" si="6"/>
        <v>5666.9999999999991</v>
      </c>
      <c r="R15" s="13">
        <f t="shared" si="7"/>
        <v>136007.99999999997</v>
      </c>
      <c r="S15" s="13">
        <f t="shared" si="8"/>
        <v>70991.999999999971</v>
      </c>
      <c r="T15" s="13">
        <f t="shared" si="9"/>
        <v>2957.9999999999986</v>
      </c>
      <c r="U15" s="47">
        <f t="shared" si="10"/>
        <v>1.0919158361018821</v>
      </c>
    </row>
    <row r="16" spans="1:21" ht="18" x14ac:dyDescent="0.25">
      <c r="A16" s="67" t="s">
        <v>20</v>
      </c>
      <c r="B16" s="67"/>
      <c r="C16" s="5"/>
      <c r="D16" s="22">
        <v>11</v>
      </c>
      <c r="E16" s="51">
        <v>0.15</v>
      </c>
      <c r="F16" s="12">
        <f>($B$6/D16)*(1+$E$16)</f>
        <v>283.21363636363634</v>
      </c>
      <c r="G16" s="12">
        <f t="shared" si="0"/>
        <v>43.263636363636365</v>
      </c>
      <c r="H16" s="51">
        <v>0.36</v>
      </c>
      <c r="I16" s="58">
        <f>($B$6*$H$16)/D16</f>
        <v>88.658181818181816</v>
      </c>
      <c r="J16" s="12">
        <f t="shared" si="1"/>
        <v>133.5</v>
      </c>
      <c r="K16" s="12">
        <v>160</v>
      </c>
      <c r="L16" s="6"/>
      <c r="M16" s="38">
        <f t="shared" si="2"/>
        <v>708.99545454545455</v>
      </c>
      <c r="N16" s="39">
        <f t="shared" si="3"/>
        <v>163.61433566433564</v>
      </c>
      <c r="O16" s="13">
        <f t="shared" si="4"/>
        <v>246.27272727272728</v>
      </c>
      <c r="P16" s="13">
        <f t="shared" si="5"/>
        <v>532.2318181818182</v>
      </c>
      <c r="Q16" s="13">
        <f t="shared" si="6"/>
        <v>5854.55</v>
      </c>
      <c r="R16" s="13">
        <f t="shared" si="7"/>
        <v>140509.20000000001</v>
      </c>
      <c r="S16" s="13">
        <f t="shared" si="8"/>
        <v>75493.200000000012</v>
      </c>
      <c r="T16" s="13">
        <f t="shared" si="9"/>
        <v>3145.5500000000006</v>
      </c>
      <c r="U16" s="47">
        <f t="shared" si="10"/>
        <v>1.1611480251015136</v>
      </c>
    </row>
    <row r="17" spans="1:21" ht="18" x14ac:dyDescent="0.25">
      <c r="A17" s="4" t="s">
        <v>4</v>
      </c>
      <c r="B17" s="5">
        <v>70</v>
      </c>
      <c r="C17" s="5"/>
      <c r="D17" s="14">
        <v>12</v>
      </c>
      <c r="E17" s="52">
        <v>0.15</v>
      </c>
      <c r="F17" s="6">
        <f>($B$6/D17)*(1+$E$17)</f>
        <v>259.61249999999995</v>
      </c>
      <c r="G17" s="6">
        <f t="shared" si="0"/>
        <v>39.658333333333339</v>
      </c>
      <c r="H17" s="52">
        <v>0.37</v>
      </c>
      <c r="I17" s="59">
        <f>($B$6*$H$17)/D17</f>
        <v>83.527500000000003</v>
      </c>
      <c r="J17" s="6">
        <f t="shared" si="1"/>
        <v>133.5</v>
      </c>
      <c r="K17" s="6">
        <v>160</v>
      </c>
      <c r="L17" s="6"/>
      <c r="M17" s="40">
        <f t="shared" si="2"/>
        <v>676.66833333333329</v>
      </c>
      <c r="N17" s="40">
        <f t="shared" si="3"/>
        <v>156.15423076923076</v>
      </c>
      <c r="O17" s="13">
        <f t="shared" si="4"/>
        <v>225.75</v>
      </c>
      <c r="P17" s="13">
        <f t="shared" si="5"/>
        <v>503.50999999999993</v>
      </c>
      <c r="Q17" s="13">
        <f t="shared" si="6"/>
        <v>6042.119999999999</v>
      </c>
      <c r="R17" s="13">
        <f t="shared" si="7"/>
        <v>145010.87999999998</v>
      </c>
      <c r="S17" s="13">
        <f t="shared" si="8"/>
        <v>79994.879999999976</v>
      </c>
      <c r="T17" s="13">
        <f t="shared" si="9"/>
        <v>3333.119999999999</v>
      </c>
      <c r="U17" s="47">
        <f t="shared" si="10"/>
        <v>1.2303875968992244</v>
      </c>
    </row>
    <row r="18" spans="1:21" ht="18" x14ac:dyDescent="0.25">
      <c r="A18" s="20" t="s">
        <v>15</v>
      </c>
      <c r="B18" s="5">
        <v>0</v>
      </c>
      <c r="C18" s="5"/>
      <c r="D18" s="22">
        <v>13</v>
      </c>
      <c r="E18" s="51">
        <v>0.15</v>
      </c>
      <c r="F18" s="12">
        <f>($B$6/D18)*(1+$E$18)</f>
        <v>239.64230769230767</v>
      </c>
      <c r="G18" s="12">
        <f t="shared" si="0"/>
        <v>36.607692307692311</v>
      </c>
      <c r="H18" s="51">
        <v>0.38</v>
      </c>
      <c r="I18" s="58">
        <f>($B$6*$H$18)/D18</f>
        <v>79.186153846153857</v>
      </c>
      <c r="J18" s="12">
        <f t="shared" si="1"/>
        <v>133.5</v>
      </c>
      <c r="K18" s="12">
        <v>160</v>
      </c>
      <c r="L18" s="6"/>
      <c r="M18" s="38">
        <f t="shared" si="2"/>
        <v>649.31615384615384</v>
      </c>
      <c r="N18" s="39">
        <f t="shared" si="3"/>
        <v>149.84218934911243</v>
      </c>
      <c r="O18" s="13"/>
      <c r="P18" s="13"/>
      <c r="Q18" s="13"/>
    </row>
    <row r="19" spans="1:21" ht="18" x14ac:dyDescent="0.25">
      <c r="A19" s="4" t="s">
        <v>7</v>
      </c>
      <c r="B19" s="5">
        <v>50</v>
      </c>
      <c r="C19" s="21"/>
      <c r="D19" s="14">
        <v>14</v>
      </c>
      <c r="E19" s="52">
        <v>0.11</v>
      </c>
      <c r="F19" s="6">
        <f>($B$6/D19)*(1+$E$19)</f>
        <v>214.78500000000003</v>
      </c>
      <c r="G19" s="6">
        <f t="shared" si="0"/>
        <v>33.992857142857147</v>
      </c>
      <c r="H19" s="52">
        <v>0.39</v>
      </c>
      <c r="I19" s="59">
        <f>($B$6*$H$19)/D19</f>
        <v>75.465000000000003</v>
      </c>
      <c r="J19" s="6">
        <f t="shared" si="1"/>
        <v>133.5</v>
      </c>
      <c r="K19" s="6">
        <v>160</v>
      </c>
      <c r="L19" s="6"/>
      <c r="M19" s="40">
        <f t="shared" si="2"/>
        <v>618.13285714285712</v>
      </c>
      <c r="N19" s="40">
        <f t="shared" si="3"/>
        <v>142.64604395604394</v>
      </c>
      <c r="O19" s="13"/>
      <c r="P19" s="13"/>
      <c r="Q19" s="13"/>
    </row>
    <row r="20" spans="1:21" ht="18" x14ac:dyDescent="0.25">
      <c r="A20" s="4" t="s">
        <v>8</v>
      </c>
      <c r="B20" s="5">
        <v>13.5</v>
      </c>
      <c r="D20" s="33">
        <v>15</v>
      </c>
      <c r="E20" s="55">
        <v>0.1</v>
      </c>
      <c r="F20" s="12">
        <f>($B$6/D20)*(1+$E$20)</f>
        <v>198.66</v>
      </c>
      <c r="G20" s="32">
        <f t="shared" si="0"/>
        <v>31.72666666666667</v>
      </c>
      <c r="H20" s="55">
        <v>0.4</v>
      </c>
      <c r="I20" s="58">
        <f>($B$6*$H$20)/D20</f>
        <v>72.240000000000009</v>
      </c>
      <c r="J20" s="32">
        <f t="shared" si="1"/>
        <v>133.5</v>
      </c>
      <c r="K20" s="32">
        <v>160</v>
      </c>
      <c r="L20" s="6"/>
      <c r="M20" s="39">
        <f t="shared" si="2"/>
        <v>596.52666666666664</v>
      </c>
      <c r="N20" s="39">
        <f t="shared" si="3"/>
        <v>137.66</v>
      </c>
      <c r="O20" s="13"/>
      <c r="P20" s="13"/>
      <c r="Q20" s="13"/>
    </row>
    <row r="21" spans="1:21" ht="18" x14ac:dyDescent="0.25">
      <c r="A21" s="24" t="s">
        <v>17</v>
      </c>
      <c r="B21" s="21">
        <f>SUM(B17:B20)</f>
        <v>133.5</v>
      </c>
      <c r="D21" s="9"/>
      <c r="E21" s="48"/>
      <c r="F21" s="25"/>
      <c r="G21" s="6"/>
      <c r="H21" s="48"/>
      <c r="I21" s="6"/>
      <c r="J21" s="6"/>
      <c r="K21" s="6"/>
      <c r="L21" s="6"/>
      <c r="M21" s="6"/>
      <c r="N21" s="6"/>
      <c r="O21" s="13"/>
    </row>
    <row r="22" spans="1:21" ht="18" x14ac:dyDescent="0.25">
      <c r="A22" s="1"/>
      <c r="B22" s="7"/>
      <c r="C22" s="7"/>
      <c r="D22" s="16" t="s">
        <v>10</v>
      </c>
      <c r="E22" s="49"/>
      <c r="F22" s="7" t="s">
        <v>10</v>
      </c>
      <c r="G22" s="7"/>
      <c r="H22" s="7"/>
      <c r="I22" s="7"/>
      <c r="J22" s="7"/>
      <c r="K22" s="7"/>
      <c r="L22" s="7"/>
      <c r="M22" s="7"/>
      <c r="N22" s="8"/>
      <c r="O22" s="13"/>
    </row>
    <row r="23" spans="1:21" x14ac:dyDescent="0.2">
      <c r="A23" s="65"/>
      <c r="B23" s="65"/>
      <c r="C23" s="65"/>
      <c r="D23" s="65"/>
      <c r="E23" s="65"/>
      <c r="F23" s="65"/>
      <c r="G23" s="65"/>
      <c r="H23" s="65"/>
      <c r="I23" s="65"/>
      <c r="J23" s="65"/>
      <c r="K23" s="65"/>
      <c r="L23" s="65"/>
      <c r="M23" s="65"/>
      <c r="N23" s="65"/>
      <c r="O23" s="13"/>
    </row>
    <row r="24" spans="1:21" x14ac:dyDescent="0.2">
      <c r="A24" s="66"/>
      <c r="B24" s="66"/>
      <c r="C24" s="66"/>
      <c r="D24" s="66"/>
      <c r="E24" s="66"/>
      <c r="F24" s="66"/>
      <c r="G24" s="66"/>
      <c r="H24" s="66"/>
      <c r="I24" s="66"/>
      <c r="J24" s="66"/>
      <c r="K24" s="66"/>
      <c r="L24" s="66"/>
      <c r="M24" s="66"/>
      <c r="N24" s="66"/>
      <c r="O24" s="13"/>
    </row>
    <row r="25" spans="1:21" x14ac:dyDescent="0.2">
      <c r="B25" s="13"/>
      <c r="C25" s="13"/>
      <c r="O25" s="13"/>
    </row>
    <row r="26" spans="1:21" x14ac:dyDescent="0.2">
      <c r="B26" s="13"/>
      <c r="C26" s="13"/>
      <c r="O26" s="13"/>
    </row>
    <row r="27" spans="1:21" x14ac:dyDescent="0.2">
      <c r="B27" s="13"/>
      <c r="C27" s="13"/>
      <c r="K27" s="13"/>
      <c r="M27" s="13"/>
      <c r="N27" s="13"/>
      <c r="O27" s="13"/>
    </row>
    <row r="30" spans="1:21" x14ac:dyDescent="0.2">
      <c r="E30" s="56"/>
      <c r="G30" s="13"/>
    </row>
    <row r="31" spans="1:21" x14ac:dyDescent="0.2">
      <c r="E31" s="57"/>
      <c r="G31" s="13"/>
      <c r="H31" s="13"/>
    </row>
    <row r="32" spans="1:21" x14ac:dyDescent="0.2">
      <c r="E32" s="57"/>
      <c r="G32" s="13"/>
    </row>
    <row r="33" spans="5:13" x14ac:dyDescent="0.2">
      <c r="E33" s="57"/>
      <c r="G33" s="13"/>
      <c r="K33" s="13"/>
      <c r="M33" s="47"/>
    </row>
    <row r="34" spans="5:13" x14ac:dyDescent="0.2">
      <c r="E34" s="57"/>
      <c r="G34" s="13"/>
      <c r="K34" s="13"/>
      <c r="M34" s="47"/>
    </row>
    <row r="35" spans="5:13" x14ac:dyDescent="0.2">
      <c r="E35" s="57"/>
      <c r="G35" s="13"/>
      <c r="K35" s="13"/>
      <c r="M35" s="47"/>
    </row>
    <row r="36" spans="5:13" x14ac:dyDescent="0.2">
      <c r="E36" s="57"/>
      <c r="G36" s="13"/>
      <c r="H36" s="13"/>
      <c r="I36" s="13"/>
      <c r="K36" s="13"/>
      <c r="M36" s="47"/>
    </row>
    <row r="37" spans="5:13" x14ac:dyDescent="0.2">
      <c r="E37" s="57"/>
      <c r="G37" s="13"/>
      <c r="I37" s="13"/>
      <c r="K37" s="13"/>
      <c r="M37" s="47"/>
    </row>
    <row r="38" spans="5:13" x14ac:dyDescent="0.2">
      <c r="H38" s="13"/>
      <c r="I38" s="13"/>
      <c r="K38" s="13"/>
      <c r="M38" s="47"/>
    </row>
    <row r="39" spans="5:13" x14ac:dyDescent="0.2">
      <c r="K39" s="13"/>
      <c r="M39" s="47"/>
    </row>
    <row r="40" spans="5:13" x14ac:dyDescent="0.2">
      <c r="K40" s="13"/>
      <c r="M40" s="47"/>
    </row>
    <row r="41" spans="5:13" x14ac:dyDescent="0.2">
      <c r="K41" s="13"/>
      <c r="M41" s="47"/>
    </row>
    <row r="42" spans="5:13" x14ac:dyDescent="0.2">
      <c r="K42" s="13"/>
      <c r="M42" s="47"/>
    </row>
    <row r="43" spans="5:13" x14ac:dyDescent="0.2">
      <c r="K43" s="13"/>
      <c r="M43" s="47"/>
    </row>
    <row r="44" spans="5:13" x14ac:dyDescent="0.2">
      <c r="K44" s="13"/>
      <c r="M44" s="47"/>
    </row>
    <row r="45" spans="5:13" x14ac:dyDescent="0.2">
      <c r="K45" s="13"/>
      <c r="M45" s="47"/>
    </row>
    <row r="46" spans="5:13" x14ac:dyDescent="0.2">
      <c r="K46" s="13"/>
      <c r="M46" s="47"/>
    </row>
    <row r="47" spans="5:13" x14ac:dyDescent="0.2">
      <c r="K47" s="13"/>
      <c r="M47" s="47"/>
    </row>
  </sheetData>
  <mergeCells count="6">
    <mergeCell ref="A23:N24"/>
    <mergeCell ref="A16:B16"/>
    <mergeCell ref="A7:B7"/>
    <mergeCell ref="F3:G3"/>
    <mergeCell ref="B1:N1"/>
    <mergeCell ref="F2:N2"/>
  </mergeCells>
  <printOptions horizontalCentered="1" verticalCentered="1"/>
  <pageMargins left="0.75" right="0.75" top="1" bottom="1" header="0.5" footer="0.5"/>
  <pageSetup orientation="portrait" horizontalDpi="4294967292" verticalDpi="4294967292" r:id="rId1"/>
  <headerFooter alignWithMargins="0">
    <oddFooter>&amp;CEach Oxford House is self-supporting and residents pay an equal share of expenses. The Oxford House Viability Calculator divides estimated household expenses by number of residents to determine monthly or weekly equal share of expenses.</oddFooter>
  </headerFooter>
  <ignoredErrors>
    <ignoredError sqref="I5 F5"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Normal="100" workbookViewId="0"/>
  </sheetViews>
  <sheetFormatPr defaultRowHeight="12.75" x14ac:dyDescent="0.2"/>
  <cols>
    <col min="1" max="256" width="11" customWidth="1"/>
  </cols>
  <sheetData/>
  <pageMargins left="0.75" right="0.75" top="1" bottom="1" header="0.5" footer="0.5"/>
  <pageSetup paperSize="0" orientation="portrait" horizontalDpi="4294967292" verticalDpi="429496729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2024</vt:lpstr>
      <vt:lpstr>Sheet3</vt:lpstr>
      <vt:lpstr>'2024'!Print_Area</vt:lpstr>
      <vt:lpstr>RE_IN</vt:lpstr>
    </vt:vector>
  </TitlesOfParts>
  <Company>Oxford House,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Molloy</dc:creator>
  <cp:lastModifiedBy>Elliot Yamoah</cp:lastModifiedBy>
  <cp:lastPrinted>2007-03-28T03:30:51Z</cp:lastPrinted>
  <dcterms:created xsi:type="dcterms:W3CDTF">2007-03-28T01:10:31Z</dcterms:created>
  <dcterms:modified xsi:type="dcterms:W3CDTF">2025-10-22T15:01:20Z</dcterms:modified>
</cp:coreProperties>
</file>