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ex/Desktop/Stevens/Stevens_Spring_2022/E-355-D/Labs/"/>
    </mc:Choice>
  </mc:AlternateContent>
  <xr:revisionPtr revIDLastSave="0" documentId="13_ncr:1_{E24F7239-CD20-3841-BFFA-70918337F1E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Lab 6" sheetId="17" r:id="rId1"/>
  </sheets>
  <calcPr calcId="191029"/>
  <customWorkbookViews>
    <customWorkbookView name="John J. Vivas - Personal View" guid="{2C694357-63F2-449F-81C1-A96369070C9B}" mergeInterval="0" personalView="1" maximized="1" windowWidth="1676" windowHeight="765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1" i="17" l="1"/>
  <c r="G41" i="17"/>
  <c r="M37" i="17"/>
  <c r="E37" i="17"/>
  <c r="O40" i="17"/>
  <c r="G40" i="17"/>
  <c r="E39" i="17"/>
  <c r="E40" i="17"/>
  <c r="E41" i="17"/>
  <c r="E42" i="17"/>
  <c r="E43" i="17"/>
  <c r="E44" i="17"/>
  <c r="E38" i="17"/>
  <c r="D39" i="17"/>
  <c r="D40" i="17"/>
  <c r="D41" i="17"/>
  <c r="D42" i="17"/>
  <c r="D43" i="17"/>
  <c r="D44" i="17"/>
  <c r="D38" i="17"/>
  <c r="K39" i="17"/>
  <c r="K40" i="17"/>
  <c r="K41" i="17"/>
  <c r="M41" i="17" s="1"/>
  <c r="K42" i="17"/>
  <c r="K43" i="17"/>
  <c r="K44" i="17"/>
  <c r="M44" i="17" s="1"/>
  <c r="K38" i="17"/>
  <c r="M38" i="17" s="1"/>
  <c r="C39" i="17"/>
  <c r="C40" i="17"/>
  <c r="C41" i="17"/>
  <c r="C42" i="17"/>
  <c r="C43" i="17"/>
  <c r="C44" i="17"/>
  <c r="C38" i="17"/>
  <c r="M39" i="17"/>
  <c r="M40" i="17"/>
  <c r="M42" i="17"/>
  <c r="M43" i="17"/>
  <c r="L39" i="17"/>
  <c r="L40" i="17"/>
  <c r="L41" i="17"/>
  <c r="L42" i="17"/>
  <c r="L43" i="17"/>
  <c r="L44" i="17"/>
  <c r="L38" i="17"/>
  <c r="J37" i="17"/>
  <c r="B37" i="17"/>
  <c r="N30" i="17"/>
  <c r="N29" i="17"/>
  <c r="N28" i="17"/>
  <c r="N27" i="17"/>
  <c r="N26" i="17"/>
  <c r="N25" i="17"/>
  <c r="N24" i="17"/>
  <c r="N15" i="17"/>
  <c r="N14" i="17"/>
  <c r="N13" i="17"/>
  <c r="N12" i="17"/>
  <c r="N11" i="17"/>
  <c r="N10" i="17"/>
  <c r="N9" i="17"/>
  <c r="O15" i="17"/>
  <c r="O14" i="17"/>
  <c r="O13" i="17"/>
  <c r="O12" i="17"/>
  <c r="O11" i="17"/>
  <c r="O10" i="17"/>
  <c r="O9" i="17"/>
  <c r="M25" i="17"/>
  <c r="M26" i="17"/>
  <c r="M27" i="17"/>
  <c r="M28" i="17"/>
  <c r="M29" i="17"/>
  <c r="M30" i="17"/>
  <c r="M24" i="17"/>
  <c r="I30" i="17"/>
  <c r="I29" i="17"/>
  <c r="I28" i="17"/>
  <c r="I27" i="17"/>
  <c r="I26" i="17"/>
  <c r="I25" i="17"/>
  <c r="I24" i="17"/>
  <c r="M10" i="17"/>
  <c r="M11" i="17"/>
  <c r="M12" i="17"/>
  <c r="M13" i="17"/>
  <c r="M14" i="17"/>
  <c r="M15" i="17"/>
  <c r="L30" i="17"/>
  <c r="L29" i="17"/>
  <c r="L28" i="17"/>
  <c r="L27" i="17"/>
  <c r="L26" i="17"/>
  <c r="L25" i="17"/>
  <c r="L24" i="17"/>
  <c r="J30" i="17"/>
  <c r="K30" i="17" s="1"/>
  <c r="J29" i="17"/>
  <c r="K29" i="17" s="1"/>
  <c r="J28" i="17"/>
  <c r="K28" i="17" s="1"/>
  <c r="J27" i="17"/>
  <c r="K27" i="17" s="1"/>
  <c r="J26" i="17"/>
  <c r="K26" i="17" s="1"/>
  <c r="J25" i="17"/>
  <c r="K25" i="17" s="1"/>
  <c r="J24" i="17"/>
  <c r="K24" i="17" s="1"/>
  <c r="L15" i="17"/>
  <c r="L14" i="17"/>
  <c r="L13" i="17"/>
  <c r="L12" i="17"/>
  <c r="L11" i="17"/>
  <c r="L10" i="17"/>
  <c r="L9" i="17"/>
  <c r="M9" i="17" s="1"/>
  <c r="I15" i="17"/>
  <c r="I14" i="17"/>
  <c r="I13" i="17"/>
  <c r="I12" i="17"/>
  <c r="I11" i="17"/>
  <c r="I10" i="17"/>
  <c r="I9" i="17"/>
  <c r="K10" i="17"/>
  <c r="K11" i="17"/>
  <c r="K12" i="17"/>
  <c r="K13" i="17"/>
  <c r="K14" i="17"/>
  <c r="K15" i="17"/>
  <c r="K9" i="17"/>
  <c r="G15" i="17"/>
  <c r="G14" i="17"/>
  <c r="G13" i="17"/>
  <c r="G12" i="17"/>
  <c r="G11" i="17"/>
  <c r="G10" i="17"/>
  <c r="G26" i="17"/>
  <c r="G27" i="17"/>
  <c r="G28" i="17"/>
  <c r="G29" i="17"/>
  <c r="G30" i="17"/>
  <c r="G25" i="17"/>
  <c r="C15" i="17"/>
  <c r="C14" i="17"/>
  <c r="C13" i="17"/>
  <c r="C12" i="17"/>
  <c r="C11" i="17"/>
  <c r="C10" i="17"/>
  <c r="C26" i="17"/>
  <c r="C27" i="17"/>
  <c r="C28" i="17"/>
  <c r="C29" i="17"/>
  <c r="C30" i="17"/>
  <c r="C25" i="17"/>
  <c r="E30" i="17"/>
  <c r="E29" i="17"/>
  <c r="E28" i="17"/>
  <c r="E27" i="17"/>
  <c r="E26" i="17"/>
  <c r="E25" i="17"/>
  <c r="E24" i="17"/>
  <c r="E10" i="17"/>
  <c r="E11" i="17"/>
  <c r="E12" i="17"/>
  <c r="E13" i="17"/>
  <c r="E14" i="17"/>
  <c r="E15" i="17"/>
  <c r="E9" i="17"/>
  <c r="D25" i="17"/>
  <c r="D26" i="17" s="1"/>
  <c r="D27" i="17" s="1"/>
  <c r="D28" i="17" s="1"/>
  <c r="D29" i="17" s="1"/>
  <c r="D30" i="17" s="1"/>
  <c r="D11" i="17"/>
  <c r="D12" i="17" s="1"/>
  <c r="D13" i="17" s="1"/>
  <c r="D14" i="17" s="1"/>
  <c r="D15" i="17" s="1"/>
  <c r="D10" i="17"/>
</calcChain>
</file>

<file path=xl/sharedStrings.xml><?xml version="1.0" encoding="utf-8"?>
<sst xmlns="http://schemas.openxmlformats.org/spreadsheetml/2006/main" count="113" uniqueCount="50">
  <si>
    <t>Alternative 1: Subcontract PCB assembly-</t>
  </si>
  <si>
    <t>Unit</t>
  </si>
  <si>
    <t>Price</t>
  </si>
  <si>
    <t>Annual</t>
  </si>
  <si>
    <t>Set-up</t>
  </si>
  <si>
    <t>Subcontract</t>
  </si>
  <si>
    <t>Mat'l Cost</t>
  </si>
  <si>
    <t xml:space="preserve">Assy Cost </t>
  </si>
  <si>
    <t>Total PCB</t>
  </si>
  <si>
    <t>Inventory</t>
  </si>
  <si>
    <t>Sales</t>
  </si>
  <si>
    <t>Change</t>
  </si>
  <si>
    <t>per unit</t>
  </si>
  <si>
    <t>Revenue</t>
  </si>
  <si>
    <t>Charge</t>
  </si>
  <si>
    <t># PCBs</t>
  </si>
  <si>
    <t>% of Rev</t>
  </si>
  <si>
    <t>per PCB</t>
  </si>
  <si>
    <t>Assy Cost</t>
  </si>
  <si>
    <t>Overhead</t>
  </si>
  <si>
    <t>Cost</t>
  </si>
  <si>
    <t>Admin</t>
  </si>
  <si>
    <t>Carry Cost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</si>
  <si>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</si>
  <si>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</si>
  <si>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</si>
  <si>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</si>
  <si>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</si>
  <si>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</si>
  <si>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</si>
  <si>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</si>
  <si>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Alternative 2: In-House PCB assembly-</t>
  </si>
  <si>
    <t xml:space="preserve"> </t>
  </si>
  <si>
    <t>Capital</t>
  </si>
  <si>
    <t>Labor Cost</t>
  </si>
  <si>
    <t>Purchases</t>
  </si>
  <si>
    <t>Produced</t>
  </si>
  <si>
    <t xml:space="preserve">SUMMARY: Alternative 1: Subcontract </t>
  </si>
  <si>
    <t>SUMMARY: Alternative 2: In-House</t>
  </si>
  <si>
    <t>Net</t>
  </si>
  <si>
    <t>Invest</t>
  </si>
  <si>
    <t>Expense</t>
  </si>
  <si>
    <t>Cash Flow</t>
  </si>
  <si>
    <t>MARR =</t>
  </si>
  <si>
    <t>NPV =</t>
  </si>
  <si>
    <t>IRR =</t>
  </si>
  <si>
    <t>Recommendation and Reasoning:</t>
  </si>
  <si>
    <t>Name: Alex Gaskins</t>
  </si>
  <si>
    <t xml:space="preserve">"I pledge my honor I have abided by the Stevens Honor System." </t>
  </si>
  <si>
    <t xml:space="preserve">They should choose Alternative 1, as it proposes a higher rate of return than Alternative 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</si>
</sst>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&quot;kr.&quot;_-;\-* #,##0.00\ &quot;kr.&quot;_-;_-* &quot;-&quot;??\ &quot;kr.&quot;_-;_-@_-"/>
    <numFmt numFmtId="165" formatCode="_-&quot;€&quot;\ * #,##0.00_-;\-&quot;€&quot;\ * #,##0.00_-;_-&quot;€&quot;\ * &quot;-&quot;??_-;_-@_-"/>
    <numFmt numFmtId="166" formatCode="_-* #,##0.00_-;\-* #,##0.00_-;_-* &quot;-&quot;??_-;_-@_-"/>
    <numFmt numFmtId="167" formatCode="_(* #,##0_);_(* \(#,##0\);_(* &quot;-&quot;??_);_(@_)"/>
    <numFmt numFmtId="168" formatCode="0.0%"/>
    <numFmt numFmtId="169" formatCode="_(&quot;$&quot;* #,##0_);_(&quot;$&quot;* \(#,##0\);_(&quot;$&quot;* &quot;-&quot;??_);_(@_)"/>
    <numFmt numFmtId="170" formatCode="_([$$-409]* #,##0.00_);_([$$-409]* \(#,##0.00\);_([$$-409]* &quot;-&quot;??_);_(@_)"/>
  </numFmts>
  <fonts count="1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8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6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0" fontId="5" fillId="0" borderId="0" xfId="40"/>
    <xf numFmtId="0" fontId="5" fillId="0" borderId="0" xfId="40" applyFont="1"/>
    <xf numFmtId="0" fontId="5" fillId="0" borderId="0" xfId="40" applyFont="1" applyAlignment="1">
      <alignment vertical="center"/>
    </xf>
    <xf numFmtId="0" fontId="10" fillId="2" borderId="1" xfId="40" applyFont="1" applyFill="1" applyBorder="1" applyAlignment="1">
      <alignment vertical="center"/>
    </xf>
    <xf numFmtId="0" fontId="10" fillId="0" borderId="0" xfId="40" applyFont="1" applyFill="1" applyBorder="1" applyAlignment="1">
      <alignment vertical="center"/>
    </xf>
    <xf numFmtId="167" fontId="10" fillId="0" borderId="0" xfId="44" applyNumberFormat="1" applyFont="1" applyBorder="1" applyAlignment="1">
      <alignment vertical="center"/>
    </xf>
    <xf numFmtId="168" fontId="10" fillId="0" borderId="0" xfId="41" applyNumberFormat="1" applyFont="1" applyBorder="1" applyAlignment="1">
      <alignment vertical="center"/>
    </xf>
    <xf numFmtId="165" fontId="10" fillId="0" borderId="0" xfId="42" applyFont="1" applyBorder="1" applyAlignment="1">
      <alignment vertical="center"/>
    </xf>
    <xf numFmtId="169" fontId="10" fillId="0" borderId="0" xfId="42" applyNumberFormat="1" applyFont="1" applyBorder="1" applyAlignment="1">
      <alignment vertical="center"/>
    </xf>
    <xf numFmtId="9" fontId="10" fillId="0" borderId="0" xfId="41" applyNumberFormat="1" applyFont="1" applyBorder="1" applyAlignment="1">
      <alignment vertical="center"/>
    </xf>
    <xf numFmtId="167" fontId="10" fillId="0" borderId="0" xfId="40" applyNumberFormat="1" applyFont="1" applyFill="1" applyBorder="1" applyAlignment="1">
      <alignment vertical="center"/>
    </xf>
    <xf numFmtId="0" fontId="11" fillId="0" borderId="0" xfId="45" applyFont="1" applyFill="1" applyAlignment="1">
      <alignment vertical="center"/>
    </xf>
    <xf numFmtId="0" fontId="5" fillId="0" borderId="0" xfId="40" applyFont="1" applyFill="1" applyAlignment="1">
      <alignment vertical="center"/>
    </xf>
    <xf numFmtId="169" fontId="0" fillId="0" borderId="0" xfId="42" applyNumberFormat="1" applyFont="1" applyFill="1" applyBorder="1" applyAlignment="1">
      <alignment vertical="center"/>
    </xf>
    <xf numFmtId="0" fontId="11" fillId="0" borderId="0" xfId="40" applyFont="1" applyFill="1" applyAlignment="1">
      <alignment vertical="center"/>
    </xf>
    <xf numFmtId="0" fontId="12" fillId="0" borderId="0" xfId="40" applyFont="1" applyAlignment="1">
      <alignment vertical="center"/>
    </xf>
    <xf numFmtId="0" fontId="9" fillId="0" borderId="0" xfId="40" applyFont="1" applyFill="1" applyBorder="1" applyAlignment="1">
      <alignment horizontal="center" vertical="center"/>
    </xf>
    <xf numFmtId="0" fontId="11" fillId="0" borderId="6" xfId="40" applyFont="1" applyFill="1" applyBorder="1" applyAlignment="1">
      <alignment horizontal="center" vertical="center"/>
    </xf>
    <xf numFmtId="0" fontId="5" fillId="0" borderId="0" xfId="40" applyFont="1" applyBorder="1"/>
    <xf numFmtId="0" fontId="5" fillId="0" borderId="0" xfId="40" applyFont="1" applyAlignment="1">
      <alignment horizontal="right" vertical="center"/>
    </xf>
    <xf numFmtId="9" fontId="0" fillId="0" borderId="0" xfId="41" applyFont="1" applyAlignment="1">
      <alignment vertical="center"/>
    </xf>
    <xf numFmtId="168" fontId="9" fillId="2" borderId="7" xfId="41" applyNumberFormat="1" applyFont="1" applyFill="1" applyBorder="1" applyAlignment="1">
      <alignment vertical="center"/>
    </xf>
    <xf numFmtId="0" fontId="5" fillId="0" borderId="0" xfId="40" applyFont="1" applyFill="1"/>
    <xf numFmtId="0" fontId="5" fillId="0" borderId="0" xfId="40" applyBorder="1"/>
    <xf numFmtId="0" fontId="10" fillId="0" borderId="1" xfId="40" applyFont="1" applyBorder="1" applyAlignment="1">
      <alignment vertical="center"/>
    </xf>
    <xf numFmtId="0" fontId="9" fillId="2" borderId="1" xfId="40" applyFont="1" applyFill="1" applyBorder="1" applyAlignment="1">
      <alignment horizontal="center" vertical="center"/>
    </xf>
    <xf numFmtId="170" fontId="10" fillId="0" borderId="1" xfId="40" applyNumberFormat="1" applyFont="1" applyFill="1" applyBorder="1" applyAlignment="1">
      <alignment vertical="center"/>
    </xf>
    <xf numFmtId="170" fontId="10" fillId="0" borderId="1" xfId="42" applyNumberFormat="1" applyFont="1" applyFill="1" applyBorder="1" applyAlignment="1">
      <alignment vertical="center"/>
    </xf>
    <xf numFmtId="0" fontId="9" fillId="2" borderId="9" xfId="40" applyFont="1" applyFill="1" applyBorder="1" applyAlignment="1">
      <alignment horizontal="center" vertical="center"/>
    </xf>
    <xf numFmtId="0" fontId="6" fillId="2" borderId="11" xfId="40" applyFont="1" applyFill="1" applyBorder="1" applyAlignment="1">
      <alignment horizontal="center" vertical="center"/>
    </xf>
    <xf numFmtId="0" fontId="9" fillId="2" borderId="4" xfId="40" applyFont="1" applyFill="1" applyBorder="1" applyAlignment="1">
      <alignment horizontal="center" vertical="center"/>
    </xf>
    <xf numFmtId="0" fontId="9" fillId="2" borderId="5" xfId="40" applyFont="1" applyFill="1" applyBorder="1" applyAlignment="1">
      <alignment horizontal="center" vertical="center"/>
    </xf>
    <xf numFmtId="0" fontId="9" fillId="2" borderId="8" xfId="40" applyFont="1" applyFill="1" applyBorder="1" applyAlignment="1">
      <alignment horizontal="center" vertical="center"/>
    </xf>
    <xf numFmtId="0" fontId="9" fillId="2" borderId="3" xfId="40" applyFont="1" applyFill="1" applyBorder="1" applyAlignment="1">
      <alignment horizontal="center" vertical="center"/>
    </xf>
    <xf numFmtId="0" fontId="10" fillId="0" borderId="2" xfId="40" applyFont="1" applyBorder="1" applyAlignment="1">
      <alignment vertical="center"/>
    </xf>
    <xf numFmtId="0" fontId="9" fillId="2" borderId="11" xfId="40" applyFont="1" applyFill="1" applyBorder="1" applyAlignment="1">
      <alignment horizontal="center" vertical="center"/>
    </xf>
    <xf numFmtId="44" fontId="10" fillId="0" borderId="3" xfId="40" applyNumberFormat="1" applyFont="1" applyFill="1" applyBorder="1" applyAlignment="1">
      <alignment vertical="center"/>
    </xf>
    <xf numFmtId="0" fontId="5" fillId="0" borderId="0" xfId="40" applyNumberFormat="1" applyFont="1"/>
    <xf numFmtId="167" fontId="10" fillId="0" borderId="1" xfId="44" applyNumberFormat="1" applyFont="1" applyFill="1" applyBorder="1" applyAlignment="1">
      <alignment vertical="center"/>
    </xf>
    <xf numFmtId="2" fontId="10" fillId="0" borderId="3" xfId="44" applyNumberFormat="1" applyFont="1" applyFill="1" applyBorder="1" applyAlignment="1">
      <alignment vertical="center"/>
    </xf>
    <xf numFmtId="9" fontId="10" fillId="0" borderId="3" xfId="43" applyFont="1" applyFill="1" applyBorder="1" applyAlignment="1">
      <alignment vertical="center"/>
    </xf>
    <xf numFmtId="44" fontId="10" fillId="0" borderId="3" xfId="42" applyNumberFormat="1" applyFont="1" applyFill="1" applyBorder="1" applyAlignment="1">
      <alignment vertical="center"/>
    </xf>
    <xf numFmtId="169" fontId="10" fillId="0" borderId="3" xfId="42" applyNumberFormat="1" applyFont="1" applyFill="1" applyBorder="1" applyAlignment="1">
      <alignment vertical="center"/>
    </xf>
    <xf numFmtId="167" fontId="10" fillId="0" borderId="3" xfId="44" applyNumberFormat="1" applyFont="1" applyFill="1" applyBorder="1" applyAlignment="1">
      <alignment vertical="center"/>
    </xf>
    <xf numFmtId="10" fontId="10" fillId="0" borderId="3" xfId="41" applyNumberFormat="1" applyFont="1" applyFill="1" applyBorder="1" applyAlignment="1">
      <alignment vertical="center"/>
    </xf>
    <xf numFmtId="168" fontId="10" fillId="0" borderId="1" xfId="41" applyNumberFormat="1" applyFont="1" applyFill="1" applyBorder="1" applyAlignment="1">
      <alignment vertical="center"/>
    </xf>
    <xf numFmtId="44" fontId="10" fillId="0" borderId="1" xfId="42" applyNumberFormat="1" applyFont="1" applyFill="1" applyBorder="1" applyAlignment="1">
      <alignment vertical="center"/>
    </xf>
    <xf numFmtId="9" fontId="10" fillId="0" borderId="1" xfId="41" applyNumberFormat="1" applyFont="1" applyFill="1" applyBorder="1" applyAlignment="1">
      <alignment vertical="center"/>
    </xf>
    <xf numFmtId="169" fontId="10" fillId="0" borderId="1" xfId="42" applyNumberFormat="1" applyFont="1" applyFill="1" applyBorder="1" applyAlignment="1">
      <alignment vertical="center"/>
    </xf>
    <xf numFmtId="9" fontId="10" fillId="0" borderId="1" xfId="41" applyFont="1" applyFill="1" applyBorder="1" applyAlignment="1">
      <alignment vertical="center"/>
    </xf>
    <xf numFmtId="44" fontId="10" fillId="0" borderId="1" xfId="40" applyNumberFormat="1" applyFont="1" applyFill="1" applyBorder="1" applyAlignment="1">
      <alignment vertical="center"/>
    </xf>
    <xf numFmtId="2" fontId="10" fillId="0" borderId="1" xfId="44" applyNumberFormat="1" applyFont="1" applyFill="1" applyBorder="1" applyAlignment="1">
      <alignment vertical="center"/>
    </xf>
    <xf numFmtId="44" fontId="10" fillId="0" borderId="5" xfId="42" applyNumberFormat="1" applyFont="1" applyBorder="1" applyAlignment="1">
      <alignment vertical="center"/>
    </xf>
    <xf numFmtId="44" fontId="0" fillId="0" borderId="3" xfId="42" applyNumberFormat="1" applyFont="1" applyBorder="1" applyAlignment="1">
      <alignment vertical="center"/>
    </xf>
    <xf numFmtId="44" fontId="0" fillId="0" borderId="1" xfId="42" applyNumberFormat="1" applyFont="1" applyBorder="1" applyAlignment="1">
      <alignment vertical="center"/>
    </xf>
    <xf numFmtId="44" fontId="10" fillId="0" borderId="3" xfId="42" applyNumberFormat="1" applyFont="1" applyBorder="1" applyAlignment="1">
      <alignment vertical="center"/>
    </xf>
    <xf numFmtId="44" fontId="9" fillId="2" borderId="7" xfId="40" applyNumberFormat="1" applyFont="1" applyFill="1" applyBorder="1" applyAlignment="1">
      <alignment vertical="center"/>
    </xf>
    <xf numFmtId="0" fontId="6" fillId="0" borderId="9" xfId="40" applyFont="1" applyBorder="1" applyAlignment="1">
      <alignment horizontal="center" vertical="center" wrapText="1"/>
    </xf>
    <xf numFmtId="0" fontId="6" fillId="0" borderId="10" xfId="40" applyFont="1" applyBorder="1" applyAlignment="1">
      <alignment horizontal="center" vertical="center" wrapText="1"/>
    </xf>
    <xf numFmtId="0" fontId="6" fillId="0" borderId="11" xfId="40" applyFont="1" applyBorder="1" applyAlignment="1">
      <alignment horizontal="center" vertical="center" wrapText="1"/>
    </xf>
    <xf numFmtId="0" fontId="6" fillId="0" borderId="4" xfId="40" applyFont="1" applyBorder="1" applyAlignment="1">
      <alignment horizontal="center" vertical="center" wrapText="1"/>
    </xf>
    <xf numFmtId="0" fontId="6" fillId="0" borderId="12" xfId="40" applyFont="1" applyBorder="1" applyAlignment="1">
      <alignment horizontal="center" vertical="center" wrapText="1"/>
    </xf>
    <xf numFmtId="0" fontId="6" fillId="0" borderId="5" xfId="40" applyFont="1" applyBorder="1" applyAlignment="1">
      <alignment horizontal="center" vertical="center" wrapText="1"/>
    </xf>
    <xf numFmtId="49" fontId="9" fillId="2" borderId="9" xfId="40" applyNumberFormat="1" applyFont="1" applyFill="1" applyBorder="1" applyAlignment="1">
      <alignment horizontal="center" vertical="center" wrapText="1"/>
    </xf>
    <xf numFmtId="49" fontId="9" fillId="2" borderId="11" xfId="40" applyNumberFormat="1" applyFont="1" applyFill="1" applyBorder="1" applyAlignment="1">
      <alignment horizontal="center" vertical="center" wrapText="1"/>
    </xf>
    <xf numFmtId="49" fontId="9" fillId="2" borderId="4" xfId="40" applyNumberFormat="1" applyFont="1" applyFill="1" applyBorder="1" applyAlignment="1">
      <alignment horizontal="center" vertical="center" wrapText="1"/>
    </xf>
    <xf numFmtId="49" fontId="9" fillId="2" borderId="5" xfId="40" applyNumberFormat="1" applyFont="1" applyFill="1" applyBorder="1" applyAlignment="1">
      <alignment horizontal="center" vertical="center" wrapText="1"/>
    </xf>
    <xf numFmtId="0" fontId="13" fillId="0" borderId="1" xfId="40" applyFont="1" applyBorder="1" applyAlignment="1">
      <alignment horizontal="left" vertical="center"/>
    </xf>
    <xf numFmtId="0" fontId="9" fillId="2" borderId="1" xfId="40" applyFont="1" applyFill="1" applyBorder="1" applyAlignment="1">
      <alignment horizontal="center" vertical="center"/>
    </xf>
    <xf numFmtId="0" fontId="13" fillId="0" borderId="1" xfId="40" applyFont="1" applyBorder="1" applyAlignment="1">
      <alignment horizontal="center" vertical="center" wrapText="1"/>
    </xf>
    <xf numFmtId="0" fontId="8" fillId="0" borderId="0" xfId="40" applyFont="1" applyAlignment="1">
      <alignment horizontal="center" vertical="center"/>
    </xf>
    <xf numFmtId="0" fontId="9" fillId="0" borderId="0" xfId="40" applyFont="1" applyAlignment="1">
      <alignment horizontal="center" vertical="center"/>
    </xf>
  </cellXfs>
  <cellStyles count="46">
    <cellStyle name="Comma 2" xfId="37" xr:uid="{61B4BB66-26E9-DD44-A168-E97ACAD168DE}"/>
    <cellStyle name="Comma 3" xfId="44" xr:uid="{014E9001-4E9E-6041-B3C8-E45C2B1514F7}"/>
    <cellStyle name="Currency 2" xfId="1" xr:uid="{00000000-0005-0000-0000-000002000000}"/>
    <cellStyle name="Currency 3" xfId="2" xr:uid="{00000000-0005-0000-0000-000003000000}"/>
    <cellStyle name="Currency 4" xfId="3" xr:uid="{00000000-0005-0000-0000-000004000000}"/>
    <cellStyle name="Currency 5" xfId="39" xr:uid="{8F632C57-0F5F-9543-AEAD-67BCEC2FED48}"/>
    <cellStyle name="Currency 6" xfId="42" xr:uid="{CC592F97-29B8-9949-A6C4-0CBCD158AF08}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  <cellStyle name="Normal 2" xfId="4" xr:uid="{00000000-0005-0000-0000-000022000000}"/>
    <cellStyle name="Normal 2 2" xfId="45" xr:uid="{9AFC5780-12AD-6946-AC70-FF67D12F48C3}"/>
    <cellStyle name="Normal 3" xfId="5" xr:uid="{00000000-0005-0000-0000-000023000000}"/>
    <cellStyle name="Normal 4" xfId="36" xr:uid="{0A567A6D-F62E-4648-8D73-856E8C9EF8EE}"/>
    <cellStyle name="Normal 5" xfId="40" xr:uid="{A6095CB7-CB9C-E74B-997E-A1DEA3D8BC6E}"/>
    <cellStyle name="Percent" xfId="43" builtinId="5"/>
    <cellStyle name="Percent 2" xfId="6" xr:uid="{00000000-0005-0000-0000-000024000000}"/>
    <cellStyle name="Percent 3" xfId="7" xr:uid="{00000000-0005-0000-0000-000025000000}"/>
    <cellStyle name="Percent 4" xfId="38" xr:uid="{FBBB4A4C-722C-A54F-B0CA-7C2062848824}"/>
    <cellStyle name="Percent 5" xfId="41" xr:uid="{5D7DE766-5974-AD4E-89DD-AE63C2987C83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326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75275-A43A-9843-BE74-2285F91A028D}">
  <sheetPr>
    <pageSetUpPr fitToPage="1"/>
  </sheetPr>
  <dimension ref="A1:O51"/>
  <sheetViews>
    <sheetView tabSelected="1" zoomScaleNormal="150" zoomScalePageLayoutView="85" workbookViewId="0">
      <selection activeCell="C47" sqref="C47:J48"/>
    </sheetView>
  </sheetViews>
  <sheetFormatPr baseColWidth="10" defaultColWidth="8.83203125" defaultRowHeight="15" x14ac:dyDescent="0.2"/>
  <cols>
    <col min="1" max="1" width="8" style="1" bestFit="1" customWidth="1"/>
    <col min="2" max="2" width="13.83203125" style="1" customWidth="1"/>
    <col min="3" max="3" width="14.6640625" style="1" customWidth="1"/>
    <col min="4" max="4" width="15.6640625" style="1" customWidth="1"/>
    <col min="5" max="5" width="15.83203125" style="1" bestFit="1" customWidth="1"/>
    <col min="6" max="6" width="12" style="1" bestFit="1" customWidth="1"/>
    <col min="7" max="7" width="12.33203125" style="1" bestFit="1" customWidth="1"/>
    <col min="8" max="8" width="10.6640625" style="1" bestFit="1" customWidth="1"/>
    <col min="9" max="9" width="17.6640625" style="1" customWidth="1"/>
    <col min="10" max="10" width="16.1640625" style="1" customWidth="1"/>
    <col min="11" max="14" width="14.83203125" style="1" bestFit="1" customWidth="1"/>
    <col min="15" max="15" width="14.1640625" style="1" customWidth="1"/>
    <col min="16" max="16" width="8.83203125" style="1"/>
    <col min="17" max="17" width="14.33203125" style="1" bestFit="1" customWidth="1"/>
    <col min="18" max="18" width="9.33203125" style="1" customWidth="1"/>
    <col min="19" max="19" width="11.33203125" style="1" bestFit="1" customWidth="1"/>
    <col min="20" max="20" width="10.33203125" style="1" bestFit="1" customWidth="1"/>
    <col min="21" max="21" width="11.33203125" style="1" bestFit="1" customWidth="1"/>
    <col min="22" max="22" width="10.33203125" style="1" bestFit="1" customWidth="1"/>
    <col min="23" max="23" width="11.33203125" style="1" bestFit="1" customWidth="1"/>
    <col min="24" max="24" width="9.6640625" style="1" bestFit="1" customWidth="1"/>
    <col min="25" max="25" width="10.33203125" style="1" bestFit="1" customWidth="1"/>
    <col min="26" max="26" width="10.1640625" style="1" bestFit="1" customWidth="1"/>
    <col min="27" max="27" width="11.33203125" style="1" bestFit="1" customWidth="1"/>
    <col min="28" max="31" width="10.33203125" style="1" bestFit="1" customWidth="1"/>
    <col min="32" max="16384" width="8.83203125" style="1"/>
  </cols>
  <sheetData>
    <row r="1" spans="1:15" ht="16" x14ac:dyDescent="0.2">
      <c r="A1" s="68" t="s">
        <v>47</v>
      </c>
      <c r="B1" s="68"/>
      <c r="C1" s="68"/>
      <c r="D1" s="68"/>
      <c r="E1" s="68"/>
      <c r="F1" s="68"/>
      <c r="G1" s="68"/>
      <c r="H1" s="68"/>
    </row>
    <row r="2" spans="1:15" ht="60" customHeight="1" x14ac:dyDescent="0.2">
      <c r="A2" s="70" t="s">
        <v>48</v>
      </c>
      <c r="B2" s="70"/>
      <c r="C2" s="70"/>
      <c r="D2" s="70"/>
      <c r="E2" s="70"/>
      <c r="F2" s="70"/>
      <c r="G2" s="70"/>
      <c r="H2" s="70"/>
    </row>
    <row r="3" spans="1:15" x14ac:dyDescent="0.2">
      <c r="A3" s="71" t="s">
        <v>0</v>
      </c>
      <c r="B3" s="71"/>
      <c r="C3" s="71"/>
      <c r="D3" s="71"/>
      <c r="E3" s="71"/>
    </row>
    <row r="4" spans="1:15" x14ac:dyDescent="0.2">
      <c r="A4" s="72"/>
      <c r="B4" s="72"/>
      <c r="C4" s="72"/>
      <c r="D4" s="72"/>
      <c r="E4" s="72"/>
    </row>
    <row r="5" spans="1:15" x14ac:dyDescent="0.2">
      <c r="A5" s="2"/>
      <c r="B5" s="2"/>
      <c r="C5" s="2"/>
      <c r="D5" s="2"/>
      <c r="E5" s="38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">
      <c r="A6" s="35"/>
      <c r="B6" s="29" t="s">
        <v>1</v>
      </c>
      <c r="C6" s="33" t="s">
        <v>2</v>
      </c>
      <c r="D6" s="33" t="s">
        <v>2</v>
      </c>
      <c r="E6" s="33" t="s">
        <v>3</v>
      </c>
      <c r="F6" s="33" t="s">
        <v>4</v>
      </c>
      <c r="G6" s="33" t="s">
        <v>5</v>
      </c>
      <c r="H6" s="33" t="s">
        <v>6</v>
      </c>
      <c r="I6" s="33" t="s">
        <v>3</v>
      </c>
      <c r="J6" s="33" t="s">
        <v>7</v>
      </c>
      <c r="K6" s="33" t="s">
        <v>3</v>
      </c>
      <c r="L6" s="33" t="s">
        <v>3</v>
      </c>
      <c r="M6" s="33" t="s">
        <v>8</v>
      </c>
      <c r="N6" s="33" t="s">
        <v>3</v>
      </c>
      <c r="O6" s="36" t="s">
        <v>9</v>
      </c>
    </row>
    <row r="7" spans="1:15" x14ac:dyDescent="0.2">
      <c r="A7" s="35"/>
      <c r="B7" s="31" t="s">
        <v>10</v>
      </c>
      <c r="C7" s="34" t="s">
        <v>11</v>
      </c>
      <c r="D7" s="34" t="s">
        <v>12</v>
      </c>
      <c r="E7" s="34" t="s">
        <v>13</v>
      </c>
      <c r="F7" s="34" t="s">
        <v>14</v>
      </c>
      <c r="G7" s="34" t="s">
        <v>15</v>
      </c>
      <c r="H7" s="34" t="s">
        <v>16</v>
      </c>
      <c r="I7" s="34" t="s">
        <v>6</v>
      </c>
      <c r="J7" s="34" t="s">
        <v>17</v>
      </c>
      <c r="K7" s="34" t="s">
        <v>18</v>
      </c>
      <c r="L7" s="34" t="s">
        <v>19</v>
      </c>
      <c r="M7" s="34" t="s">
        <v>20</v>
      </c>
      <c r="N7" s="34" t="s">
        <v>21</v>
      </c>
      <c r="O7" s="32" t="s">
        <v>22</v>
      </c>
    </row>
    <row r="8" spans="1:15" x14ac:dyDescent="0.2">
      <c r="A8" s="4" t="s">
        <v>23</v>
      </c>
      <c r="B8" s="40"/>
      <c r="C8" s="41"/>
      <c r="D8" s="42"/>
      <c r="E8" s="42"/>
      <c r="F8" s="43">
        <v>-60000</v>
      </c>
      <c r="G8" s="44"/>
      <c r="H8" s="45"/>
      <c r="I8" s="42"/>
      <c r="J8" s="42"/>
      <c r="K8" s="42"/>
      <c r="L8" s="42"/>
      <c r="M8" s="42"/>
      <c r="N8" s="37"/>
      <c r="O8" s="37"/>
    </row>
    <row r="9" spans="1:15" x14ac:dyDescent="0.2">
      <c r="A9" s="4" t="s">
        <v>24</v>
      </c>
      <c r="B9" s="39">
        <v>3500</v>
      </c>
      <c r="C9" s="46"/>
      <c r="D9" s="28">
        <v>260</v>
      </c>
      <c r="E9" s="28">
        <f>B9*D9</f>
        <v>910000</v>
      </c>
      <c r="F9" s="47"/>
      <c r="G9" s="52">
        <v>10500</v>
      </c>
      <c r="H9" s="48">
        <v>0.35</v>
      </c>
      <c r="I9" s="28">
        <f t="shared" ref="I9:I15" si="0">-E9*H9</f>
        <v>-318500</v>
      </c>
      <c r="J9" s="28">
        <v>-15</v>
      </c>
      <c r="K9" s="28">
        <f>G9*J9</f>
        <v>-157500</v>
      </c>
      <c r="L9" s="28">
        <f t="shared" ref="L9:L15" si="1">-E9*0.16</f>
        <v>-145600</v>
      </c>
      <c r="M9" s="28">
        <f>I9+K9+L9</f>
        <v>-621600</v>
      </c>
      <c r="N9" s="28">
        <f t="shared" ref="N9:N15" si="2">-E9*0.28</f>
        <v>-254800.00000000003</v>
      </c>
      <c r="O9" s="27">
        <f t="shared" ref="O9:O15" si="3">-E9*0.07</f>
        <v>-63700.000000000007</v>
      </c>
    </row>
    <row r="10" spans="1:15" x14ac:dyDescent="0.2">
      <c r="A10" s="4" t="s">
        <v>25</v>
      </c>
      <c r="B10" s="39">
        <v>4000</v>
      </c>
      <c r="C10" s="46">
        <f>(D9-D10)/100</f>
        <v>0.15599999999999994</v>
      </c>
      <c r="D10" s="28">
        <f>D9-(D9*0.06)</f>
        <v>244.4</v>
      </c>
      <c r="E10" s="28">
        <f t="shared" ref="E10:E15" si="4">B10*D10</f>
        <v>977600</v>
      </c>
      <c r="F10" s="47"/>
      <c r="G10" s="52">
        <f>B10*3</f>
        <v>12000</v>
      </c>
      <c r="H10" s="48">
        <v>0.32</v>
      </c>
      <c r="I10" s="28">
        <f t="shared" si="0"/>
        <v>-312832</v>
      </c>
      <c r="J10" s="28">
        <v>-12.5</v>
      </c>
      <c r="K10" s="28">
        <f t="shared" ref="K10:K15" si="5">G10*J10</f>
        <v>-150000</v>
      </c>
      <c r="L10" s="28">
        <f t="shared" si="1"/>
        <v>-156416</v>
      </c>
      <c r="M10" s="28">
        <f t="shared" ref="M10:M15" si="6">I10+K10+L10</f>
        <v>-619248</v>
      </c>
      <c r="N10" s="28">
        <f t="shared" si="2"/>
        <v>-273728</v>
      </c>
      <c r="O10" s="27">
        <f t="shared" si="3"/>
        <v>-68432</v>
      </c>
    </row>
    <row r="11" spans="1:15" x14ac:dyDescent="0.2">
      <c r="A11" s="4" t="s">
        <v>26</v>
      </c>
      <c r="B11" s="39">
        <v>4000</v>
      </c>
      <c r="C11" s="46">
        <f t="shared" ref="C11:C15" si="7">(D10-D11)/100</f>
        <v>0.14663999999999988</v>
      </c>
      <c r="D11" s="28">
        <f t="shared" ref="D11:D15" si="8">D10-(D10*0.06)</f>
        <v>229.73600000000002</v>
      </c>
      <c r="E11" s="28">
        <f t="shared" si="4"/>
        <v>918944.00000000012</v>
      </c>
      <c r="F11" s="47"/>
      <c r="G11" s="52">
        <f t="shared" ref="G11:G15" si="9">B11*3</f>
        <v>12000</v>
      </c>
      <c r="H11" s="48">
        <v>0.32</v>
      </c>
      <c r="I11" s="28">
        <f t="shared" si="0"/>
        <v>-294062.08000000002</v>
      </c>
      <c r="J11" s="28">
        <v>-12.5</v>
      </c>
      <c r="K11" s="28">
        <f t="shared" si="5"/>
        <v>-150000</v>
      </c>
      <c r="L11" s="28">
        <f t="shared" si="1"/>
        <v>-147031.04000000001</v>
      </c>
      <c r="M11" s="28">
        <f t="shared" si="6"/>
        <v>-591093.12</v>
      </c>
      <c r="N11" s="28">
        <f t="shared" si="2"/>
        <v>-257304.32000000007</v>
      </c>
      <c r="O11" s="27">
        <f t="shared" si="3"/>
        <v>-64326.080000000016</v>
      </c>
    </row>
    <row r="12" spans="1:15" x14ac:dyDescent="0.2">
      <c r="A12" s="4" t="s">
        <v>27</v>
      </c>
      <c r="B12" s="39">
        <v>5000</v>
      </c>
      <c r="C12" s="46">
        <f t="shared" si="7"/>
        <v>0.13784160000000015</v>
      </c>
      <c r="D12" s="28">
        <f t="shared" si="8"/>
        <v>215.95184</v>
      </c>
      <c r="E12" s="28">
        <f t="shared" si="4"/>
        <v>1079759.2</v>
      </c>
      <c r="F12" s="47"/>
      <c r="G12" s="52">
        <f t="shared" si="9"/>
        <v>15000</v>
      </c>
      <c r="H12" s="48">
        <v>0.3</v>
      </c>
      <c r="I12" s="28">
        <f t="shared" si="0"/>
        <v>-323927.75999999995</v>
      </c>
      <c r="J12" s="28">
        <v>-10</v>
      </c>
      <c r="K12" s="28">
        <f t="shared" si="5"/>
        <v>-150000</v>
      </c>
      <c r="L12" s="28">
        <f t="shared" si="1"/>
        <v>-172761.47200000001</v>
      </c>
      <c r="M12" s="28">
        <f t="shared" si="6"/>
        <v>-646689.23199999996</v>
      </c>
      <c r="N12" s="28">
        <f t="shared" si="2"/>
        <v>-302332.576</v>
      </c>
      <c r="O12" s="27">
        <f t="shared" si="3"/>
        <v>-75583.144</v>
      </c>
    </row>
    <row r="13" spans="1:15" x14ac:dyDescent="0.2">
      <c r="A13" s="4" t="s">
        <v>28</v>
      </c>
      <c r="B13" s="39">
        <v>5000</v>
      </c>
      <c r="C13" s="46">
        <f t="shared" si="7"/>
        <v>0.12957110400000005</v>
      </c>
      <c r="D13" s="28">
        <f t="shared" si="8"/>
        <v>202.9947296</v>
      </c>
      <c r="E13" s="28">
        <f t="shared" si="4"/>
        <v>1014973.648</v>
      </c>
      <c r="F13" s="47"/>
      <c r="G13" s="52">
        <f t="shared" si="9"/>
        <v>15000</v>
      </c>
      <c r="H13" s="48">
        <v>0.3</v>
      </c>
      <c r="I13" s="28">
        <f t="shared" si="0"/>
        <v>-304492.0944</v>
      </c>
      <c r="J13" s="28">
        <v>-10</v>
      </c>
      <c r="K13" s="28">
        <f t="shared" si="5"/>
        <v>-150000</v>
      </c>
      <c r="L13" s="28">
        <f t="shared" si="1"/>
        <v>-162395.78368000002</v>
      </c>
      <c r="M13" s="28">
        <f t="shared" si="6"/>
        <v>-616887.87808000005</v>
      </c>
      <c r="N13" s="28">
        <f t="shared" si="2"/>
        <v>-284192.62144000002</v>
      </c>
      <c r="O13" s="27">
        <f t="shared" si="3"/>
        <v>-71048.155360000004</v>
      </c>
    </row>
    <row r="14" spans="1:15" x14ac:dyDescent="0.2">
      <c r="A14" s="4" t="s">
        <v>29</v>
      </c>
      <c r="B14" s="39">
        <v>6000</v>
      </c>
      <c r="C14" s="46">
        <f t="shared" si="7"/>
        <v>0.1217968377599999</v>
      </c>
      <c r="D14" s="28">
        <f t="shared" si="8"/>
        <v>190.81504582400001</v>
      </c>
      <c r="E14" s="28">
        <f t="shared" si="4"/>
        <v>1144890.2749439999</v>
      </c>
      <c r="F14" s="47"/>
      <c r="G14" s="52">
        <f t="shared" si="9"/>
        <v>18000</v>
      </c>
      <c r="H14" s="48">
        <v>0.3</v>
      </c>
      <c r="I14" s="28">
        <f t="shared" si="0"/>
        <v>-343467.08248319995</v>
      </c>
      <c r="J14" s="28">
        <v>-8.5</v>
      </c>
      <c r="K14" s="28">
        <f t="shared" si="5"/>
        <v>-153000</v>
      </c>
      <c r="L14" s="28">
        <f t="shared" si="1"/>
        <v>-183182.44399104</v>
      </c>
      <c r="M14" s="28">
        <f t="shared" si="6"/>
        <v>-679649.52647424</v>
      </c>
      <c r="N14" s="28">
        <f t="shared" si="2"/>
        <v>-320569.27698432002</v>
      </c>
      <c r="O14" s="27">
        <f t="shared" si="3"/>
        <v>-80142.319246080006</v>
      </c>
    </row>
    <row r="15" spans="1:15" x14ac:dyDescent="0.2">
      <c r="A15" s="4" t="s">
        <v>30</v>
      </c>
      <c r="B15" s="39">
        <v>6000</v>
      </c>
      <c r="C15" s="46">
        <f t="shared" si="7"/>
        <v>0.1144890274944001</v>
      </c>
      <c r="D15" s="28">
        <f t="shared" si="8"/>
        <v>179.36614307456</v>
      </c>
      <c r="E15" s="28">
        <f t="shared" si="4"/>
        <v>1076196.8584473601</v>
      </c>
      <c r="F15" s="47"/>
      <c r="G15" s="52">
        <f t="shared" si="9"/>
        <v>18000</v>
      </c>
      <c r="H15" s="48">
        <v>0.3</v>
      </c>
      <c r="I15" s="28">
        <f t="shared" si="0"/>
        <v>-322859.057534208</v>
      </c>
      <c r="J15" s="28">
        <v>-8.5</v>
      </c>
      <c r="K15" s="28">
        <f t="shared" si="5"/>
        <v>-153000</v>
      </c>
      <c r="L15" s="28">
        <f t="shared" si="1"/>
        <v>-172191.49735157762</v>
      </c>
      <c r="M15" s="28">
        <f t="shared" si="6"/>
        <v>-648050.55488578556</v>
      </c>
      <c r="N15" s="28">
        <f t="shared" si="2"/>
        <v>-301335.12036526087</v>
      </c>
      <c r="O15" s="27">
        <f t="shared" si="3"/>
        <v>-75333.780091315217</v>
      </c>
    </row>
    <row r="16" spans="1:15" x14ac:dyDescent="0.2">
      <c r="A16" s="5"/>
      <c r="B16" s="6"/>
      <c r="C16" s="7"/>
      <c r="D16" s="8"/>
      <c r="E16" s="9"/>
      <c r="F16" s="9"/>
      <c r="G16" s="6"/>
      <c r="H16" s="10"/>
      <c r="I16" s="9"/>
      <c r="J16" s="8"/>
      <c r="K16" s="9"/>
      <c r="L16" s="9"/>
      <c r="M16" s="9"/>
      <c r="N16" s="9"/>
      <c r="O16" s="11"/>
    </row>
    <row r="17" spans="1:15" x14ac:dyDescent="0.2">
      <c r="A17" s="3"/>
      <c r="B17" s="12"/>
      <c r="C17" s="13"/>
      <c r="D17" s="12"/>
      <c r="E17" s="12"/>
      <c r="F17" s="12"/>
      <c r="G17" s="13"/>
      <c r="H17" s="14"/>
      <c r="I17" s="12"/>
      <c r="J17" s="13"/>
      <c r="K17" s="12"/>
      <c r="L17" s="12"/>
      <c r="M17" s="12"/>
      <c r="N17" s="12"/>
      <c r="O17" s="12"/>
    </row>
    <row r="18" spans="1:15" x14ac:dyDescent="0.2">
      <c r="A18" s="71" t="s">
        <v>31</v>
      </c>
      <c r="B18" s="71"/>
      <c r="C18" s="71"/>
      <c r="D18" s="71"/>
      <c r="E18" s="71"/>
      <c r="F18" s="3"/>
      <c r="G18" s="3"/>
      <c r="H18" s="15"/>
      <c r="I18" s="15"/>
      <c r="J18" s="15"/>
      <c r="K18" s="15"/>
      <c r="L18" s="15"/>
      <c r="M18" s="15"/>
      <c r="N18" s="15"/>
      <c r="O18" s="15"/>
    </row>
    <row r="19" spans="1:15" x14ac:dyDescent="0.2">
      <c r="A19" s="72"/>
      <c r="B19" s="72"/>
      <c r="C19" s="72"/>
      <c r="D19" s="72"/>
      <c r="E19" s="72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">
      <c r="A20" s="3"/>
      <c r="B20" s="3"/>
      <c r="C20" s="3"/>
      <c r="D20" s="3"/>
      <c r="E20" s="3"/>
      <c r="F20" s="3"/>
      <c r="G20" s="16"/>
      <c r="H20" s="16" t="s">
        <v>32</v>
      </c>
      <c r="I20" s="3"/>
      <c r="J20" s="2"/>
      <c r="K20" s="2"/>
      <c r="L20" s="2"/>
      <c r="M20" s="2"/>
      <c r="N20" s="2"/>
      <c r="O20" s="3"/>
    </row>
    <row r="21" spans="1:15" x14ac:dyDescent="0.2">
      <c r="A21" s="25"/>
      <c r="B21" s="26" t="s">
        <v>1</v>
      </c>
      <c r="C21" s="26" t="s">
        <v>2</v>
      </c>
      <c r="D21" s="26" t="s">
        <v>2</v>
      </c>
      <c r="E21" s="26" t="s">
        <v>3</v>
      </c>
      <c r="F21" s="26" t="s">
        <v>33</v>
      </c>
      <c r="G21" s="26" t="s">
        <v>15</v>
      </c>
      <c r="H21" s="26" t="s">
        <v>6</v>
      </c>
      <c r="I21" s="26" t="s">
        <v>3</v>
      </c>
      <c r="J21" s="26" t="s">
        <v>34</v>
      </c>
      <c r="K21" s="26" t="s">
        <v>3</v>
      </c>
      <c r="L21" s="26" t="s">
        <v>3</v>
      </c>
      <c r="M21" s="26" t="s">
        <v>8</v>
      </c>
      <c r="N21" s="26" t="s">
        <v>3</v>
      </c>
      <c r="O21" s="17"/>
    </row>
    <row r="22" spans="1:15" x14ac:dyDescent="0.2">
      <c r="A22" s="25"/>
      <c r="B22" s="26" t="s">
        <v>10</v>
      </c>
      <c r="C22" s="26" t="s">
        <v>11</v>
      </c>
      <c r="D22" s="26" t="s">
        <v>12</v>
      </c>
      <c r="E22" s="26" t="s">
        <v>13</v>
      </c>
      <c r="F22" s="26" t="s">
        <v>35</v>
      </c>
      <c r="G22" s="26" t="s">
        <v>36</v>
      </c>
      <c r="H22" s="26" t="s">
        <v>16</v>
      </c>
      <c r="I22" s="26" t="s">
        <v>6</v>
      </c>
      <c r="J22" s="26" t="s">
        <v>17</v>
      </c>
      <c r="K22" s="26" t="s">
        <v>34</v>
      </c>
      <c r="L22" s="26" t="s">
        <v>19</v>
      </c>
      <c r="M22" s="26" t="s">
        <v>20</v>
      </c>
      <c r="N22" s="26" t="s">
        <v>21</v>
      </c>
      <c r="O22" s="17"/>
    </row>
    <row r="23" spans="1:15" x14ac:dyDescent="0.2">
      <c r="A23" s="4" t="s">
        <v>23</v>
      </c>
      <c r="B23" s="40"/>
      <c r="C23" s="41"/>
      <c r="D23" s="42"/>
      <c r="E23" s="47"/>
      <c r="F23" s="49">
        <v>-405000</v>
      </c>
      <c r="G23" s="52"/>
      <c r="H23" s="50"/>
      <c r="I23" s="47"/>
      <c r="J23" s="47"/>
      <c r="K23" s="47"/>
      <c r="L23" s="47"/>
      <c r="M23" s="47"/>
      <c r="N23" s="51"/>
      <c r="O23" s="2"/>
    </row>
    <row r="24" spans="1:15" x14ac:dyDescent="0.2">
      <c r="A24" s="4" t="s">
        <v>24</v>
      </c>
      <c r="B24" s="39">
        <v>3500</v>
      </c>
      <c r="C24" s="46"/>
      <c r="D24" s="28">
        <v>260</v>
      </c>
      <c r="E24" s="28">
        <f>B24*D24</f>
        <v>910000</v>
      </c>
      <c r="F24" s="47"/>
      <c r="G24" s="52">
        <v>10500</v>
      </c>
      <c r="H24" s="50">
        <v>0.25</v>
      </c>
      <c r="I24" s="28">
        <f t="shared" ref="I24:I30" si="10">-E24*H24</f>
        <v>-227500</v>
      </c>
      <c r="J24" s="28">
        <f t="shared" ref="J24:J30" si="11">-D24*0.08</f>
        <v>-20.8</v>
      </c>
      <c r="K24" s="28">
        <f>G24*J24</f>
        <v>-218400</v>
      </c>
      <c r="L24" s="28">
        <f t="shared" ref="L24:L30" si="12">-E24*0.22</f>
        <v>-200200</v>
      </c>
      <c r="M24" s="28">
        <f>I24+K24+L24</f>
        <v>-646100</v>
      </c>
      <c r="N24" s="28">
        <f t="shared" ref="N24:N30" si="13">-E24*0.18</f>
        <v>-163800</v>
      </c>
      <c r="O24" s="2"/>
    </row>
    <row r="25" spans="1:15" x14ac:dyDescent="0.2">
      <c r="A25" s="4" t="s">
        <v>25</v>
      </c>
      <c r="B25" s="39">
        <v>4000</v>
      </c>
      <c r="C25" s="46">
        <f>(D24-D25)/100</f>
        <v>0.15599999999999994</v>
      </c>
      <c r="D25" s="28">
        <f>D24-(D24*0.06)</f>
        <v>244.4</v>
      </c>
      <c r="E25" s="28">
        <f t="shared" ref="E25:E30" si="14">B25*D25</f>
        <v>977600</v>
      </c>
      <c r="F25" s="47"/>
      <c r="G25" s="52">
        <f>B25*3</f>
        <v>12000</v>
      </c>
      <c r="H25" s="50">
        <v>0.25</v>
      </c>
      <c r="I25" s="28">
        <f t="shared" si="10"/>
        <v>-244400</v>
      </c>
      <c r="J25" s="28">
        <f t="shared" si="11"/>
        <v>-19.552</v>
      </c>
      <c r="K25" s="28">
        <f t="shared" ref="K25:K30" si="15">G25*J25</f>
        <v>-234624</v>
      </c>
      <c r="L25" s="28">
        <f t="shared" si="12"/>
        <v>-215072</v>
      </c>
      <c r="M25" s="28">
        <f t="shared" ref="M25:M30" si="16">I25+K25+L25</f>
        <v>-694096</v>
      </c>
      <c r="N25" s="28">
        <f t="shared" si="13"/>
        <v>-175968</v>
      </c>
      <c r="O25" s="2"/>
    </row>
    <row r="26" spans="1:15" x14ac:dyDescent="0.2">
      <c r="A26" s="4" t="s">
        <v>26</v>
      </c>
      <c r="B26" s="39">
        <v>4000</v>
      </c>
      <c r="C26" s="46">
        <f t="shared" ref="C26:C30" si="17">(D25-D26)/100</f>
        <v>0.14663999999999988</v>
      </c>
      <c r="D26" s="28">
        <f t="shared" ref="D26:D30" si="18">D25-(D25*0.06)</f>
        <v>229.73600000000002</v>
      </c>
      <c r="E26" s="28">
        <f t="shared" si="14"/>
        <v>918944.00000000012</v>
      </c>
      <c r="F26" s="47"/>
      <c r="G26" s="52">
        <f t="shared" ref="G26:G30" si="19">B26*3</f>
        <v>12000</v>
      </c>
      <c r="H26" s="50">
        <v>0.25</v>
      </c>
      <c r="I26" s="28">
        <f t="shared" si="10"/>
        <v>-229736.00000000003</v>
      </c>
      <c r="J26" s="28">
        <f t="shared" si="11"/>
        <v>-18.378880000000002</v>
      </c>
      <c r="K26" s="28">
        <f t="shared" si="15"/>
        <v>-220546.56000000003</v>
      </c>
      <c r="L26" s="28">
        <f t="shared" si="12"/>
        <v>-202167.68000000002</v>
      </c>
      <c r="M26" s="28">
        <f t="shared" si="16"/>
        <v>-652450.24000000011</v>
      </c>
      <c r="N26" s="28">
        <f t="shared" si="13"/>
        <v>-165409.92000000001</v>
      </c>
      <c r="O26" s="2"/>
    </row>
    <row r="27" spans="1:15" x14ac:dyDescent="0.2">
      <c r="A27" s="4" t="s">
        <v>27</v>
      </c>
      <c r="B27" s="39">
        <v>5000</v>
      </c>
      <c r="C27" s="46">
        <f t="shared" si="17"/>
        <v>0.13784160000000015</v>
      </c>
      <c r="D27" s="28">
        <f t="shared" si="18"/>
        <v>215.95184</v>
      </c>
      <c r="E27" s="28">
        <f t="shared" si="14"/>
        <v>1079759.2</v>
      </c>
      <c r="F27" s="47"/>
      <c r="G27" s="52">
        <f t="shared" si="19"/>
        <v>15000</v>
      </c>
      <c r="H27" s="50">
        <v>0.25</v>
      </c>
      <c r="I27" s="28">
        <f t="shared" si="10"/>
        <v>-269939.8</v>
      </c>
      <c r="J27" s="28">
        <f t="shared" si="11"/>
        <v>-17.2761472</v>
      </c>
      <c r="K27" s="28">
        <f t="shared" si="15"/>
        <v>-259142.20800000001</v>
      </c>
      <c r="L27" s="28">
        <f t="shared" si="12"/>
        <v>-237547.024</v>
      </c>
      <c r="M27" s="28">
        <f t="shared" si="16"/>
        <v>-766629.03200000001</v>
      </c>
      <c r="N27" s="28">
        <f t="shared" si="13"/>
        <v>-194356.65599999999</v>
      </c>
      <c r="O27" s="2"/>
    </row>
    <row r="28" spans="1:15" x14ac:dyDescent="0.2">
      <c r="A28" s="4" t="s">
        <v>28</v>
      </c>
      <c r="B28" s="39">
        <v>5000</v>
      </c>
      <c r="C28" s="46">
        <f t="shared" si="17"/>
        <v>0.12957110400000005</v>
      </c>
      <c r="D28" s="28">
        <f t="shared" si="18"/>
        <v>202.9947296</v>
      </c>
      <c r="E28" s="28">
        <f t="shared" si="14"/>
        <v>1014973.648</v>
      </c>
      <c r="F28" s="47"/>
      <c r="G28" s="52">
        <f t="shared" si="19"/>
        <v>15000</v>
      </c>
      <c r="H28" s="50">
        <v>0.25</v>
      </c>
      <c r="I28" s="28">
        <f t="shared" si="10"/>
        <v>-253743.41200000001</v>
      </c>
      <c r="J28" s="28">
        <f t="shared" si="11"/>
        <v>-16.239578368</v>
      </c>
      <c r="K28" s="28">
        <f t="shared" si="15"/>
        <v>-243593.67551999999</v>
      </c>
      <c r="L28" s="28">
        <f t="shared" si="12"/>
        <v>-223294.20256000001</v>
      </c>
      <c r="M28" s="28">
        <f t="shared" si="16"/>
        <v>-720631.29007999995</v>
      </c>
      <c r="N28" s="28">
        <f t="shared" si="13"/>
        <v>-182695.25664000001</v>
      </c>
      <c r="O28" s="2"/>
    </row>
    <row r="29" spans="1:15" x14ac:dyDescent="0.2">
      <c r="A29" s="4" t="s">
        <v>29</v>
      </c>
      <c r="B29" s="39">
        <v>6000</v>
      </c>
      <c r="C29" s="46">
        <f t="shared" si="17"/>
        <v>0.1217968377599999</v>
      </c>
      <c r="D29" s="28">
        <f t="shared" si="18"/>
        <v>190.81504582400001</v>
      </c>
      <c r="E29" s="28">
        <f t="shared" si="14"/>
        <v>1144890.2749439999</v>
      </c>
      <c r="F29" s="47"/>
      <c r="G29" s="52">
        <f t="shared" si="19"/>
        <v>18000</v>
      </c>
      <c r="H29" s="50">
        <v>0.25</v>
      </c>
      <c r="I29" s="28">
        <f t="shared" si="10"/>
        <v>-286222.56873599999</v>
      </c>
      <c r="J29" s="28">
        <f t="shared" si="11"/>
        <v>-15.265203665920001</v>
      </c>
      <c r="K29" s="28">
        <f t="shared" si="15"/>
        <v>-274773.66598656005</v>
      </c>
      <c r="L29" s="28">
        <f t="shared" si="12"/>
        <v>-251875.86048767998</v>
      </c>
      <c r="M29" s="28">
        <f t="shared" si="16"/>
        <v>-812872.09521023999</v>
      </c>
      <c r="N29" s="28">
        <f t="shared" si="13"/>
        <v>-206080.24948991998</v>
      </c>
      <c r="O29" s="2"/>
    </row>
    <row r="30" spans="1:15" x14ac:dyDescent="0.2">
      <c r="A30" s="4" t="s">
        <v>30</v>
      </c>
      <c r="B30" s="39">
        <v>6000</v>
      </c>
      <c r="C30" s="46">
        <f t="shared" si="17"/>
        <v>0.1144890274944001</v>
      </c>
      <c r="D30" s="28">
        <f t="shared" si="18"/>
        <v>179.36614307456</v>
      </c>
      <c r="E30" s="28">
        <f t="shared" si="14"/>
        <v>1076196.8584473601</v>
      </c>
      <c r="F30" s="47"/>
      <c r="G30" s="52">
        <f t="shared" si="19"/>
        <v>18000</v>
      </c>
      <c r="H30" s="50">
        <v>0.25</v>
      </c>
      <c r="I30" s="28">
        <f t="shared" si="10"/>
        <v>-269049.21461184003</v>
      </c>
      <c r="J30" s="28">
        <f t="shared" si="11"/>
        <v>-14.3492914459648</v>
      </c>
      <c r="K30" s="28">
        <f t="shared" si="15"/>
        <v>-258287.2460273664</v>
      </c>
      <c r="L30" s="28">
        <f t="shared" si="12"/>
        <v>-236763.30885841922</v>
      </c>
      <c r="M30" s="28">
        <f t="shared" si="16"/>
        <v>-764099.76949762565</v>
      </c>
      <c r="N30" s="28">
        <f t="shared" si="13"/>
        <v>-193715.43452052481</v>
      </c>
      <c r="O30" s="2"/>
    </row>
    <row r="31" spans="1:15" x14ac:dyDescent="0.2">
      <c r="A31" s="3"/>
      <c r="B31" s="12"/>
      <c r="C31" s="13"/>
      <c r="D31" s="12"/>
      <c r="E31" s="12"/>
      <c r="F31" s="12"/>
      <c r="G31" s="13"/>
      <c r="H31" s="13"/>
      <c r="I31" s="12"/>
      <c r="J31" s="13"/>
      <c r="K31" s="12"/>
      <c r="L31" s="12"/>
      <c r="M31" s="12"/>
      <c r="N31" s="12"/>
      <c r="O31" s="12"/>
    </row>
    <row r="32" spans="1:1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71" t="s">
        <v>37</v>
      </c>
      <c r="B33" s="71"/>
      <c r="C33" s="71"/>
      <c r="D33" s="71"/>
      <c r="E33" s="71"/>
      <c r="F33" s="71"/>
      <c r="G33" s="71"/>
      <c r="H33" s="15"/>
      <c r="I33" s="71" t="s">
        <v>38</v>
      </c>
      <c r="J33" s="71"/>
      <c r="K33" s="71"/>
      <c r="L33" s="71"/>
      <c r="M33" s="71"/>
      <c r="N33" s="71"/>
      <c r="O33" s="71"/>
    </row>
    <row r="34" spans="1:15" x14ac:dyDescent="0.2">
      <c r="A34" s="2"/>
      <c r="B34" s="2"/>
      <c r="C34" s="2"/>
      <c r="D34" s="2"/>
      <c r="E34" s="2"/>
      <c r="F34" s="2"/>
      <c r="G34" s="2"/>
      <c r="H34" s="2"/>
      <c r="I34" s="3"/>
      <c r="J34" s="3"/>
      <c r="K34" s="3"/>
      <c r="L34" s="3"/>
      <c r="M34" s="13"/>
      <c r="N34" s="3"/>
      <c r="O34" s="2"/>
    </row>
    <row r="35" spans="1:15" x14ac:dyDescent="0.2">
      <c r="A35" s="2"/>
      <c r="B35" s="29" t="s">
        <v>33</v>
      </c>
      <c r="C35" s="69" t="s">
        <v>13</v>
      </c>
      <c r="D35" s="69" t="s">
        <v>41</v>
      </c>
      <c r="E35" s="30" t="s">
        <v>39</v>
      </c>
      <c r="F35" s="3"/>
      <c r="G35" s="2"/>
      <c r="H35" s="2"/>
      <c r="I35" s="2"/>
      <c r="J35" s="29" t="s">
        <v>33</v>
      </c>
      <c r="K35" s="69" t="s">
        <v>13</v>
      </c>
      <c r="L35" s="69" t="s">
        <v>41</v>
      </c>
      <c r="M35" s="30" t="s">
        <v>39</v>
      </c>
      <c r="N35" s="13"/>
      <c r="O35" s="2"/>
    </row>
    <row r="36" spans="1:15" x14ac:dyDescent="0.2">
      <c r="A36" s="2"/>
      <c r="B36" s="31" t="s">
        <v>40</v>
      </c>
      <c r="C36" s="69"/>
      <c r="D36" s="69"/>
      <c r="E36" s="32" t="s">
        <v>42</v>
      </c>
      <c r="F36" s="3"/>
      <c r="G36" s="2"/>
      <c r="H36" s="2"/>
      <c r="I36" s="2"/>
      <c r="J36" s="31" t="s">
        <v>40</v>
      </c>
      <c r="K36" s="69"/>
      <c r="L36" s="69"/>
      <c r="M36" s="32" t="s">
        <v>42</v>
      </c>
      <c r="N36" s="13"/>
      <c r="O36" s="2"/>
    </row>
    <row r="37" spans="1:15" x14ac:dyDescent="0.2">
      <c r="A37" s="4" t="s">
        <v>23</v>
      </c>
      <c r="B37" s="53">
        <f>F8</f>
        <v>-60000</v>
      </c>
      <c r="C37" s="54"/>
      <c r="D37" s="54"/>
      <c r="E37" s="54">
        <f>B37</f>
        <v>-60000</v>
      </c>
      <c r="F37" s="3"/>
      <c r="G37" s="2"/>
      <c r="H37" s="2"/>
      <c r="I37" s="4" t="s">
        <v>23</v>
      </c>
      <c r="J37" s="56">
        <f>F23</f>
        <v>-405000</v>
      </c>
      <c r="K37" s="54"/>
      <c r="L37" s="54"/>
      <c r="M37" s="54">
        <f>J37</f>
        <v>-405000</v>
      </c>
      <c r="N37" s="18"/>
      <c r="O37" s="19"/>
    </row>
    <row r="38" spans="1:15" x14ac:dyDescent="0.2">
      <c r="A38" s="4" t="s">
        <v>24</v>
      </c>
      <c r="B38" s="54"/>
      <c r="C38" s="55">
        <f>E9</f>
        <v>910000</v>
      </c>
      <c r="D38" s="54">
        <f>M9+N9+O9</f>
        <v>-940100</v>
      </c>
      <c r="E38" s="55">
        <f>C38+D38</f>
        <v>-30100</v>
      </c>
      <c r="F38" s="3"/>
      <c r="G38" s="2"/>
      <c r="H38" s="2"/>
      <c r="I38" s="4" t="s">
        <v>24</v>
      </c>
      <c r="J38" s="54"/>
      <c r="K38" s="55">
        <f>E24</f>
        <v>910000</v>
      </c>
      <c r="L38" s="54">
        <f>M24+N24</f>
        <v>-809900</v>
      </c>
      <c r="M38" s="54">
        <f>K38+L38</f>
        <v>100100</v>
      </c>
      <c r="N38" s="18"/>
      <c r="O38" s="19"/>
    </row>
    <row r="39" spans="1:15" ht="16" thickBot="1" x14ac:dyDescent="0.25">
      <c r="A39" s="4" t="s">
        <v>25</v>
      </c>
      <c r="B39" s="54"/>
      <c r="C39" s="55">
        <f t="shared" ref="C39:C44" si="20">E10</f>
        <v>977600</v>
      </c>
      <c r="D39" s="54">
        <f t="shared" ref="D39:D44" si="21">M10+N10+O10</f>
        <v>-961408</v>
      </c>
      <c r="E39" s="55">
        <f t="shared" ref="E39:E44" si="22">C39+D39</f>
        <v>16192</v>
      </c>
      <c r="F39" s="20" t="s">
        <v>43</v>
      </c>
      <c r="G39" s="21">
        <v>0.16</v>
      </c>
      <c r="H39" s="2"/>
      <c r="I39" s="4" t="s">
        <v>25</v>
      </c>
      <c r="J39" s="54"/>
      <c r="K39" s="55">
        <f t="shared" ref="K39:K44" si="23">E25</f>
        <v>977600</v>
      </c>
      <c r="L39" s="54">
        <f t="shared" ref="L39:L44" si="24">M25+N25</f>
        <v>-870064</v>
      </c>
      <c r="M39" s="54">
        <f t="shared" ref="M39:M44" si="25">K39+L39</f>
        <v>107536</v>
      </c>
      <c r="N39" s="20" t="s">
        <v>43</v>
      </c>
      <c r="O39" s="21">
        <v>0.16</v>
      </c>
    </row>
    <row r="40" spans="1:15" ht="16" thickBot="1" x14ac:dyDescent="0.25">
      <c r="A40" s="4" t="s">
        <v>26</v>
      </c>
      <c r="B40" s="54"/>
      <c r="C40" s="55">
        <f t="shared" si="20"/>
        <v>918944.00000000012</v>
      </c>
      <c r="D40" s="54">
        <f t="shared" si="21"/>
        <v>-912723.52</v>
      </c>
      <c r="E40" s="55">
        <f t="shared" si="22"/>
        <v>6220.4800000000978</v>
      </c>
      <c r="F40" s="20" t="s">
        <v>44</v>
      </c>
      <c r="G40" s="57">
        <f>NPV(G39,E38:E44)+B37</f>
        <v>25630.19120875439</v>
      </c>
      <c r="H40" s="12"/>
      <c r="I40" s="4" t="s">
        <v>26</v>
      </c>
      <c r="J40" s="54"/>
      <c r="K40" s="55">
        <f t="shared" si="23"/>
        <v>918944.00000000012</v>
      </c>
      <c r="L40" s="54">
        <f t="shared" si="24"/>
        <v>-817860.16000000015</v>
      </c>
      <c r="M40" s="54">
        <f t="shared" si="25"/>
        <v>101083.83999999997</v>
      </c>
      <c r="N40" s="20" t="s">
        <v>44</v>
      </c>
      <c r="O40" s="57">
        <f>NPV(O39,M38:M44)+J37</f>
        <v>38301.371535839397</v>
      </c>
    </row>
    <row r="41" spans="1:15" ht="16" thickBot="1" x14ac:dyDescent="0.25">
      <c r="A41" s="4" t="s">
        <v>27</v>
      </c>
      <c r="B41" s="54"/>
      <c r="C41" s="55">
        <f t="shared" si="20"/>
        <v>1079759.2</v>
      </c>
      <c r="D41" s="54">
        <f t="shared" si="21"/>
        <v>-1024604.9519999999</v>
      </c>
      <c r="E41" s="55">
        <f t="shared" si="22"/>
        <v>55154.248000000021</v>
      </c>
      <c r="F41" s="20" t="s">
        <v>45</v>
      </c>
      <c r="G41" s="22">
        <f>IRR(E37:E44)</f>
        <v>0.22872796440855558</v>
      </c>
      <c r="H41" s="12"/>
      <c r="I41" s="4" t="s">
        <v>27</v>
      </c>
      <c r="J41" s="54"/>
      <c r="K41" s="55">
        <f t="shared" si="23"/>
        <v>1079759.2</v>
      </c>
      <c r="L41" s="54">
        <f t="shared" si="24"/>
        <v>-960985.68799999997</v>
      </c>
      <c r="M41" s="54">
        <f t="shared" si="25"/>
        <v>118773.51199999999</v>
      </c>
      <c r="N41" s="20" t="s">
        <v>45</v>
      </c>
      <c r="O41" s="22">
        <f>IRR(M37:M44)</f>
        <v>0.19036984982924188</v>
      </c>
    </row>
    <row r="42" spans="1:15" x14ac:dyDescent="0.2">
      <c r="A42" s="4" t="s">
        <v>28</v>
      </c>
      <c r="B42" s="54"/>
      <c r="C42" s="55">
        <f t="shared" si="20"/>
        <v>1014973.648</v>
      </c>
      <c r="D42" s="54">
        <f t="shared" si="21"/>
        <v>-972128.65488000005</v>
      </c>
      <c r="E42" s="55">
        <f t="shared" si="22"/>
        <v>42844.993119999999</v>
      </c>
      <c r="F42" s="3"/>
      <c r="G42" s="2"/>
      <c r="H42" s="2"/>
      <c r="I42" s="4" t="s">
        <v>28</v>
      </c>
      <c r="J42" s="54"/>
      <c r="K42" s="55">
        <f t="shared" si="23"/>
        <v>1014973.648</v>
      </c>
      <c r="L42" s="54">
        <f t="shared" si="24"/>
        <v>-903326.54671999998</v>
      </c>
      <c r="M42" s="54">
        <f t="shared" si="25"/>
        <v>111647.10128000006</v>
      </c>
      <c r="N42" s="18"/>
      <c r="O42" s="19"/>
    </row>
    <row r="43" spans="1:15" x14ac:dyDescent="0.2">
      <c r="A43" s="4" t="s">
        <v>29</v>
      </c>
      <c r="B43" s="54"/>
      <c r="C43" s="55">
        <f t="shared" si="20"/>
        <v>1144890.2749439999</v>
      </c>
      <c r="D43" s="54">
        <f t="shared" si="21"/>
        <v>-1080361.12270464</v>
      </c>
      <c r="E43" s="55">
        <f t="shared" si="22"/>
        <v>64529.152239359915</v>
      </c>
      <c r="F43" s="3"/>
      <c r="G43" s="2"/>
      <c r="H43" s="2"/>
      <c r="I43" s="4" t="s">
        <v>29</v>
      </c>
      <c r="J43" s="54"/>
      <c r="K43" s="55">
        <f t="shared" si="23"/>
        <v>1144890.2749439999</v>
      </c>
      <c r="L43" s="54">
        <f t="shared" si="24"/>
        <v>-1018952.34470016</v>
      </c>
      <c r="M43" s="54">
        <f t="shared" si="25"/>
        <v>125937.93024383998</v>
      </c>
      <c r="N43" s="18"/>
      <c r="O43" s="19"/>
    </row>
    <row r="44" spans="1:15" x14ac:dyDescent="0.2">
      <c r="A44" s="4" t="s">
        <v>30</v>
      </c>
      <c r="B44" s="54"/>
      <c r="C44" s="55">
        <f t="shared" si="20"/>
        <v>1076196.8584473601</v>
      </c>
      <c r="D44" s="54">
        <f t="shared" si="21"/>
        <v>-1024719.4553423617</v>
      </c>
      <c r="E44" s="55">
        <f t="shared" si="22"/>
        <v>51477.403104998404</v>
      </c>
      <c r="F44" s="3"/>
      <c r="G44" s="2"/>
      <c r="H44" s="2"/>
      <c r="I44" s="4" t="s">
        <v>30</v>
      </c>
      <c r="J44" s="54"/>
      <c r="K44" s="55">
        <f t="shared" si="23"/>
        <v>1076196.8584473601</v>
      </c>
      <c r="L44" s="54">
        <f t="shared" si="24"/>
        <v>-957815.20401815046</v>
      </c>
      <c r="M44" s="54">
        <f t="shared" si="25"/>
        <v>118381.65442920965</v>
      </c>
      <c r="N44" s="18"/>
      <c r="O44" s="19"/>
    </row>
    <row r="45" spans="1:15" x14ac:dyDescent="0.2">
      <c r="A45" s="2"/>
      <c r="B45" s="3"/>
      <c r="C45" s="3"/>
      <c r="D45" s="2"/>
      <c r="E45" s="12"/>
      <c r="F45" s="3"/>
      <c r="G45" s="3"/>
      <c r="H45" s="2"/>
      <c r="I45" s="2"/>
      <c r="J45" s="2"/>
      <c r="K45" s="3"/>
      <c r="L45" s="3"/>
      <c r="M45" s="12"/>
      <c r="N45" s="2"/>
      <c r="O45" s="13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3"/>
      <c r="N46" s="2"/>
      <c r="O46" s="2"/>
    </row>
    <row r="47" spans="1:15" ht="15" customHeight="1" x14ac:dyDescent="0.2">
      <c r="A47" s="64" t="s">
        <v>46</v>
      </c>
      <c r="B47" s="65"/>
      <c r="C47" s="58" t="s">
        <v>49</v>
      </c>
      <c r="D47" s="59"/>
      <c r="E47" s="59"/>
      <c r="F47" s="59"/>
      <c r="G47" s="59"/>
      <c r="H47" s="59"/>
      <c r="I47" s="59"/>
      <c r="J47" s="60"/>
      <c r="K47" s="12"/>
      <c r="L47" s="12"/>
      <c r="M47" s="12"/>
      <c r="N47" s="3"/>
      <c r="O47" s="3"/>
    </row>
    <row r="48" spans="1:15" x14ac:dyDescent="0.2">
      <c r="A48" s="66"/>
      <c r="B48" s="67"/>
      <c r="C48" s="61"/>
      <c r="D48" s="62"/>
      <c r="E48" s="62"/>
      <c r="F48" s="62"/>
      <c r="G48" s="62"/>
      <c r="H48" s="62"/>
      <c r="I48" s="62"/>
      <c r="J48" s="63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1" spans="1:15" x14ac:dyDescent="0.2">
      <c r="M51" s="24"/>
    </row>
  </sheetData>
  <mergeCells count="14">
    <mergeCell ref="K35:K36"/>
    <mergeCell ref="L35:L36"/>
    <mergeCell ref="A3:E3"/>
    <mergeCell ref="A4:E4"/>
    <mergeCell ref="A18:E18"/>
    <mergeCell ref="A19:E19"/>
    <mergeCell ref="A33:G33"/>
    <mergeCell ref="I33:O33"/>
    <mergeCell ref="C47:J48"/>
    <mergeCell ref="A47:B48"/>
    <mergeCell ref="A1:H1"/>
    <mergeCell ref="C35:C36"/>
    <mergeCell ref="D35:D36"/>
    <mergeCell ref="A2:H2"/>
  </mergeCells>
  <pageMargins left="0.7" right="0.7" top="0.75" bottom="0.75" header="0.3" footer="0.3"/>
  <pageSetup scale="3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Darth Vader</dc:creator>
  <cp:keywords/>
  <dc:description/>
  <cp:lastModifiedBy>Microsoft Office User</cp:lastModifiedBy>
  <cp:lastPrinted>2021-01-28T15:08:31Z</cp:lastPrinted>
  <dcterms:created xsi:type="dcterms:W3CDTF">2000-05-09T17:27:53Z</dcterms:created>
  <dcterms:modified xsi:type="dcterms:W3CDTF">2022-04-05T14:07:32Z</dcterms:modified>
  <cp:category/>
</cp:coreProperties>
</file>